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60" yWindow="390" windowWidth="11745" windowHeight="8535" activeTab="0"/>
  </bookViews>
  <sheets>
    <sheet name="04.2021" sheetId="1" r:id="rId1"/>
  </sheets>
  <definedNames>
    <definedName name="_xlnm.Print_Titles" localSheetId="0">'04.2021'!$11:$16</definedName>
    <definedName name="_xlnm.Print_Area" localSheetId="0">'04.2021'!$A$1:$J$346</definedName>
  </definedNames>
  <calcPr fullCalcOnLoad="1"/>
</workbook>
</file>

<file path=xl/sharedStrings.xml><?xml version="1.0" encoding="utf-8"?>
<sst xmlns="http://schemas.openxmlformats.org/spreadsheetml/2006/main" count="1328" uniqueCount="668">
  <si>
    <t xml:space="preserve"> 26.02.2016 №93-05/VІІ                  (зі змінами)</t>
  </si>
  <si>
    <t xml:space="preserve">  26.02.2016 №93-05/VІІ               (зі змінами)</t>
  </si>
  <si>
    <t>0717363</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</si>
  <si>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</si>
  <si>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</si>
  <si>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</si>
  <si>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Забезпеченння діяльності палаців і будинків культури, клубів, центрів дозвілля та інших клубних закладів</t>
  </si>
  <si>
    <t>0614060</t>
  </si>
  <si>
    <t>4060</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</si>
  <si>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</si>
  <si>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</si>
  <si>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</si>
  <si>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</si>
  <si>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</si>
  <si>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</si>
  <si>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</si>
  <si>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0617363</t>
  </si>
  <si>
    <t>Комплексна програма "Здоров'я  населення міста Кам'янське" на  2020-2022 роки</t>
  </si>
  <si>
    <t>24.12.2019          №1627-39/VІІ</t>
  </si>
  <si>
    <t>24.12.2019                         №1682-39/VII   (зі змінами)</t>
  </si>
  <si>
    <t>24.12.2019                         №1682-39/VII    (зі змінами)</t>
  </si>
  <si>
    <r>
      <t>Орган у справах сім</t>
    </r>
    <r>
      <rPr>
        <sz val="18"/>
        <rFont val="Arial Cyr"/>
        <family val="0"/>
      </rPr>
      <t>’</t>
    </r>
    <r>
      <rPr>
        <sz val="18"/>
        <rFont val="Times New Roman"/>
        <family val="1"/>
      </rPr>
      <t>ї, молоді та спорту</t>
    </r>
  </si>
  <si>
    <t>Надання спеціальної освіти мистецькими школами</t>
  </si>
  <si>
    <t>у тому числі інші субвенції з місцевого бюджету (на виконання доручень виборців депутатами обласної ради у 2020 році)</t>
  </si>
  <si>
    <t>1117325</t>
  </si>
  <si>
    <t>7325</t>
  </si>
  <si>
    <t>16.12.2016                          №600-12/VII              (зі змінами)</t>
  </si>
  <si>
    <t>Цільова соціальна комплексна програма розвитку фізичної культури і спорту в місті Кам’янське на 2017-2021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</si>
  <si>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2020-2024роки</t>
  </si>
  <si>
    <t>24.12.2019                    №1627-39/VІІ</t>
  </si>
  <si>
    <t>24.12.2019        №1627-39/VІІ</t>
  </si>
  <si>
    <t>24.12.2019       №1627-39/VІІ</t>
  </si>
  <si>
    <t>25.04.2019         №1430-32/VII        (зі змінами)</t>
  </si>
  <si>
    <t>25.04.2019            №1430-32/VII               (зі змінами)</t>
  </si>
  <si>
    <t>24.12.2019      №1623-39/VІІ        (зі змінами)</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</si>
  <si>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</si>
  <si>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</si>
  <si>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</si>
  <si>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</si>
  <si>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</si>
  <si>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1517670</t>
  </si>
  <si>
    <t>7670</t>
  </si>
  <si>
    <t>2817670</t>
  </si>
  <si>
    <t>0210180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</si>
  <si>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</si>
  <si>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</si>
  <si>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</si>
  <si>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</si>
  <si>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</si>
  <si>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</si>
  <si>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</si>
  <si>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</si>
  <si>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</si>
  <si>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</si>
  <si>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</si>
  <si>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</si>
  <si>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</si>
  <si>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</si>
  <si>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</si>
  <si>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</si>
  <si>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</si>
  <si>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</si>
  <si>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</si>
  <si>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</si>
  <si>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</si>
  <si>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</si>
  <si>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</si>
  <si>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</si>
  <si>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</si>
  <si>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</si>
  <si>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</si>
  <si>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</si>
  <si>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</si>
  <si>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</si>
  <si>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</si>
  <si>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</si>
  <si>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</si>
  <si>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0617321</t>
  </si>
  <si>
    <t>Будівництво освітніх установ та закладів</t>
  </si>
  <si>
    <t>1517322</t>
  </si>
  <si>
    <t>7322</t>
  </si>
  <si>
    <t>1516086</t>
  </si>
  <si>
    <t>Інша діяльність щодо забезпечення житлом громадян</t>
  </si>
  <si>
    <t>0712151</t>
  </si>
  <si>
    <t>1917426</t>
  </si>
  <si>
    <t>7426</t>
  </si>
  <si>
    <t>2717622</t>
  </si>
  <si>
    <t>7622</t>
  </si>
  <si>
    <t>2717640</t>
  </si>
  <si>
    <t>7640</t>
  </si>
  <si>
    <t>3117693</t>
  </si>
  <si>
    <t>Інші заходи, пов`язані з економічною діяльністю</t>
  </si>
  <si>
    <t xml:space="preserve">Розподіл витрат міського бюджету на реалізацію місцевих /регіональних програм  у 2021 році
 </t>
  </si>
  <si>
    <t>04571000000</t>
  </si>
  <si>
    <t>Про заснування міської премії в галузі культури  «Кам'янське мистецьке перевесло»</t>
  </si>
  <si>
    <t>Комплексна програма «Здоров'я  населення міста Кам'янське» на  2020-2022 роки</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</si>
  <si>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</si>
  <si>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</si>
  <si>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</si>
  <si>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r>
      <t xml:space="preserve">від  </t>
    </r>
    <r>
      <rPr>
        <u val="single"/>
        <sz val="22"/>
        <rFont val="Times New Roman"/>
        <family val="1"/>
      </rPr>
      <t>18.12.2020</t>
    </r>
    <r>
      <rPr>
        <sz val="22"/>
        <rFont val="Times New Roman"/>
        <family val="1"/>
      </rPr>
      <t xml:space="preserve">  №  </t>
    </r>
    <r>
      <rPr>
        <u val="single"/>
        <sz val="22"/>
        <rFont val="Times New Roman"/>
        <family val="1"/>
      </rPr>
      <t>32-03/VIII</t>
    </r>
  </si>
  <si>
    <r>
      <t>Будівництво</t>
    </r>
    <r>
      <rPr>
        <sz val="18"/>
        <rFont val="Calibri"/>
        <family val="2"/>
      </rPr>
      <t>¹</t>
    </r>
    <r>
      <rPr>
        <sz val="18"/>
        <rFont val="Times New Roman"/>
        <family val="1"/>
      </rPr>
      <t xml:space="preserve"> установ та закладів соціальної сфери</t>
    </r>
  </si>
  <si>
    <r>
      <t>Будівництво</t>
    </r>
    <r>
      <rPr>
        <sz val="18"/>
        <rFont val="Calibri"/>
        <family val="2"/>
      </rPr>
      <t>¹</t>
    </r>
    <r>
      <rPr>
        <sz val="18"/>
        <rFont val="Times New Roman"/>
        <family val="1"/>
      </rPr>
      <t xml:space="preserve"> установ та закладів культури</t>
    </r>
  </si>
  <si>
    <t>в тому числі за рахунок інші субвенції з місцевого бюджету (на виконання доручень виборців депутатами обласної ради у 2021 році)</t>
  </si>
  <si>
    <t>Комплексна програма «Розвиток комунальної аптечної мережі міста Кам'янське» на 2020 -2022 роки</t>
  </si>
  <si>
    <t>Програма розвитку Комунальної установи «Притулок для тварин» Кам'янської міської ради на 2020-2023 роки</t>
  </si>
  <si>
    <t>Програма розвитку Комунального підприємства Кам'янської міської ради "Екосервіс" на 2021 рік</t>
  </si>
  <si>
    <t xml:space="preserve">26.02.2021                                №124-05/VIII                  </t>
  </si>
  <si>
    <t>Програма розвитку транспортного комплексу м.Кам'янське   на 2018-2025роки</t>
  </si>
  <si>
    <t>Будівництво об'єктів житлово-комунального господарства</t>
  </si>
  <si>
    <t>1516016</t>
  </si>
  <si>
    <t>6016</t>
  </si>
  <si>
    <t>Впровадження засобів обліку витрат та регулювання споживання води та теплової енергії</t>
  </si>
  <si>
    <t>Програма обладнання житлового фонду м.Кам'янське приладами обліку теплової енергії та водопостачання на 2019-2020 роки</t>
  </si>
  <si>
    <t xml:space="preserve"> 25.04.2019 №1404-32/VII                </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</si>
  <si>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</si>
  <si>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</si>
  <si>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</si>
  <si>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Програма розвитку міського електричного транспорту міста Кам'янського на 2019-2025 роки</t>
  </si>
  <si>
    <t>2100</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</si>
  <si>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</si>
  <si>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</si>
  <si>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</si>
  <si>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</si>
  <si>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</si>
  <si>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</si>
  <si>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</si>
  <si>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</si>
  <si>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</si>
  <si>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</si>
  <si>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</si>
  <si>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</si>
  <si>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</si>
  <si>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</si>
  <si>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</si>
  <si>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</si>
  <si>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у тому числі 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</si>
  <si>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24.12.2019    №1646-39/VІІ        (зі змінами)</t>
  </si>
  <si>
    <t>Наталія КТІТАРОВА</t>
  </si>
  <si>
    <t>2917130</t>
  </si>
  <si>
    <t>0717670</t>
  </si>
  <si>
    <t>3242</t>
  </si>
  <si>
    <t>Інші заходи у сфері соціального захисту і соціального забезпечення</t>
  </si>
  <si>
    <t>0613242</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</si>
  <si>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</si>
  <si>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</si>
  <si>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</si>
  <si>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</si>
  <si>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</si>
  <si>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</si>
  <si>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</si>
  <si>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</si>
  <si>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</si>
  <si>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29.09.2017                 №843-19/VІІ                         (зі змінами);   01.03.2019                          №1359-31/VII (зі змінами)</t>
  </si>
  <si>
    <t>Програма "Здоров'я  населення міста Кам'янське на  2015-2019 роки"</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</si>
  <si>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</si>
  <si>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</si>
  <si>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Первинна медична допомога населенню, що надається центрами первинної медичної (медико-санітарної) допомоги</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</si>
  <si>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</si>
  <si>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</si>
  <si>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 xml:space="preserve"> 17.11.2017                 №913-20/VII                      (зі змінами)                                            </t>
  </si>
  <si>
    <t>Програма розвитку транспортного комплексу м.Кам'янське на 2018 - 2022роки;  Програма розвитку комунального підприємства Кам’янської міської ради «Кам’янське автотранспортне підприємство 042802» на 2019-2024 роки</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</si>
  <si>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</si>
  <si>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</si>
  <si>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</si>
  <si>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</si>
  <si>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</si>
  <si>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</si>
  <si>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31.08.2018                        №1159-26/VІІ                   (зі змінами)</t>
  </si>
  <si>
    <t xml:space="preserve">Програма розвитку муніципального телебачення ТРК «МІС» на 2021 рік </t>
  </si>
  <si>
    <t>18.12.2020          №72-03/VIII   (зі змінами)</t>
  </si>
  <si>
    <t>18.12.2020            №44-03/VIII  (зі змінами)</t>
  </si>
  <si>
    <t>18.12.2020      №89-03/VIII (зі змінами)</t>
  </si>
  <si>
    <t>18.12.2020   №61-03/VIII  (зі змінами)</t>
  </si>
  <si>
    <t>26.02.2021           №138-05/VIІI</t>
  </si>
  <si>
    <t>26.02.2021           №139-05/VIІI</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</si>
  <si>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</si>
  <si>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0816086</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</si>
  <si>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</si>
  <si>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</si>
  <si>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</si>
  <si>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</si>
  <si>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</si>
  <si>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</si>
  <si>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</si>
  <si>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</si>
  <si>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</si>
  <si>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</si>
  <si>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</si>
  <si>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</si>
  <si>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</si>
  <si>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</si>
  <si>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</si>
  <si>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</si>
  <si>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</si>
  <si>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</si>
  <si>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</si>
  <si>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</si>
  <si>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</si>
  <si>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</si>
  <si>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</si>
  <si>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</si>
  <si>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</si>
  <si>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</si>
  <si>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</si>
  <si>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</si>
  <si>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</si>
  <si>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</si>
  <si>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</si>
  <si>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</si>
  <si>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</si>
  <si>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</si>
  <si>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</si>
  <si>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</si>
  <si>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</si>
  <si>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</si>
  <si>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</si>
  <si>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</si>
  <si>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</si>
  <si>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</si>
  <si>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0611170</t>
  </si>
  <si>
    <t>1170</t>
  </si>
  <si>
    <t>Забезпечення діяльності інклюзивно-ресурсних центрів</t>
  </si>
  <si>
    <t>Департамент економічного розвитку міської ради</t>
  </si>
  <si>
    <t>в тому числі освітня субвенції з державного бюджнету місцевим бюджетам (за рахунок залишку, що утворився на 01.01.2020 )</t>
  </si>
  <si>
    <t xml:space="preserve"> 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</si>
  <si>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</si>
  <si>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</si>
  <si>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</si>
  <si>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</si>
  <si>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</si>
  <si>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</si>
  <si>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</si>
  <si>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</si>
  <si>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</si>
  <si>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</si>
  <si>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</si>
  <si>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</si>
  <si>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</si>
  <si>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</si>
  <si>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</si>
  <si>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</si>
  <si>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</si>
  <si>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</si>
  <si>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</si>
  <si>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</si>
  <si>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</si>
  <si>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</si>
  <si>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</si>
  <si>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</si>
  <si>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</si>
  <si>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</si>
  <si>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</si>
  <si>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</si>
  <si>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</si>
  <si>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</si>
  <si>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</si>
  <si>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</si>
  <si>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</si>
  <si>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</si>
  <si>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</si>
  <si>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</si>
  <si>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</si>
  <si>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</si>
  <si>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</si>
  <si>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</si>
  <si>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</si>
  <si>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</si>
  <si>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</si>
  <si>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</si>
  <si>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</si>
  <si>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</si>
  <si>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</si>
  <si>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</si>
  <si>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</si>
  <si>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</si>
  <si>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</si>
  <si>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 xml:space="preserve">Програма надання жилих приміщень сім’ям, у складі яких виховуються діти з інвалідністю та є особи з інвалідністю з дитинства та потребують поліпшення житлових умов, на 2020 – 2029 роки </t>
  </si>
  <si>
    <t>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2021рік</t>
  </si>
  <si>
    <t xml:space="preserve">Комплексна програма забезпечення громадського (публічного) порядку та безпеки   у  місті Кам’янське на 2021–2025 роки </t>
  </si>
  <si>
    <t>18.12.2020                        №28-03/VIII    (зі змінами)</t>
  </si>
  <si>
    <t>Програма партиципаторного бюджетування (бюджету участі) у місті Кам’янське на 2017-2021роки</t>
  </si>
  <si>
    <t>18.12.2020         №44-03/VІIІ  (зі змінами)</t>
  </si>
  <si>
    <t>28.10.2020                           №2081-47/VII (зі змінами)</t>
  </si>
  <si>
    <t>Орган з питань праці та соціального захисту населення</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</si>
  <si>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</si>
  <si>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</si>
  <si>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</si>
  <si>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</si>
  <si>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</si>
  <si>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</si>
  <si>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</si>
  <si>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</si>
  <si>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</si>
  <si>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</si>
  <si>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</si>
  <si>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</si>
  <si>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</si>
  <si>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</si>
  <si>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</si>
  <si>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</si>
  <si>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</si>
  <si>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</si>
  <si>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</si>
  <si>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</si>
  <si>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</si>
  <si>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</si>
  <si>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</si>
  <si>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</si>
  <si>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</si>
  <si>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</si>
  <si>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</si>
  <si>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</si>
  <si>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</si>
  <si>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</si>
  <si>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</si>
  <si>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</si>
  <si>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</si>
  <si>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</si>
  <si>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</si>
  <si>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</si>
  <si>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</si>
  <si>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</si>
  <si>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</si>
  <si>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</si>
  <si>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</si>
  <si>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</si>
  <si>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</si>
  <si>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охорони здоров'я міської ради</t>
  </si>
  <si>
    <t>0710000</t>
  </si>
  <si>
    <t>0712010</t>
  </si>
  <si>
    <t>0712020</t>
  </si>
  <si>
    <t>0712100</t>
  </si>
  <si>
    <t>Стоматологічна допомога населенню</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</si>
  <si>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</si>
  <si>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</si>
  <si>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</si>
  <si>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</si>
  <si>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</si>
  <si>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</si>
  <si>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</si>
  <si>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</si>
  <si>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</si>
  <si>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</si>
  <si>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</si>
  <si>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16.12.2016          № 600-12/VII                      (зі змінами) </t>
  </si>
  <si>
    <t xml:space="preserve">  26.02.2016 №93-05/VІІ        (зі змінами)</t>
  </si>
  <si>
    <t>Департамент соціальної політики міської ради</t>
  </si>
  <si>
    <t>21.12.2018 №1283-30/VІІ          (зі змінами)</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</si>
  <si>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</si>
  <si>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</si>
  <si>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</si>
  <si>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</si>
  <si>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</si>
  <si>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</si>
  <si>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</si>
  <si>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</si>
  <si>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</si>
  <si>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</si>
  <si>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</si>
  <si>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</si>
  <si>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</si>
  <si>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</si>
  <si>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</si>
  <si>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</si>
  <si>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</si>
  <si>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</si>
  <si>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</si>
  <si>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</si>
  <si>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</si>
  <si>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</si>
  <si>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</si>
  <si>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</si>
  <si>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</si>
  <si>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</si>
  <si>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</si>
  <si>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</si>
  <si>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</si>
  <si>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</si>
  <si>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</si>
  <si>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</si>
  <si>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</si>
  <si>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</si>
  <si>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</si>
  <si>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</si>
  <si>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</si>
  <si>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</si>
  <si>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</si>
  <si>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</si>
  <si>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</si>
  <si>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</si>
  <si>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</si>
  <si>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</si>
  <si>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</si>
  <si>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</si>
  <si>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</si>
  <si>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6111090</t>
  </si>
  <si>
    <t>Надання позашкільної освіти позашкільними закладами освіти, заходи із позашкільної роботи з дітьми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</si>
  <si>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</si>
  <si>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</si>
  <si>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</si>
  <si>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</si>
  <si>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</si>
  <si>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</si>
  <si>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</si>
  <si>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</si>
  <si>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4110180</t>
  </si>
  <si>
    <t>4200000</t>
  </si>
  <si>
    <t>4300000</t>
  </si>
  <si>
    <t>4210180</t>
  </si>
  <si>
    <t>0611061</t>
  </si>
  <si>
    <t>0611062</t>
  </si>
  <si>
    <t>1061</t>
  </si>
  <si>
    <t>1062</t>
  </si>
  <si>
    <t>4310180</t>
  </si>
  <si>
    <t>0610180</t>
  </si>
  <si>
    <t>0710180</t>
  </si>
  <si>
    <t>0810180</t>
  </si>
  <si>
    <t>0910180</t>
  </si>
  <si>
    <t>0200000</t>
  </si>
  <si>
    <t>0210000</t>
  </si>
  <si>
    <t>Програма підтримки внутрішньо переміщених осіб</t>
  </si>
  <si>
    <t>х</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</si>
  <si>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</si>
  <si>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</si>
  <si>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</si>
  <si>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</si>
  <si>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Програма партиципаторного бюджетування (бюджету участі) у місті Кам’янське    на 2017-2021 роки</t>
  </si>
  <si>
    <t xml:space="preserve"> 26.02.2016     №93-05/VІІ                 (зі змінами)</t>
  </si>
  <si>
    <t xml:space="preserve">в тому числі за рахунок зовнішнього місцевого запозичення шляхом залучення кредиту від Північної Екологічної Фінансової Корпорації (НЕФКО) </t>
  </si>
  <si>
    <t>Департамент  екології та природних ресурсів міської ради</t>
  </si>
  <si>
    <t>0116017</t>
  </si>
  <si>
    <t>0116030</t>
  </si>
  <si>
    <t>0113133</t>
  </si>
  <si>
    <t>Програма розвитку міськелектротранспорту міста Кам`янське на 2018 - 2020 роки</t>
  </si>
  <si>
    <t>Програма розвитку туристичної галузі міста Кам’янське на 2017–2022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</si>
  <si>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</si>
  <si>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</si>
  <si>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</si>
  <si>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</si>
  <si>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</si>
  <si>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</si>
  <si>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</si>
  <si>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</si>
  <si>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в тому числі за рахунок місцевого внутрішнього запозичення (кредиту) від АКЦІОНЕРНОГО ТОВАРИСТВА «ДЕРЖАВНИЙ ОЩАДНИЙ БАНК УКРАЇНИ»</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</si>
  <si>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</si>
  <si>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</si>
  <si>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</si>
  <si>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</si>
  <si>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</si>
  <si>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</si>
  <si>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</si>
  <si>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</si>
  <si>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</si>
  <si>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</si>
  <si>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</si>
  <si>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</si>
  <si>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</si>
  <si>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</si>
  <si>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</si>
  <si>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</si>
  <si>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</si>
  <si>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</si>
  <si>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</si>
  <si>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</si>
  <si>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</si>
  <si>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</si>
  <si>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</si>
  <si>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</si>
  <si>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</si>
  <si>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</si>
  <si>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</si>
  <si>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0617324</t>
  </si>
  <si>
    <t>17.11.2017                 №913-20/VII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</si>
  <si>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</si>
  <si>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</si>
  <si>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</si>
  <si>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Програма забезпечення пожежної безпеки в закладах освіти, культури та спорту міста Кам'янське на2018-2022 роки</t>
  </si>
  <si>
    <t>0617340</t>
  </si>
  <si>
    <t>Проектування, реставрація та охорона пам'яток архітектури</t>
  </si>
  <si>
    <t xml:space="preserve"> 18.12.2020              №55-03/VIII               </t>
  </si>
  <si>
    <t>Комплексна програма підтримки демобілізованих учасників антитерористичної операції / операції об'єднаних сил на 2021-2023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</si>
  <si>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 роки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</si>
  <si>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</si>
  <si>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Програма розвитку Комунального підприємства Кам’янської міської ради «Добробут»  на 2021-2025 роки</t>
  </si>
  <si>
    <t xml:space="preserve">Програма
захисту прав дітей та розвитку
сімейних форм виховання
у м.Кам’янському 
на 2021–2025 роки
</t>
  </si>
  <si>
    <t>20.01.2021 №105-04/VIII</t>
  </si>
  <si>
    <t>20.01.2021 №101-04/VIII</t>
  </si>
  <si>
    <t>28.10.2020  №2090-47/VII (зі змінами)</t>
  </si>
  <si>
    <t>0611070</t>
  </si>
  <si>
    <t xml:space="preserve"> 18.12.2020              №55-03/VIII  </t>
  </si>
  <si>
    <t>18.12.2020    №57-03/VIII</t>
  </si>
  <si>
    <t xml:space="preserve">Програма розвитку культури  у       м. Кам’янське на  2021 рік </t>
  </si>
  <si>
    <t xml:space="preserve">18.12.2020              №55-03/VIII               </t>
  </si>
  <si>
    <t>24.12.2019  №1646-39/VІІ (зі змінами)</t>
  </si>
  <si>
    <t>Програма репродуктивне здоров'я дітей та майбутніх батьків міста Кам'янське на період 2019-2021 роки</t>
  </si>
  <si>
    <t>21.12.2018  №1306-30/VII (зі змінами)</t>
  </si>
  <si>
    <t xml:space="preserve"> Програма розвитку Комунального підприємства Кам’янської міської ради «Кам'янська теплопостачальна компанія» на 2019–2023 роки</t>
  </si>
  <si>
    <t>28.10.2020  №2078-47/VII   (зі змінами)</t>
  </si>
  <si>
    <t>18.12.2020    №47-03/VIII</t>
  </si>
  <si>
    <t xml:space="preserve"> Програма розвитку Комунального підприємства Кам’янської міської ради «Управляюча компанія по обслуговуванню житлового фонду» на 2021–2022 роки</t>
  </si>
  <si>
    <t>18.12.2020    №46-03/VIII</t>
  </si>
  <si>
    <t>6017</t>
  </si>
  <si>
    <t xml:space="preserve">18.12.2020         №44-03/VIII              </t>
  </si>
  <si>
    <t>18.12.2020                        №58-03/VIII</t>
  </si>
  <si>
    <t>18.12.2020                        №59-03/VIII</t>
  </si>
  <si>
    <t>Програма соціально-економічного та культурного розвитку міста на 2021рік</t>
  </si>
  <si>
    <t>18.12.2020                        №28-03/VIII</t>
  </si>
  <si>
    <t>Програма ремонту та утримання фонтанів м.Кам'янське                                       на 2021-2025роки</t>
  </si>
  <si>
    <t xml:space="preserve">28.08.2020          №2030-45/VII </t>
  </si>
  <si>
    <t>Програма енергоефективності та зменшення споживання енергетичних ресурсів у м.Кам’янському на 2021рік</t>
  </si>
  <si>
    <t xml:space="preserve">Програма енергоефективності та зменшення споживання енергетичних ресурсів у м.Кам’янському на 2021 рік
</t>
  </si>
  <si>
    <t>18.12.2020           №57-03/VIII</t>
  </si>
  <si>
    <t xml:space="preserve">Програма «Диспетчеризації процесів підприємств, установ, організацій життєдіяльності міста  Кам`янське  на 2018-2022 роки» </t>
  </si>
  <si>
    <t>Програма партиципаторного бюджетування (бюджету участі)                                                      у місті Кам’янське                                        на 2017-2021 роки</t>
  </si>
  <si>
    <t xml:space="preserve">Програма розвитку місцевого самоврядування у м.Кам'янському                                  на 2017-2021 роки </t>
  </si>
  <si>
    <t>Програма розвитку місцевого самоврядування у м.Кам'янському на 2017-2021роки</t>
  </si>
  <si>
    <t>Програма розвитку Комунальної установи «Притулок для тварин»  Кам'янської міської ради                на 2020-2023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</si>
  <si>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</si>
  <si>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</si>
  <si>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 Комплексна програма реалізації містобудівної політики у місті Кам’янське на 2021-2025 роки; Міська програма інформатизації та електронного урядування м.Кам'янське на 2019-2021 роки</t>
  </si>
  <si>
    <t xml:space="preserve"> Програма розвитку Комунального підприємства Кам’янської міської ради «Теплотехнік» на 2021-2025 роки</t>
  </si>
  <si>
    <t xml:space="preserve"> Програма розвитку Комунального підприємства Кам’янської міської ради  «Центральні тепломережі» на 2020-2024 роки</t>
  </si>
  <si>
    <t xml:space="preserve"> Програма розвитку Комунального підприємства Кам’янської міської ради  «Парки Кам'янського»                                  на 2021-2022 роки</t>
  </si>
  <si>
    <t xml:space="preserve">Програма розвитку місцевого самоврядування у м.Кам'янському                                            на 2017-2021роки </t>
  </si>
  <si>
    <t>Програма забезпечення діяльності органів самоорганізації населення у м.Кам'янському                                  на 2021-2025роки</t>
  </si>
  <si>
    <t xml:space="preserve"> Програма розвитку та діяльності Комунальної установи «Центр молодіжних ініціатив» Кам'янської міської ради на 2021-2022 роки</t>
  </si>
  <si>
    <t xml:space="preserve"> Програма «Молодь Кам'янського» на 2012-2021 роки</t>
  </si>
  <si>
    <t xml:space="preserve">Програма підтримки Комунального підприємства Кам'янської міської ради «Міська інформаційна служба» на 2021 рік  </t>
  </si>
  <si>
    <t>30.03.2018 №1043-23/VІІ</t>
  </si>
  <si>
    <t>18.12.2020                   №42-03/VІІІ;        21.12.2018           №1281-30/VII          (зі змінами)</t>
  </si>
  <si>
    <t>24.12.2019          №1635-39/VІІ</t>
  </si>
  <si>
    <t xml:space="preserve">  28.08.2020                  №2040-45/VII   (зі змінами)         </t>
  </si>
  <si>
    <t xml:space="preserve"> Програма «Шкільний автобус» на 2021-2025 роки</t>
  </si>
  <si>
    <t>(у редакції рішення міської ради</t>
  </si>
  <si>
    <t>Управління державного архітектурно-будівельного контролю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</si>
  <si>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</si>
  <si>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</si>
  <si>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</si>
  <si>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</si>
  <si>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</si>
  <si>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</si>
  <si>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</si>
  <si>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</si>
  <si>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</si>
  <si>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</si>
  <si>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</si>
  <si>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</si>
  <si>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</si>
  <si>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02.11.2018           №1229-29/VII</t>
  </si>
  <si>
    <t xml:space="preserve"> 29.07.2016            №258-09/VІІ               (зі змінами)</t>
  </si>
  <si>
    <t>27.06.2019 №1471-33/VII</t>
  </si>
  <si>
    <t xml:space="preserve"> 22.12.2017                              №969-21/VІІ</t>
  </si>
  <si>
    <t>23.06.2017                             №732-17/VІІ</t>
  </si>
  <si>
    <t xml:space="preserve"> 22.12.2017                                          №955-21/VІІ                                         (зі змінами)</t>
  </si>
  <si>
    <t>1515045</t>
  </si>
  <si>
    <t>5045</t>
  </si>
  <si>
    <t>Будівництво мультифункціональних майданчиків для занять ігровими видами спорту</t>
  </si>
  <si>
    <t>17.11.2017                          №833-20/VІІ</t>
  </si>
  <si>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</si>
  <si>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</si>
  <si>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</si>
  <si>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</si>
  <si>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23.02.2018                         №1024-22/VII   (зі змінами)</t>
  </si>
  <si>
    <t xml:space="preserve"> Екологічна  програма міста Кам'янського на 2021–2025 роки</t>
  </si>
  <si>
    <t>1513242</t>
  </si>
  <si>
    <t>2917330</t>
  </si>
  <si>
    <t>7330</t>
  </si>
  <si>
    <t>28.10.2020 №2073-47/VII</t>
  </si>
  <si>
    <t>Проєкт</t>
  </si>
  <si>
    <t>1617530</t>
  </si>
  <si>
    <t>Цільова соціальна програма розвитку цивільного захисту та забезпечення пожежної безпеки в місті Кам'янське на 2016 –2020роки</t>
  </si>
  <si>
    <t xml:space="preserve">22.12.2017                   №955-21/VІІ         (зі змінами)         </t>
  </si>
  <si>
    <t xml:space="preserve">Утримання  та забезпечення  діяльності центрів соціальних служб </t>
  </si>
  <si>
    <t>Надання фінансової підтримки громадським об'єднанням ветеранів  і осіб з інвалідністю, діяльність яких має соціальну спрямованість</t>
  </si>
  <si>
    <t xml:space="preserve">18.12.2020              № 29-03/VІІІ                   </t>
  </si>
  <si>
    <t>0611021</t>
  </si>
  <si>
    <t>1021</t>
  </si>
  <si>
    <t xml:space="preserve">Надання загальної середньої освіти закладами загальної середньої освіти </t>
  </si>
  <si>
    <t>0611022</t>
  </si>
  <si>
    <t>1022</t>
  </si>
  <si>
    <t>0611080</t>
  </si>
  <si>
    <t>1080</t>
  </si>
  <si>
    <t>0611151</t>
  </si>
  <si>
    <t>1151</t>
  </si>
  <si>
    <t>0611142</t>
  </si>
  <si>
    <t>1142</t>
  </si>
  <si>
    <t xml:space="preserve"> Програма «Родина героя»</t>
  </si>
  <si>
    <t>Будівництво¹ освітніх установ та закладів</t>
  </si>
  <si>
    <t>Будівництво¹ установ та закладів культури</t>
  </si>
  <si>
    <t>Будівництво¹ медичних установ та закладів</t>
  </si>
  <si>
    <t>Будівництво¹ об'єктів житлово-комунального господарства</t>
  </si>
  <si>
    <t>Будівництво¹ споруд, установ та закладів фізичної культури і спорту</t>
  </si>
  <si>
    <t>Будівництво¹ інших об'єктів комунальної власності</t>
  </si>
  <si>
    <t>0455</t>
  </si>
  <si>
    <t>18.12.2020       №40-03/VIII</t>
  </si>
  <si>
    <t xml:space="preserve"> Програма розвитку земельних відносин у місті Кам`янське           на 2021-2022 роки</t>
  </si>
  <si>
    <t>Програма розвитку та утримання Комунального підприємства  Кам’янської міської ради «Містшляхсервіс»                         на 2021–2023 роки</t>
  </si>
  <si>
    <t>18.12.2020    №45-03/VIII</t>
  </si>
  <si>
    <t>Цільова комплексна програми розвитку фізичної культури і спорту в м. Кам'янське на 2017-2021 роки</t>
  </si>
  <si>
    <t xml:space="preserve">Програма розвитку цивільного захисту та забезпечення пожежної безпеки в місті Кам’янське на 2021‒2023 роки </t>
  </si>
  <si>
    <t xml:space="preserve"> 28.10.2020           №2075-47/VIІ </t>
  </si>
  <si>
    <t>25.12.2015 №31-03/VII        (зі змінами)</t>
  </si>
  <si>
    <t>Програма розвитку освіти м.Кам'янського на 2021-2025 роки</t>
  </si>
  <si>
    <t>Програма розвитку житлового господарства м.Кам'янського на 2021-2025 роки</t>
  </si>
  <si>
    <t>3133</t>
  </si>
  <si>
    <t>Інша діяльність у сфері державного управління</t>
  </si>
  <si>
    <t>Програма благоустрою м.Кам’янське на 2020-2024 роки</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</si>
  <si>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</si>
  <si>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Програма репродуктивне здоров'я дітей та майбутніх батьків міста Кам'янське на 2019-2021 роки</t>
  </si>
  <si>
    <t>21.12.2018 №1306-30/УІІ</t>
  </si>
  <si>
    <t>16.12.2016            №601-12/VII                                      (зі змінами)</t>
  </si>
  <si>
    <t>17.11.2017                      №849-20/VII                               (зі змінами)</t>
  </si>
  <si>
    <t>29.09.2017                 №843-19/VІІ                         (зі змінами)</t>
  </si>
  <si>
    <t>Пограма "Безпечне місто Кам'янське на 2016-2020 роки"</t>
  </si>
  <si>
    <t xml:space="preserve"> 26.02.2016                №94-05/VII                      (зі змінами)</t>
  </si>
  <si>
    <t>28.02.2020                     №1837-40/VІІ</t>
  </si>
  <si>
    <t>0913230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</si>
  <si>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</si>
  <si>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</si>
  <si>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26.02.2016                    №93-05/VІІ                        (зі змінами)</t>
  </si>
  <si>
    <t>0813032</t>
  </si>
  <si>
    <t>3032</t>
  </si>
  <si>
    <t>Надання пільг окремим категоріям громадян з оплати послуг зв'язку</t>
  </si>
  <si>
    <t>1070</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</si>
  <si>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</si>
  <si>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</si>
  <si>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</si>
  <si>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</si>
  <si>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30.03.2018              №1041-23/VІІ                        (зі змінами)</t>
  </si>
  <si>
    <t xml:space="preserve">26.12.2014                        №1182-58/VI                      (зі змінами) </t>
  </si>
  <si>
    <t xml:space="preserve"> Програма "Молодь Дніпродзержинська" на 2012-2021 роки </t>
  </si>
  <si>
    <t xml:space="preserve"> Програма "Молодь Дніпродзержинська" на 2012-2021 роки</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</si>
  <si>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</si>
  <si>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</si>
  <si>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</si>
  <si>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Комплексна програма підтримки демобілізованих учасників антитерористичної операції</t>
  </si>
  <si>
    <t>1516012</t>
  </si>
  <si>
    <t>6012</t>
  </si>
  <si>
    <t>Забезпечення діяльності з виробництва, транспортування, постачання теплової енергії</t>
  </si>
  <si>
    <t xml:space="preserve"> Програма розвитку комунального підприємства КМР «Тепломережі» на 2016–2023 роки</t>
  </si>
  <si>
    <t>Програма розвитку комунального підприємства Кам'янської міської ради "Лівобережний парк"на 2015-2020 роки</t>
  </si>
  <si>
    <t>у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</si>
  <si>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0117640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</si>
  <si>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</si>
  <si>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</si>
  <si>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</si>
  <si>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</si>
  <si>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</si>
  <si>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17.11.2017 №913-20/VII                      (зі змінами)</t>
  </si>
  <si>
    <t>30.01.2015                          №1211-59/УІ                         (зі змінами)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</si>
  <si>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</si>
  <si>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</si>
  <si>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</si>
  <si>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</si>
  <si>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</si>
  <si>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</si>
  <si>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</si>
  <si>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</si>
  <si>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</si>
  <si>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</si>
  <si>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</si>
  <si>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</si>
  <si>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</si>
  <si>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</si>
  <si>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</si>
  <si>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Управління молоді та спорту міської ради</t>
  </si>
  <si>
    <t>Субвенція з місцевого бюджету на співфінансування інвестиційних проектів</t>
  </si>
  <si>
    <r>
      <t xml:space="preserve">від </t>
    </r>
    <r>
      <rPr>
        <u val="single"/>
        <sz val="22"/>
        <rFont val="Times New Roman"/>
        <family val="1"/>
      </rPr>
      <t xml:space="preserve">              </t>
    </r>
    <r>
      <rPr>
        <sz val="22"/>
        <rFont val="Times New Roman"/>
        <family val="1"/>
      </rPr>
      <t xml:space="preserve"> №</t>
    </r>
    <r>
      <rPr>
        <u val="single"/>
        <sz val="22"/>
        <rFont val="Times New Roman"/>
        <family val="1"/>
      </rPr>
      <t xml:space="preserve">              /VIII</t>
    </r>
    <r>
      <rPr>
        <sz val="22"/>
        <rFont val="Times New Roman"/>
        <family val="1"/>
      </rPr>
      <t>)</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</si>
</sst>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100">
    <font>
      <sz val="10"/>
      <name val="Arial Cyr"/>
      <family val="0"/>
    </font>
    <font>
      <sz val="8"/>
      <name val="Arial Cyr"/>
      <family val="0"/>
    </font>
    <font>
      <sz val="10"/>
      <color indexed="8"/>
      <name val="Arial"/>
      <family val="2"/>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b/>
      <sz val="14"/>
      <name val="Times New Roman"/>
      <family val="1"/>
    </font>
    <font>
      <sz val="24"/>
      <name val="Times New Roman"/>
      <family val="1"/>
    </font>
    <font>
      <sz val="14"/>
      <color indexed="10"/>
      <name val="Times New Roman"/>
      <family val="1"/>
    </font>
    <font>
      <b/>
      <sz val="14"/>
      <color indexed="10"/>
      <name val="Times New Roman"/>
      <family val="1"/>
    </font>
    <font>
      <sz val="26"/>
      <color indexed="10"/>
      <name val="Times New Roman"/>
      <family val="1"/>
    </font>
    <font>
      <sz val="12"/>
      <color indexed="10"/>
      <name val="Times New Roman"/>
      <family val="1"/>
    </font>
    <font>
      <sz val="24"/>
      <color indexed="10"/>
      <name val="Times New Roman"/>
      <family val="1"/>
    </font>
    <font>
      <sz val="11"/>
      <color indexed="10"/>
      <name val="Times New Roman"/>
      <family val="1"/>
    </font>
    <font>
      <b/>
      <sz val="11"/>
      <color indexed="10"/>
      <name val="Times New Roman"/>
      <family val="1"/>
    </font>
    <font>
      <b/>
      <sz val="18"/>
      <name val="Times New Roman"/>
      <family val="1"/>
    </font>
    <font>
      <b/>
      <sz val="10"/>
      <name val="Arial Cyr"/>
      <family val="0"/>
    </font>
    <font>
      <sz val="18"/>
      <name val="Times New Roman"/>
      <family val="1"/>
    </font>
    <font>
      <i/>
      <sz val="18"/>
      <name val="Times New Roman"/>
      <family val="1"/>
    </font>
    <font>
      <i/>
      <sz val="15"/>
      <name val="Times New Roman"/>
      <family val="1"/>
    </font>
    <font>
      <sz val="10"/>
      <name val="Times New Roman"/>
      <family val="1"/>
    </font>
    <font>
      <sz val="8"/>
      <name val="Times New Roman"/>
      <family val="1"/>
    </font>
    <font>
      <i/>
      <sz val="14"/>
      <name val="Times New Roman"/>
      <family val="1"/>
    </font>
    <font>
      <b/>
      <i/>
      <sz val="14"/>
      <name val="Times New Roman"/>
      <family val="1"/>
    </font>
    <font>
      <sz val="14"/>
      <name val="Times New Roman"/>
      <family val="1"/>
    </font>
    <font>
      <sz val="18"/>
      <name val="Arial Cyr"/>
      <family val="0"/>
    </font>
    <font>
      <sz val="16"/>
      <name val="Times New Roman"/>
      <family val="1"/>
    </font>
    <font>
      <b/>
      <sz val="16"/>
      <name val="Times New Roman"/>
      <family val="1"/>
    </font>
    <font>
      <b/>
      <i/>
      <sz val="18"/>
      <name val="Times New Roman"/>
      <family val="1"/>
    </font>
    <font>
      <sz val="11"/>
      <name val="Times New Roman"/>
      <family val="1"/>
    </font>
    <font>
      <sz val="13"/>
      <name val="Times New Roman"/>
      <family val="1"/>
    </font>
    <font>
      <b/>
      <sz val="11"/>
      <name val="Times New Roman"/>
      <family val="1"/>
    </font>
    <font>
      <i/>
      <sz val="18"/>
      <color indexed="10"/>
      <name val="Times New Roman"/>
      <family val="1"/>
    </font>
    <font>
      <i/>
      <sz val="17"/>
      <color indexed="9"/>
      <name val="Times New Roman"/>
      <family val="1"/>
    </font>
    <font>
      <i/>
      <sz val="14"/>
      <color indexed="9"/>
      <name val="Times New Roman"/>
      <family val="1"/>
    </font>
    <font>
      <i/>
      <sz val="18"/>
      <color indexed="9"/>
      <name val="Times New Roman"/>
      <family val="1"/>
    </font>
    <font>
      <i/>
      <sz val="15"/>
      <color indexed="9"/>
      <name val="Times New Roman"/>
      <family val="1"/>
    </font>
    <font>
      <i/>
      <sz val="24"/>
      <color indexed="9"/>
      <name val="Times New Roman"/>
      <family val="1"/>
    </font>
    <font>
      <b/>
      <i/>
      <sz val="18"/>
      <color indexed="9"/>
      <name val="Times New Roman"/>
      <family val="1"/>
    </font>
    <font>
      <i/>
      <sz val="13"/>
      <color indexed="9"/>
      <name val="Times New Roman"/>
      <family val="1"/>
    </font>
    <font>
      <i/>
      <sz val="12"/>
      <color indexed="9"/>
      <name val="Times New Roman"/>
      <family val="1"/>
    </font>
    <font>
      <i/>
      <sz val="10"/>
      <color indexed="9"/>
      <name val="Times New Roman"/>
      <family val="1"/>
    </font>
    <font>
      <i/>
      <sz val="8"/>
      <color indexed="9"/>
      <name val="Times New Roman"/>
      <family val="1"/>
    </font>
    <font>
      <i/>
      <sz val="22"/>
      <color indexed="9"/>
      <name val="Times New Roman"/>
      <family val="1"/>
    </font>
    <font>
      <i/>
      <sz val="26"/>
      <color indexed="9"/>
      <name val="Times New Roman"/>
      <family val="1"/>
    </font>
    <font>
      <i/>
      <sz val="11"/>
      <color indexed="9"/>
      <name val="Times New Roman"/>
      <family val="1"/>
    </font>
    <font>
      <b/>
      <i/>
      <sz val="16"/>
      <color indexed="9"/>
      <name val="Times New Roman"/>
      <family val="1"/>
    </font>
    <font>
      <sz val="18"/>
      <color indexed="10"/>
      <name val="Times New Roman"/>
      <family val="1"/>
    </font>
    <font>
      <sz val="17"/>
      <name val="Times New Roman"/>
      <family val="1"/>
    </font>
    <font>
      <sz val="22"/>
      <name val="Times New Roman"/>
      <family val="1"/>
    </font>
    <font>
      <u val="single"/>
      <sz val="22"/>
      <name val="Times New Roman"/>
      <family val="1"/>
    </font>
    <font>
      <sz val="18"/>
      <name val="Calibri"/>
      <family val="2"/>
    </font>
    <font>
      <i/>
      <sz val="16"/>
      <name val="Times New Roman"/>
      <family val="1"/>
    </font>
    <font>
      <b/>
      <i/>
      <sz val="16"/>
      <name val="Times New Roman"/>
      <family val="1"/>
    </font>
    <font>
      <sz val="11"/>
      <color indexed="9"/>
      <name val="Times New Roman"/>
      <family val="1"/>
    </font>
    <font>
      <b/>
      <sz val="11"/>
      <color indexed="9"/>
      <name val="Times New Roman"/>
      <family val="1"/>
    </font>
    <font>
      <sz val="11"/>
      <color indexed="30"/>
      <name val="Times New Roman"/>
      <family val="1"/>
    </font>
    <font>
      <i/>
      <sz val="11"/>
      <color indexed="10"/>
      <name val="Times New Roman"/>
      <family val="1"/>
    </font>
    <font>
      <b/>
      <sz val="18"/>
      <color indexed="10"/>
      <name val="Times New Roman"/>
      <family val="1"/>
    </font>
    <font>
      <b/>
      <sz val="12"/>
      <color indexed="10"/>
      <name val="Arial"/>
      <family val="2"/>
    </font>
    <font>
      <i/>
      <sz val="14"/>
      <color indexed="10"/>
      <name val="Times New Roman"/>
      <family val="1"/>
    </font>
    <font>
      <b/>
      <i/>
      <sz val="14"/>
      <color indexed="10"/>
      <name val="Times New Roman"/>
      <family val="1"/>
    </font>
    <font>
      <b/>
      <i/>
      <sz val="13"/>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30"/>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0"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5" fillId="25" borderId="1" applyNumberFormat="0" applyAlignment="0" applyProtection="0"/>
    <xf numFmtId="0" fontId="86" fillId="26" borderId="2" applyNumberFormat="0" applyAlignment="0" applyProtection="0"/>
    <xf numFmtId="0" fontId="8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2" fillId="0" borderId="0">
      <alignment vertical="top"/>
      <protection/>
    </xf>
    <xf numFmtId="0" fontId="91" fillId="0" borderId="6" applyNumberFormat="0" applyFill="0" applyAlignment="0" applyProtection="0"/>
    <xf numFmtId="0" fontId="92" fillId="27" borderId="7" applyNumberFormat="0" applyAlignment="0" applyProtection="0"/>
    <xf numFmtId="0" fontId="93" fillId="0" borderId="0" applyNumberFormat="0" applyFill="0" applyBorder="0" applyAlignment="0" applyProtection="0"/>
    <xf numFmtId="0" fontId="94" fillId="28" borderId="0" applyNumberFormat="0" applyBorder="0" applyAlignment="0" applyProtection="0"/>
    <xf numFmtId="0" fontId="6" fillId="0" borderId="0" applyNumberFormat="0" applyFill="0" applyBorder="0" applyAlignment="0" applyProtection="0"/>
    <xf numFmtId="0" fontId="95" fillId="29" borderId="0" applyNumberFormat="0" applyBorder="0" applyAlignment="0" applyProtection="0"/>
    <xf numFmtId="0" fontId="9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9" fillId="31" borderId="0" applyNumberFormat="0" applyBorder="0" applyAlignment="0" applyProtection="0"/>
  </cellStyleXfs>
  <cellXfs count="572">
    <xf numFmtId="0" fontId="0" fillId="0" borderId="0" xfId="0" applyAlignment="1">
      <alignment/>
    </xf>
    <xf numFmtId="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8" fillId="0" borderId="0" xfId="0" applyFont="1" applyAlignment="1">
      <alignment horizontal="center" vertical="center" wrapText="1"/>
    </xf>
    <xf numFmtId="4" fontId="9" fillId="0" borderId="0" xfId="0" applyNumberFormat="1" applyFont="1" applyAlignment="1">
      <alignment horizontal="center" vertical="center" wrapText="1"/>
    </xf>
    <xf numFmtId="0" fontId="9" fillId="0" borderId="0" xfId="0" applyFont="1" applyAlignment="1">
      <alignment horizontal="center" vertical="center" wrapText="1"/>
    </xf>
    <xf numFmtId="4" fontId="9" fillId="32" borderId="0" xfId="0" applyNumberFormat="1" applyFont="1" applyFill="1" applyAlignment="1">
      <alignment horizontal="center" vertical="center" wrapText="1"/>
    </xf>
    <xf numFmtId="49" fontId="11" fillId="0" borderId="0" xfId="0" applyNumberFormat="1" applyFont="1" applyAlignment="1">
      <alignment horizontal="center" vertical="center" wrapText="1"/>
    </xf>
    <xf numFmtId="49" fontId="11" fillId="0" borderId="0" xfId="0" applyNumberFormat="1"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4" fontId="12" fillId="0" borderId="0" xfId="0" applyNumberFormat="1" applyFont="1" applyAlignment="1">
      <alignment horizontal="right" vertical="center" wrapText="1"/>
    </xf>
    <xf numFmtId="4" fontId="11" fillId="0" borderId="0" xfId="0" applyNumberFormat="1" applyFont="1" applyAlignment="1">
      <alignment horizontal="right" vertical="center" wrapText="1"/>
    </xf>
    <xf numFmtId="0" fontId="14" fillId="0" borderId="0" xfId="0" applyFont="1" applyAlignment="1">
      <alignment vertical="center" wrapText="1"/>
    </xf>
    <xf numFmtId="4" fontId="15" fillId="0" borderId="0" xfId="0" applyNumberFormat="1" applyFont="1" applyAlignment="1">
      <alignment horizontal="left" vertical="center" wrapText="1"/>
    </xf>
    <xf numFmtId="49" fontId="16" fillId="0" borderId="0" xfId="0" applyNumberFormat="1" applyFont="1" applyAlignment="1">
      <alignment horizontal="center" vertical="center" wrapText="1"/>
    </xf>
    <xf numFmtId="49" fontId="16" fillId="0" borderId="0" xfId="0" applyNumberFormat="1" applyFont="1" applyAlignment="1">
      <alignment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vertical="center" wrapText="1"/>
    </xf>
    <xf numFmtId="4" fontId="17" fillId="0" borderId="0" xfId="0" applyNumberFormat="1" applyFont="1" applyAlignment="1">
      <alignment horizontal="right" vertical="center" wrapText="1"/>
    </xf>
    <xf numFmtId="4" fontId="16" fillId="0" borderId="0" xfId="0" applyNumberFormat="1" applyFont="1" applyAlignment="1">
      <alignment horizontal="right" vertical="center" wrapText="1"/>
    </xf>
    <xf numFmtId="0" fontId="7" fillId="0" borderId="0" xfId="0" applyNumberFormat="1" applyFont="1" applyFill="1" applyAlignment="1" applyProtection="1">
      <alignment horizontal="center" vertical="center" wrapText="1"/>
      <protection/>
    </xf>
    <xf numFmtId="4" fontId="18" fillId="0" borderId="0" xfId="0" applyNumberFormat="1" applyFont="1" applyFill="1" applyAlignment="1" applyProtection="1">
      <alignment horizontal="right" vertical="center" wrapText="1"/>
      <protection/>
    </xf>
    <xf numFmtId="2" fontId="20" fillId="0" borderId="10" xfId="0" applyNumberFormat="1" applyFont="1" applyFill="1" applyBorder="1" applyAlignment="1">
      <alignment horizontal="center" vertical="center" wrapText="1"/>
    </xf>
    <xf numFmtId="49" fontId="20" fillId="0" borderId="10" xfId="0" applyNumberFormat="1" applyFont="1" applyBorder="1" applyAlignment="1" quotePrefix="1">
      <alignment horizontal="center" vertical="center" wrapText="1"/>
    </xf>
    <xf numFmtId="49" fontId="20" fillId="0" borderId="10" xfId="0" applyNumberFormat="1" applyFont="1" applyBorder="1" applyAlignment="1">
      <alignment horizontal="center" vertical="center" wrapText="1"/>
    </xf>
    <xf numFmtId="2" fontId="20" fillId="0" borderId="10" xfId="0" applyNumberFormat="1" applyFont="1" applyBorder="1" applyAlignment="1">
      <alignment horizontal="left" vertical="center" wrapText="1"/>
    </xf>
    <xf numFmtId="2" fontId="20" fillId="0" borderId="10" xfId="0" applyNumberFormat="1" applyFont="1" applyBorder="1" applyAlignment="1">
      <alignment horizontal="center" vertical="center" wrapText="1"/>
    </xf>
    <xf numFmtId="4" fontId="18" fillId="0" borderId="10" xfId="49" applyNumberFormat="1" applyFont="1" applyFill="1" applyBorder="1" applyAlignment="1">
      <alignment horizontal="right" vertical="center" wrapText="1"/>
      <protection/>
    </xf>
    <xf numFmtId="4" fontId="20" fillId="0" borderId="10" xfId="0" applyNumberFormat="1" applyFont="1" applyBorder="1" applyAlignment="1">
      <alignment horizontal="right" vertical="center" wrapText="1"/>
    </xf>
    <xf numFmtId="4" fontId="20" fillId="0" borderId="10" xfId="0" applyNumberFormat="1" applyFont="1" applyFill="1" applyBorder="1" applyAlignment="1">
      <alignment horizontal="right" vertical="center" wrapText="1"/>
    </xf>
    <xf numFmtId="0" fontId="20" fillId="0" borderId="0" xfId="0" applyFont="1" applyFill="1" applyAlignment="1">
      <alignment vertical="center" wrapText="1"/>
    </xf>
    <xf numFmtId="0" fontId="20" fillId="0" borderId="0" xfId="0" applyFont="1" applyAlignment="1">
      <alignment vertical="center" wrapText="1"/>
    </xf>
    <xf numFmtId="4" fontId="20" fillId="0" borderId="0" xfId="0" applyNumberFormat="1" applyFont="1" applyAlignment="1">
      <alignment vertical="center" wrapText="1"/>
    </xf>
    <xf numFmtId="4" fontId="20" fillId="0" borderId="10" xfId="49" applyNumberFormat="1" applyFont="1" applyFill="1" applyBorder="1" applyAlignment="1">
      <alignment horizontal="right" vertical="center" wrapText="1"/>
      <protection/>
    </xf>
    <xf numFmtId="49" fontId="18" fillId="33" borderId="10" xfId="0" applyNumberFormat="1" applyFont="1" applyFill="1" applyBorder="1" applyAlignment="1">
      <alignment horizontal="center" vertical="center" wrapText="1"/>
    </xf>
    <xf numFmtId="49" fontId="18" fillId="33" borderId="10" xfId="0" applyNumberFormat="1" applyFont="1" applyFill="1" applyBorder="1" applyAlignment="1" quotePrefix="1">
      <alignment horizontal="center" vertical="center" wrapText="1"/>
    </xf>
    <xf numFmtId="2" fontId="18" fillId="33" borderId="10" xfId="0" applyNumberFormat="1" applyFont="1" applyFill="1" applyBorder="1" applyAlignment="1">
      <alignment horizontal="center" vertical="center" wrapText="1"/>
    </xf>
    <xf numFmtId="4" fontId="18" fillId="33" borderId="10" xfId="0" applyNumberFormat="1" applyFont="1" applyFill="1" applyBorder="1" applyAlignment="1">
      <alignment horizontal="right" vertical="center" wrapText="1"/>
    </xf>
    <xf numFmtId="4" fontId="20" fillId="0" borderId="10" xfId="0" applyNumberFormat="1" applyFont="1" applyBorder="1" applyAlignment="1">
      <alignment horizontal="center" vertical="center" wrapText="1"/>
    </xf>
    <xf numFmtId="0" fontId="18" fillId="0" borderId="0" xfId="0" applyFont="1" applyAlignment="1">
      <alignment vertical="center" wrapText="1"/>
    </xf>
    <xf numFmtId="3" fontId="20" fillId="0" borderId="10" xfId="49" applyNumberFormat="1" applyFont="1" applyFill="1" applyBorder="1" applyAlignment="1">
      <alignment horizontal="center" vertical="center" wrapText="1"/>
      <protection/>
    </xf>
    <xf numFmtId="49" fontId="20" fillId="0" borderId="10" xfId="0" applyNumberFormat="1" applyFont="1" applyFill="1" applyBorder="1" applyAlignment="1">
      <alignment horizontal="center" vertical="center" wrapText="1"/>
    </xf>
    <xf numFmtId="2" fontId="20" fillId="0" borderId="10" xfId="0" applyNumberFormat="1" applyFont="1" applyFill="1" applyBorder="1" applyAlignment="1">
      <alignment horizontal="left" vertical="center" wrapText="1"/>
    </xf>
    <xf numFmtId="4" fontId="18" fillId="32" borderId="10" xfId="0" applyNumberFormat="1" applyFont="1" applyFill="1" applyBorder="1" applyAlignment="1">
      <alignment horizontal="right" vertical="center" wrapText="1"/>
    </xf>
    <xf numFmtId="0" fontId="18" fillId="33" borderId="10" xfId="0" applyFont="1" applyFill="1" applyBorder="1" applyAlignment="1">
      <alignment horizontal="center" vertical="center" wrapText="1"/>
    </xf>
    <xf numFmtId="0" fontId="20" fillId="33" borderId="0" xfId="0" applyFont="1" applyFill="1" applyBorder="1" applyAlignment="1">
      <alignment vertical="center" wrapText="1"/>
    </xf>
    <xf numFmtId="49" fontId="20" fillId="0" borderId="10" xfId="0" applyNumberFormat="1" applyFont="1" applyFill="1" applyBorder="1" applyAlignment="1" quotePrefix="1">
      <alignment horizontal="center" vertical="center" wrapText="1"/>
    </xf>
    <xf numFmtId="4" fontId="18" fillId="32" borderId="10" xfId="0" applyNumberFormat="1" applyFont="1" applyFill="1" applyBorder="1" applyAlignment="1" quotePrefix="1">
      <alignment horizontal="right" vertical="center" wrapText="1"/>
    </xf>
    <xf numFmtId="4" fontId="18" fillId="33" borderId="10" xfId="0" applyNumberFormat="1" applyFont="1" applyFill="1" applyBorder="1" applyAlignment="1" quotePrefix="1">
      <alignment horizontal="right" vertical="center" wrapText="1"/>
    </xf>
    <xf numFmtId="4" fontId="20" fillId="0" borderId="10" xfId="0" applyNumberFormat="1" applyFont="1" applyBorder="1" applyAlignment="1">
      <alignment vertical="center" wrapText="1"/>
    </xf>
    <xf numFmtId="49" fontId="20" fillId="4" borderId="10" xfId="0" applyNumberFormat="1" applyFont="1" applyFill="1" applyBorder="1" applyAlignment="1">
      <alignment horizontal="center" vertical="center" wrapText="1"/>
    </xf>
    <xf numFmtId="49" fontId="20" fillId="4" borderId="10" xfId="0" applyNumberFormat="1" applyFont="1" applyFill="1" applyBorder="1" applyAlignment="1" quotePrefix="1">
      <alignment horizontal="center" vertical="center" wrapText="1"/>
    </xf>
    <xf numFmtId="2" fontId="20" fillId="4" borderId="10" xfId="0" applyNumberFormat="1" applyFont="1" applyFill="1" applyBorder="1" applyAlignment="1">
      <alignment horizontal="center" vertical="center" wrapText="1"/>
    </xf>
    <xf numFmtId="4" fontId="18" fillId="4" borderId="10" xfId="0" applyNumberFormat="1" applyFont="1" applyFill="1" applyBorder="1" applyAlignment="1" applyProtection="1">
      <alignment horizontal="right" vertical="center" wrapText="1"/>
      <protection/>
    </xf>
    <xf numFmtId="0" fontId="21" fillId="0" borderId="0" xfId="0" applyFont="1" applyAlignment="1">
      <alignment vertical="center" wrapText="1"/>
    </xf>
    <xf numFmtId="4" fontId="18" fillId="4" borderId="10" xfId="0" applyNumberFormat="1" applyFont="1" applyFill="1" applyBorder="1" applyAlignment="1" quotePrefix="1">
      <alignment horizontal="right" vertical="center" wrapText="1"/>
    </xf>
    <xf numFmtId="4" fontId="18" fillId="0" borderId="10" xfId="0" applyNumberFormat="1" applyFont="1" applyFill="1" applyBorder="1" applyAlignment="1">
      <alignment horizontal="right" vertical="center" wrapText="1"/>
    </xf>
    <xf numFmtId="4" fontId="20" fillId="0" borderId="10" xfId="0" applyNumberFormat="1" applyFont="1" applyFill="1" applyBorder="1" applyAlignment="1" applyProtection="1">
      <alignment horizontal="right" vertical="center" wrapText="1"/>
      <protection/>
    </xf>
    <xf numFmtId="3" fontId="20" fillId="0" borderId="10" xfId="0" applyNumberFormat="1" applyFont="1" applyFill="1" applyBorder="1" applyAlignment="1" applyProtection="1">
      <alignment horizontal="center" vertical="center" wrapText="1"/>
      <protection/>
    </xf>
    <xf numFmtId="3" fontId="20" fillId="0" borderId="11" xfId="49" applyNumberFormat="1" applyFont="1" applyFill="1" applyBorder="1" applyAlignment="1">
      <alignment horizontal="center" vertical="center" wrapText="1"/>
      <protection/>
    </xf>
    <xf numFmtId="0" fontId="3" fillId="0" borderId="0" xfId="0" applyFont="1" applyAlignment="1">
      <alignment vertical="center" wrapText="1"/>
    </xf>
    <xf numFmtId="49" fontId="3" fillId="0" borderId="12" xfId="0" applyNumberFormat="1" applyFont="1" applyBorder="1" applyAlignment="1">
      <alignment horizontal="center" vertical="center" wrapText="1"/>
    </xf>
    <xf numFmtId="49" fontId="3" fillId="0" borderId="12" xfId="0" applyNumberFormat="1" applyFont="1" applyBorder="1" applyAlignment="1">
      <alignment vertical="center" wrapText="1"/>
    </xf>
    <xf numFmtId="0" fontId="3" fillId="0" borderId="12" xfId="0" applyFont="1" applyBorder="1" applyAlignment="1">
      <alignment horizontal="left" vertical="center" wrapText="1"/>
    </xf>
    <xf numFmtId="4" fontId="3"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4" fontId="4" fillId="0" borderId="12" xfId="0" applyNumberFormat="1" applyFont="1" applyBorder="1" applyAlignment="1">
      <alignment horizontal="right" vertical="center" wrapText="1"/>
    </xf>
    <xf numFmtId="4" fontId="3" fillId="0" borderId="12" xfId="0" applyNumberFormat="1" applyFont="1" applyBorder="1" applyAlignment="1">
      <alignment horizontal="right"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49" fontId="18" fillId="4" borderId="10" xfId="0" applyNumberFormat="1" applyFont="1" applyFill="1" applyBorder="1" applyAlignment="1" quotePrefix="1">
      <alignment horizontal="center" vertical="center" wrapText="1"/>
    </xf>
    <xf numFmtId="49" fontId="18" fillId="4" borderId="10" xfId="0" applyNumberFormat="1" applyFont="1" applyFill="1" applyBorder="1" applyAlignment="1">
      <alignment horizontal="center" vertical="center" wrapText="1"/>
    </xf>
    <xf numFmtId="2" fontId="18" fillId="4" borderId="10" xfId="0" applyNumberFormat="1" applyFont="1" applyFill="1" applyBorder="1" applyAlignment="1">
      <alignment horizontal="center" vertical="center" wrapText="1"/>
    </xf>
    <xf numFmtId="49" fontId="20" fillId="0" borderId="11" xfId="0" applyNumberFormat="1" applyFont="1" applyBorder="1" applyAlignment="1" quotePrefix="1">
      <alignment horizontal="center" vertical="center" wrapText="1"/>
    </xf>
    <xf numFmtId="2" fontId="20" fillId="0" borderId="11" xfId="0" applyNumberFormat="1" applyFont="1" applyBorder="1" applyAlignment="1">
      <alignment horizontal="center" vertical="center" wrapText="1"/>
    </xf>
    <xf numFmtId="0" fontId="20" fillId="34" borderId="0" xfId="0" applyFont="1" applyFill="1" applyAlignment="1">
      <alignment vertical="center" wrapText="1"/>
    </xf>
    <xf numFmtId="49" fontId="20" fillId="0" borderId="13" xfId="0" applyNumberFormat="1" applyFont="1" applyBorder="1" applyAlignment="1" quotePrefix="1">
      <alignment horizontal="center" vertical="center" wrapText="1"/>
    </xf>
    <xf numFmtId="4" fontId="20" fillId="32" borderId="10" xfId="0" applyNumberFormat="1" applyFont="1" applyFill="1" applyBorder="1" applyAlignment="1">
      <alignment horizontal="right" vertical="center" wrapText="1"/>
    </xf>
    <xf numFmtId="49" fontId="20" fillId="32" borderId="10" xfId="0" applyNumberFormat="1" applyFont="1" applyFill="1" applyBorder="1" applyAlignment="1">
      <alignment horizontal="center" vertical="center" wrapText="1"/>
    </xf>
    <xf numFmtId="49" fontId="20" fillId="32" borderId="10" xfId="0" applyNumberFormat="1" applyFont="1" applyFill="1" applyBorder="1" applyAlignment="1" quotePrefix="1">
      <alignment horizontal="center" vertical="center" wrapText="1"/>
    </xf>
    <xf numFmtId="2" fontId="20" fillId="32" borderId="10" xfId="0" applyNumberFormat="1" applyFont="1" applyFill="1" applyBorder="1" applyAlignment="1">
      <alignment vertical="center" wrapText="1"/>
    </xf>
    <xf numFmtId="2" fontId="20" fillId="32" borderId="10" xfId="0" applyNumberFormat="1" applyFont="1" applyFill="1" applyBorder="1" applyAlignment="1">
      <alignment horizontal="center" vertical="center" wrapText="1"/>
    </xf>
    <xf numFmtId="4" fontId="20" fillId="32" borderId="10" xfId="49" applyNumberFormat="1" applyFont="1" applyFill="1" applyBorder="1" applyAlignment="1">
      <alignment horizontal="right" vertical="center" wrapText="1"/>
      <protection/>
    </xf>
    <xf numFmtId="2" fontId="20" fillId="32" borderId="10" xfId="0" applyNumberFormat="1" applyFont="1" applyFill="1" applyBorder="1" applyAlignment="1">
      <alignment horizontal="left" vertical="center" wrapText="1"/>
    </xf>
    <xf numFmtId="3" fontId="20" fillId="35" borderId="10" xfId="0" applyNumberFormat="1" applyFont="1" applyFill="1" applyBorder="1" applyAlignment="1" applyProtection="1">
      <alignment horizontal="center" vertical="center" wrapText="1"/>
      <protection/>
    </xf>
    <xf numFmtId="3" fontId="20" fillId="32" borderId="10" xfId="0" applyNumberFormat="1" applyFont="1" applyFill="1" applyBorder="1" applyAlignment="1" applyProtection="1">
      <alignment horizontal="center" vertical="center" wrapText="1"/>
      <protection/>
    </xf>
    <xf numFmtId="2" fontId="20" fillId="0" borderId="14" xfId="0" applyNumberFormat="1" applyFont="1" applyBorder="1" applyAlignment="1">
      <alignment horizontal="left" vertical="center" wrapText="1"/>
    </xf>
    <xf numFmtId="3" fontId="20" fillId="4" borderId="10" xfId="49" applyNumberFormat="1" applyFont="1" applyFill="1" applyBorder="1" applyAlignment="1">
      <alignment horizontal="center" vertical="center" wrapText="1"/>
      <protection/>
    </xf>
    <xf numFmtId="4" fontId="18" fillId="4" borderId="10" xfId="49" applyNumberFormat="1" applyFont="1" applyFill="1" applyBorder="1" applyAlignment="1">
      <alignment horizontal="right" vertical="center" wrapText="1"/>
      <protection/>
    </xf>
    <xf numFmtId="0" fontId="20" fillId="0" borderId="10" xfId="0" applyFont="1" applyBorder="1" applyAlignment="1" quotePrefix="1">
      <alignment horizontal="center" vertical="center" wrapText="1"/>
    </xf>
    <xf numFmtId="2" fontId="20" fillId="0" borderId="10" xfId="0" applyNumberFormat="1" applyFont="1" applyBorder="1" applyAlignment="1" quotePrefix="1">
      <alignment vertical="center" wrapText="1"/>
    </xf>
    <xf numFmtId="4" fontId="18" fillId="4" borderId="10" xfId="0" applyNumberFormat="1" applyFont="1" applyFill="1" applyBorder="1" applyAlignment="1">
      <alignment horizontal="right" vertical="center" wrapText="1"/>
    </xf>
    <xf numFmtId="4" fontId="18" fillId="36" borderId="10" xfId="0" applyNumberFormat="1" applyFont="1" applyFill="1" applyBorder="1" applyAlignment="1">
      <alignment horizontal="right" vertical="center" wrapText="1"/>
    </xf>
    <xf numFmtId="2" fontId="25" fillId="0" borderId="10" xfId="0" applyNumberFormat="1" applyFont="1" applyBorder="1" applyAlignment="1">
      <alignment horizontal="left" vertical="center" wrapText="1"/>
    </xf>
    <xf numFmtId="4" fontId="26" fillId="0" borderId="10" xfId="49" applyNumberFormat="1" applyFont="1" applyFill="1" applyBorder="1" applyAlignment="1">
      <alignment horizontal="right" vertical="center" wrapText="1"/>
      <protection/>
    </xf>
    <xf numFmtId="4" fontId="25" fillId="0" borderId="10" xfId="0" applyNumberFormat="1" applyFont="1" applyBorder="1" applyAlignment="1">
      <alignment horizontal="right" vertical="center" wrapText="1"/>
    </xf>
    <xf numFmtId="4" fontId="25" fillId="32" borderId="10" xfId="0" applyNumberFormat="1" applyFont="1" applyFill="1" applyBorder="1" applyAlignment="1">
      <alignment horizontal="right" vertical="center" wrapText="1"/>
    </xf>
    <xf numFmtId="49" fontId="27" fillId="0" borderId="10" xfId="0" applyNumberFormat="1" applyFont="1" applyBorder="1" applyAlignment="1" quotePrefix="1">
      <alignment horizontal="center" vertical="center" wrapText="1"/>
    </xf>
    <xf numFmtId="0" fontId="27" fillId="0" borderId="0" xfId="0" applyFont="1" applyAlignment="1">
      <alignment vertical="center" wrapText="1"/>
    </xf>
    <xf numFmtId="2" fontId="25" fillId="0" borderId="10" xfId="0" applyNumberFormat="1" applyFont="1" applyFill="1" applyBorder="1" applyAlignment="1">
      <alignment horizontal="left" vertical="center" wrapText="1"/>
    </xf>
    <xf numFmtId="4" fontId="25" fillId="0" borderId="10" xfId="0" applyNumberFormat="1" applyFont="1" applyFill="1" applyBorder="1" applyAlignment="1">
      <alignment horizontal="right" vertical="center" wrapText="1"/>
    </xf>
    <xf numFmtId="0" fontId="27" fillId="0" borderId="0" xfId="0" applyFont="1" applyFill="1" applyAlignment="1">
      <alignment vertical="center" wrapText="1"/>
    </xf>
    <xf numFmtId="4" fontId="27" fillId="0" borderId="10" xfId="0" applyNumberFormat="1" applyFont="1" applyFill="1" applyBorder="1" applyAlignment="1">
      <alignment horizontal="right" vertical="center" wrapText="1"/>
    </xf>
    <xf numFmtId="3" fontId="20" fillId="32" borderId="11" xfId="0" applyNumberFormat="1" applyFont="1" applyFill="1" applyBorder="1" applyAlignment="1" applyProtection="1">
      <alignment horizontal="center" vertical="center" wrapText="1"/>
      <protection/>
    </xf>
    <xf numFmtId="3" fontId="20" fillId="0" borderId="11" xfId="0" applyNumberFormat="1" applyFont="1" applyFill="1" applyBorder="1" applyAlignment="1" applyProtection="1">
      <alignment horizontal="center" vertical="center" wrapText="1"/>
      <protection/>
    </xf>
    <xf numFmtId="2" fontId="20" fillId="0" borderId="10" xfId="0" applyNumberFormat="1" applyFont="1" applyFill="1" applyBorder="1" applyAlignment="1" quotePrefix="1">
      <alignment horizontal="left" vertical="center" wrapText="1"/>
    </xf>
    <xf numFmtId="0" fontId="20" fillId="0" borderId="0" xfId="0" applyFont="1" applyFill="1" applyAlignment="1">
      <alignment horizontal="center" vertical="center" wrapText="1"/>
    </xf>
    <xf numFmtId="2" fontId="20" fillId="0" borderId="10" xfId="0" applyNumberFormat="1" applyFont="1" applyBorder="1" applyAlignment="1" quotePrefix="1">
      <alignment horizontal="left" vertical="center" wrapText="1"/>
    </xf>
    <xf numFmtId="3" fontId="20" fillId="35" borderId="10" xfId="49" applyNumberFormat="1" applyFont="1" applyFill="1" applyBorder="1" applyAlignment="1">
      <alignment horizontal="center" vertical="center" wrapText="1"/>
      <protection/>
    </xf>
    <xf numFmtId="49" fontId="20" fillId="0" borderId="11" xfId="0" applyNumberFormat="1" applyFont="1" applyFill="1" applyBorder="1" applyAlignment="1">
      <alignment horizontal="center" vertical="center" wrapText="1"/>
    </xf>
    <xf numFmtId="4" fontId="26" fillId="0" borderId="10" xfId="0" applyNumberFormat="1" applyFont="1" applyFill="1" applyBorder="1" applyAlignment="1">
      <alignment horizontal="right" vertical="center" wrapText="1"/>
    </xf>
    <xf numFmtId="4" fontId="25" fillId="0" borderId="10" xfId="49" applyNumberFormat="1" applyFont="1" applyFill="1" applyBorder="1" applyAlignment="1">
      <alignment horizontal="right" vertical="center" wrapText="1"/>
      <protection/>
    </xf>
    <xf numFmtId="4" fontId="21" fillId="0" borderId="10" xfId="0" applyNumberFormat="1" applyFont="1" applyFill="1" applyBorder="1" applyAlignment="1">
      <alignment horizontal="right" vertical="center" wrapText="1"/>
    </xf>
    <xf numFmtId="49" fontId="20" fillId="0" borderId="11" xfId="0" applyNumberFormat="1" applyFont="1" applyBorder="1" applyAlignment="1">
      <alignment horizontal="center" vertical="center" wrapText="1"/>
    </xf>
    <xf numFmtId="2" fontId="20" fillId="32" borderId="10" xfId="0" applyNumberFormat="1" applyFont="1" applyFill="1" applyBorder="1" applyAlignment="1" quotePrefix="1">
      <alignment vertical="center" wrapText="1"/>
    </xf>
    <xf numFmtId="3"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2" fontId="20" fillId="0" borderId="10" xfId="0" applyNumberFormat="1" applyFont="1" applyFill="1" applyBorder="1" applyAlignment="1" quotePrefix="1">
      <alignment vertical="center" wrapText="1"/>
    </xf>
    <xf numFmtId="4" fontId="20" fillId="0" borderId="10" xfId="0" applyNumberFormat="1" applyFont="1" applyFill="1" applyBorder="1" applyAlignment="1" quotePrefix="1">
      <alignment horizontal="right" vertical="center" wrapText="1"/>
    </xf>
    <xf numFmtId="0" fontId="20" fillId="0" borderId="10" xfId="0" applyNumberFormat="1" applyFont="1" applyFill="1" applyBorder="1" applyAlignment="1" quotePrefix="1">
      <alignment horizontal="center" vertical="center" wrapText="1"/>
    </xf>
    <xf numFmtId="4" fontId="20" fillId="0" borderId="10" xfId="0" applyNumberFormat="1" applyFont="1" applyFill="1" applyBorder="1" applyAlignment="1">
      <alignment vertical="center" wrapText="1"/>
    </xf>
    <xf numFmtId="2" fontId="20" fillId="0" borderId="10" xfId="0" applyNumberFormat="1" applyFont="1" applyFill="1" applyBorder="1" applyAlignment="1" quotePrefix="1">
      <alignment horizontal="center" vertical="center" wrapText="1"/>
    </xf>
    <xf numFmtId="3" fontId="20" fillId="32" borderId="10" xfId="49" applyNumberFormat="1" applyFont="1" applyFill="1" applyBorder="1" applyAlignment="1">
      <alignment horizontal="center" vertical="center" wrapText="1"/>
      <protection/>
    </xf>
    <xf numFmtId="4" fontId="18" fillId="0" borderId="10" xfId="0" applyNumberFormat="1" applyFont="1" applyFill="1" applyBorder="1" applyAlignment="1">
      <alignment vertical="center" wrapText="1"/>
    </xf>
    <xf numFmtId="4" fontId="20" fillId="32" borderId="10" xfId="0" applyNumberFormat="1" applyFont="1" applyFill="1" applyBorder="1" applyAlignment="1">
      <alignment horizontal="center" vertical="center" wrapText="1"/>
    </xf>
    <xf numFmtId="49" fontId="25" fillId="0" borderId="10" xfId="0" applyNumberFormat="1" applyFont="1" applyFill="1" applyBorder="1" applyAlignment="1" quotePrefix="1">
      <alignment horizontal="center" vertical="center" wrapText="1"/>
    </xf>
    <xf numFmtId="49" fontId="25" fillId="0" borderId="10" xfId="0" applyNumberFormat="1" applyFont="1" applyFill="1" applyBorder="1" applyAlignment="1">
      <alignment horizontal="center" vertical="center" wrapText="1"/>
    </xf>
    <xf numFmtId="3" fontId="25" fillId="0" borderId="10" xfId="0" applyNumberFormat="1" applyFont="1" applyFill="1" applyBorder="1" applyAlignment="1" applyProtection="1">
      <alignment horizontal="center" vertical="center" wrapText="1"/>
      <protection/>
    </xf>
    <xf numFmtId="4" fontId="26" fillId="0" borderId="10" xfId="0" applyNumberFormat="1" applyFont="1" applyFill="1" applyBorder="1" applyAlignment="1" applyProtection="1">
      <alignment horizontal="right" vertical="center" wrapText="1"/>
      <protection/>
    </xf>
    <xf numFmtId="4" fontId="25" fillId="0" borderId="10" xfId="0" applyNumberFormat="1" applyFont="1" applyFill="1" applyBorder="1" applyAlignment="1" applyProtection="1">
      <alignment horizontal="right" vertical="center" wrapText="1"/>
      <protection/>
    </xf>
    <xf numFmtId="0" fontId="25" fillId="0" borderId="0" xfId="0" applyFont="1" applyAlignment="1">
      <alignment vertical="center" wrapText="1"/>
    </xf>
    <xf numFmtId="2" fontId="20" fillId="0" borderId="13" xfId="0" applyNumberFormat="1" applyFont="1" applyBorder="1" applyAlignment="1">
      <alignment horizontal="left" vertical="center" wrapText="1"/>
    </xf>
    <xf numFmtId="0" fontId="20" fillId="0" borderId="10" xfId="0" applyFont="1" applyFill="1" applyBorder="1" applyAlignment="1" quotePrefix="1">
      <alignment horizontal="center" vertical="center" wrapText="1"/>
    </xf>
    <xf numFmtId="0" fontId="25" fillId="0" borderId="13" xfId="0" applyFont="1" applyBorder="1" applyAlignment="1">
      <alignment wrapText="1"/>
    </xf>
    <xf numFmtId="0" fontId="21" fillId="0" borderId="0" xfId="0" applyFont="1" applyFill="1" applyAlignment="1">
      <alignment vertical="center" wrapText="1"/>
    </xf>
    <xf numFmtId="3" fontId="20" fillId="0" borderId="15" xfId="49" applyNumberFormat="1" applyFont="1" applyFill="1" applyBorder="1" applyAlignment="1">
      <alignment horizontal="center" vertical="center" wrapText="1"/>
      <protection/>
    </xf>
    <xf numFmtId="0" fontId="20" fillId="32" borderId="10" xfId="0" applyFont="1" applyFill="1" applyBorder="1" applyAlignment="1">
      <alignment horizontal="center" vertical="center" wrapText="1"/>
    </xf>
    <xf numFmtId="0" fontId="20" fillId="0" borderId="10" xfId="0" applyFont="1" applyBorder="1" applyAlignment="1">
      <alignment horizontal="center" vertical="center" wrapText="1"/>
    </xf>
    <xf numFmtId="49" fontId="25" fillId="32" borderId="10" xfId="0" applyNumberFormat="1" applyFont="1" applyFill="1" applyBorder="1" applyAlignment="1" quotePrefix="1">
      <alignment horizontal="center" vertical="center" wrapText="1"/>
    </xf>
    <xf numFmtId="49" fontId="25" fillId="32" borderId="10" xfId="0" applyNumberFormat="1" applyFont="1" applyFill="1" applyBorder="1" applyAlignment="1">
      <alignment horizontal="center" vertical="center" wrapText="1"/>
    </xf>
    <xf numFmtId="2" fontId="25" fillId="32" borderId="10" xfId="0" applyNumberFormat="1" applyFont="1" applyFill="1" applyBorder="1" applyAlignment="1">
      <alignment horizontal="left" vertical="center" wrapText="1"/>
    </xf>
    <xf numFmtId="3" fontId="25" fillId="32" borderId="10" xfId="0" applyNumberFormat="1" applyFont="1" applyFill="1" applyBorder="1" applyAlignment="1" applyProtection="1">
      <alignment horizontal="center" vertical="center" wrapText="1"/>
      <protection/>
    </xf>
    <xf numFmtId="4" fontId="26" fillId="32" borderId="10" xfId="0" applyNumberFormat="1" applyFont="1" applyFill="1" applyBorder="1" applyAlignment="1" applyProtection="1">
      <alignment horizontal="right" vertical="center" wrapText="1"/>
      <protection/>
    </xf>
    <xf numFmtId="4" fontId="25" fillId="32" borderId="10" xfId="0" applyNumberFormat="1" applyFont="1" applyFill="1" applyBorder="1" applyAlignment="1" applyProtection="1">
      <alignment horizontal="right" vertical="center" wrapText="1"/>
      <protection/>
    </xf>
    <xf numFmtId="0" fontId="25" fillId="35" borderId="0" xfId="0" applyFont="1" applyFill="1" applyAlignment="1">
      <alignment vertical="center" wrapText="1"/>
    </xf>
    <xf numFmtId="4" fontId="18" fillId="32" borderId="10" xfId="49" applyNumberFormat="1" applyFont="1" applyFill="1" applyBorder="1" applyAlignment="1">
      <alignment horizontal="right" vertical="center" wrapText="1"/>
      <protection/>
    </xf>
    <xf numFmtId="0" fontId="20" fillId="32" borderId="0" xfId="0" applyFont="1" applyFill="1" applyAlignment="1">
      <alignment vertical="center" wrapText="1"/>
    </xf>
    <xf numFmtId="4" fontId="18" fillId="32" borderId="10" xfId="0" applyNumberFormat="1" applyFont="1" applyFill="1" applyBorder="1" applyAlignment="1" applyProtection="1">
      <alignment horizontal="right" vertical="center" wrapText="1"/>
      <protection/>
    </xf>
    <xf numFmtId="4" fontId="20" fillId="32" borderId="10" xfId="0" applyNumberFormat="1" applyFont="1" applyFill="1" applyBorder="1" applyAlignment="1" applyProtection="1">
      <alignment horizontal="right" vertical="center" wrapText="1"/>
      <protection/>
    </xf>
    <xf numFmtId="4" fontId="18" fillId="0" borderId="10" xfId="0" applyNumberFormat="1" applyFont="1" applyFill="1" applyBorder="1" applyAlignment="1" applyProtection="1">
      <alignment horizontal="right" vertical="center" wrapText="1"/>
      <protection/>
    </xf>
    <xf numFmtId="0" fontId="20" fillId="0" borderId="10" xfId="0" applyFont="1" applyFill="1" applyBorder="1" applyAlignment="1">
      <alignment horizontal="left" vertical="center" wrapText="1"/>
    </xf>
    <xf numFmtId="0" fontId="18" fillId="0" borderId="0" xfId="0" applyFont="1" applyFill="1" applyBorder="1" applyAlignment="1">
      <alignment vertical="center" wrapText="1"/>
    </xf>
    <xf numFmtId="4" fontId="20" fillId="32" borderId="10" xfId="0" applyNumberFormat="1" applyFont="1" applyFill="1" applyBorder="1" applyAlignment="1" quotePrefix="1">
      <alignment horizontal="right" vertical="center" wrapText="1"/>
    </xf>
    <xf numFmtId="0" fontId="18" fillId="0" borderId="0" xfId="0" applyFont="1" applyBorder="1" applyAlignment="1">
      <alignment vertical="center" wrapText="1"/>
    </xf>
    <xf numFmtId="49" fontId="20" fillId="0" borderId="11" xfId="0" applyNumberFormat="1" applyFont="1" applyFill="1" applyBorder="1" applyAlignment="1" quotePrefix="1">
      <alignment horizontal="center" vertical="center" wrapText="1"/>
    </xf>
    <xf numFmtId="2" fontId="20" fillId="0" borderId="11" xfId="0" applyNumberFormat="1" applyFont="1" applyFill="1" applyBorder="1" applyAlignment="1" quotePrefix="1">
      <alignment horizontal="left" vertical="center" wrapText="1"/>
    </xf>
    <xf numFmtId="0" fontId="20" fillId="0" borderId="10" xfId="0" applyFont="1" applyBorder="1" applyAlignment="1">
      <alignment horizontal="left" vertical="center" wrapText="1"/>
    </xf>
    <xf numFmtId="4" fontId="18" fillId="0" borderId="10" xfId="0" applyNumberFormat="1" applyFont="1" applyBorder="1" applyAlignment="1">
      <alignment horizontal="right" vertical="center" wrapText="1"/>
    </xf>
    <xf numFmtId="0" fontId="20" fillId="0" borderId="0" xfId="0" applyFont="1" applyBorder="1" applyAlignment="1">
      <alignment vertical="center" wrapText="1"/>
    </xf>
    <xf numFmtId="0" fontId="20" fillId="0" borderId="0" xfId="0" applyFont="1" applyFill="1" applyBorder="1" applyAlignment="1">
      <alignment vertical="center" wrapText="1"/>
    </xf>
    <xf numFmtId="2" fontId="20" fillId="0" borderId="11" xfId="0" applyNumberFormat="1" applyFont="1" applyFill="1" applyBorder="1" applyAlignment="1">
      <alignment horizontal="center" vertical="center" wrapText="1"/>
    </xf>
    <xf numFmtId="2" fontId="20" fillId="32" borderId="11" xfId="0" applyNumberFormat="1" applyFont="1" applyFill="1" applyBorder="1" applyAlignment="1">
      <alignment horizontal="center" vertical="center" wrapText="1"/>
    </xf>
    <xf numFmtId="2" fontId="20" fillId="0" borderId="11" xfId="0" applyNumberFormat="1" applyFont="1" applyBorder="1" applyAlignment="1">
      <alignment horizontal="left" vertical="center" wrapText="1"/>
    </xf>
    <xf numFmtId="49" fontId="20" fillId="0" borderId="13" xfId="0" applyNumberFormat="1" applyFont="1" applyBorder="1" applyAlignment="1">
      <alignment horizontal="center" vertical="center" wrapText="1"/>
    </xf>
    <xf numFmtId="2" fontId="20" fillId="0" borderId="16" xfId="0" applyNumberFormat="1" applyFont="1" applyBorder="1" applyAlignment="1">
      <alignment horizontal="left" vertical="center" wrapText="1"/>
    </xf>
    <xf numFmtId="0" fontId="20" fillId="4" borderId="10" xfId="0" applyFont="1" applyFill="1" applyBorder="1" applyAlignment="1" quotePrefix="1">
      <alignment horizontal="center" vertical="center" wrapText="1"/>
    </xf>
    <xf numFmtId="3" fontId="20" fillId="4" borderId="10" xfId="0" applyNumberFormat="1" applyFont="1" applyFill="1" applyBorder="1" applyAlignment="1" applyProtection="1">
      <alignment horizontal="center" vertical="center" wrapText="1"/>
      <protection/>
    </xf>
    <xf numFmtId="0" fontId="18" fillId="33" borderId="10" xfId="0" applyFont="1" applyFill="1" applyBorder="1" applyAlignment="1" quotePrefix="1">
      <alignment horizontal="center" vertical="center" wrapText="1"/>
    </xf>
    <xf numFmtId="4" fontId="18" fillId="36" borderId="10" xfId="0" applyNumberFormat="1" applyFont="1" applyFill="1" applyBorder="1" applyAlignment="1" applyProtection="1">
      <alignment horizontal="right" vertical="center" wrapText="1"/>
      <protection/>
    </xf>
    <xf numFmtId="0" fontId="20" fillId="0" borderId="10" xfId="0" applyFont="1" applyBorder="1" applyAlignment="1">
      <alignment vertical="center" wrapText="1"/>
    </xf>
    <xf numFmtId="3" fontId="20" fillId="0" borderId="11" xfId="0" applyNumberFormat="1" applyFont="1" applyFill="1" applyBorder="1" applyAlignment="1" applyProtection="1">
      <alignment vertical="top" wrapText="1"/>
      <protection/>
    </xf>
    <xf numFmtId="4" fontId="18" fillId="36" borderId="10" xfId="0" applyNumberFormat="1" applyFont="1" applyFill="1" applyBorder="1" applyAlignment="1">
      <alignment vertical="center" wrapText="1"/>
    </xf>
    <xf numFmtId="2" fontId="20" fillId="32" borderId="10" xfId="0" applyNumberFormat="1" applyFont="1" applyFill="1" applyBorder="1" applyAlignment="1" quotePrefix="1">
      <alignment horizontal="left" vertical="center" wrapText="1"/>
    </xf>
    <xf numFmtId="49" fontId="27" fillId="0" borderId="10" xfId="0" applyNumberFormat="1" applyFont="1" applyBorder="1" applyAlignment="1">
      <alignment horizontal="center" vertical="center" wrapText="1"/>
    </xf>
    <xf numFmtId="2" fontId="25" fillId="0" borderId="10" xfId="0" applyNumberFormat="1" applyFont="1" applyBorder="1" applyAlignment="1">
      <alignment vertical="center" wrapText="1"/>
    </xf>
    <xf numFmtId="3" fontId="27" fillId="32" borderId="10" xfId="0" applyNumberFormat="1" applyFont="1" applyFill="1" applyBorder="1" applyAlignment="1" applyProtection="1">
      <alignment horizontal="center" vertical="center" wrapText="1"/>
      <protection/>
    </xf>
    <xf numFmtId="3" fontId="27" fillId="0" borderId="10" xfId="0" applyNumberFormat="1" applyFont="1" applyFill="1" applyBorder="1" applyAlignment="1" applyProtection="1">
      <alignment horizontal="center" vertical="center" wrapText="1"/>
      <protection/>
    </xf>
    <xf numFmtId="49" fontId="25" fillId="0" borderId="10" xfId="0" applyNumberFormat="1" applyFont="1" applyBorder="1" applyAlignment="1" quotePrefix="1">
      <alignment horizontal="center" vertical="center" wrapText="1"/>
    </xf>
    <xf numFmtId="49" fontId="25" fillId="0" borderId="10" xfId="0" applyNumberFormat="1" applyFont="1" applyBorder="1" applyAlignment="1">
      <alignment horizontal="center" vertical="center" wrapText="1"/>
    </xf>
    <xf numFmtId="2" fontId="25" fillId="32" borderId="10" xfId="0" applyNumberFormat="1" applyFont="1" applyFill="1" applyBorder="1" applyAlignment="1">
      <alignment horizontal="center" vertical="center" wrapText="1"/>
    </xf>
    <xf numFmtId="2" fontId="25" fillId="0" borderId="10" xfId="0" applyNumberFormat="1" applyFont="1" applyFill="1" applyBorder="1" applyAlignment="1">
      <alignment horizontal="center" vertical="center" wrapText="1"/>
    </xf>
    <xf numFmtId="0" fontId="20" fillId="32" borderId="10" xfId="0" applyFont="1" applyFill="1" applyBorder="1" applyAlignment="1">
      <alignment horizontal="left" vertical="center" wrapText="1"/>
    </xf>
    <xf numFmtId="0" fontId="20" fillId="32" borderId="10" xfId="0" applyFont="1" applyFill="1" applyBorder="1" applyAlignment="1" quotePrefix="1">
      <alignment horizontal="left" vertical="center" wrapText="1"/>
    </xf>
    <xf numFmtId="0" fontId="20" fillId="35" borderId="0" xfId="0" applyFont="1" applyFill="1" applyAlignment="1">
      <alignment vertical="center" wrapText="1"/>
    </xf>
    <xf numFmtId="2" fontId="20" fillId="32" borderId="10" xfId="0" applyNumberFormat="1" applyFont="1" applyFill="1" applyBorder="1" applyAlignment="1" quotePrefix="1">
      <alignment horizontal="center" vertical="center" wrapText="1"/>
    </xf>
    <xf numFmtId="4" fontId="18" fillId="32" borderId="10" xfId="0" applyNumberFormat="1" applyFont="1" applyFill="1" applyBorder="1" applyAlignment="1">
      <alignment vertical="center" wrapText="1"/>
    </xf>
    <xf numFmtId="4" fontId="20" fillId="32" borderId="10" xfId="0" applyNumberFormat="1" applyFont="1" applyFill="1" applyBorder="1" applyAlignment="1">
      <alignment vertical="center" wrapText="1"/>
    </xf>
    <xf numFmtId="3" fontId="20" fillId="32" borderId="11" xfId="49" applyNumberFormat="1" applyFont="1" applyFill="1" applyBorder="1" applyAlignment="1">
      <alignment horizontal="center" vertical="center" wrapText="1"/>
      <protection/>
    </xf>
    <xf numFmtId="3" fontId="25" fillId="0" borderId="10" xfId="49" applyNumberFormat="1" applyFont="1" applyFill="1" applyBorder="1" applyAlignment="1">
      <alignment horizontal="left" vertical="center" wrapText="1"/>
      <protection/>
    </xf>
    <xf numFmtId="0" fontId="25" fillId="0" borderId="0" xfId="0" applyFont="1" applyFill="1" applyAlignment="1">
      <alignment vertical="center" wrapText="1"/>
    </xf>
    <xf numFmtId="3" fontId="20" fillId="35" borderId="11" xfId="49" applyNumberFormat="1" applyFont="1" applyFill="1" applyBorder="1" applyAlignment="1">
      <alignment horizontal="center" vertical="center" wrapText="1"/>
      <protection/>
    </xf>
    <xf numFmtId="1" fontId="20" fillId="0" borderId="10" xfId="0" applyNumberFormat="1" applyFont="1" applyFill="1" applyBorder="1" applyAlignment="1" quotePrefix="1">
      <alignment horizontal="center" vertical="center" wrapText="1"/>
    </xf>
    <xf numFmtId="49" fontId="29" fillId="0" borderId="10" xfId="0" applyNumberFormat="1" applyFont="1" applyBorder="1" applyAlignment="1" quotePrefix="1">
      <alignment horizontal="center" vertical="center" wrapText="1"/>
    </xf>
    <xf numFmtId="2" fontId="29" fillId="0" borderId="10" xfId="0" applyNumberFormat="1" applyFont="1" applyBorder="1" applyAlignment="1">
      <alignment horizontal="left" vertical="center" wrapText="1"/>
    </xf>
    <xf numFmtId="3" fontId="29" fillId="0" borderId="10" xfId="0" applyNumberFormat="1" applyFont="1" applyFill="1" applyBorder="1" applyAlignment="1" applyProtection="1">
      <alignment horizontal="center" vertical="center" wrapText="1"/>
      <protection/>
    </xf>
    <xf numFmtId="4" fontId="30" fillId="0" borderId="10" xfId="49" applyNumberFormat="1" applyFont="1" applyFill="1" applyBorder="1" applyAlignment="1">
      <alignment horizontal="right" vertical="center" wrapText="1"/>
      <protection/>
    </xf>
    <xf numFmtId="49" fontId="20" fillId="0" borderId="10" xfId="0" applyNumberFormat="1" applyFont="1" applyBorder="1" applyAlignment="1">
      <alignment horizontal="left" vertical="center" wrapText="1"/>
    </xf>
    <xf numFmtId="0" fontId="31" fillId="0" borderId="0" xfId="0" applyFont="1" applyAlignment="1">
      <alignment vertical="center" wrapText="1"/>
    </xf>
    <xf numFmtId="49" fontId="20" fillId="32" borderId="10" xfId="0" applyNumberFormat="1" applyFont="1" applyFill="1" applyBorder="1" applyAlignment="1">
      <alignment horizontal="left" vertical="center" wrapText="1"/>
    </xf>
    <xf numFmtId="0" fontId="21" fillId="32" borderId="0" xfId="0" applyFont="1" applyFill="1" applyAlignment="1">
      <alignment vertical="center" wrapText="1"/>
    </xf>
    <xf numFmtId="3" fontId="20" fillId="32" borderId="17" xfId="49" applyNumberFormat="1" applyFont="1" applyFill="1" applyBorder="1" applyAlignment="1">
      <alignment horizontal="center" vertical="center" wrapText="1"/>
      <protection/>
    </xf>
    <xf numFmtId="3" fontId="20" fillId="0" borderId="17" xfId="49" applyNumberFormat="1" applyFont="1" applyFill="1" applyBorder="1" applyAlignment="1">
      <alignment horizontal="center" vertical="center" wrapText="1"/>
      <protection/>
    </xf>
    <xf numFmtId="4" fontId="18" fillId="0" borderId="10" xfId="0" applyNumberFormat="1" applyFont="1" applyFill="1" applyBorder="1" applyAlignment="1" quotePrefix="1">
      <alignment horizontal="right" vertical="center" wrapText="1"/>
    </xf>
    <xf numFmtId="2" fontId="18" fillId="33" borderId="10"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3" fillId="0" borderId="0" xfId="0" applyFont="1" applyAlignment="1">
      <alignment horizontal="center" vertical="center" wrapText="1"/>
    </xf>
    <xf numFmtId="4" fontId="4" fillId="0" borderId="0" xfId="0" applyNumberFormat="1" applyFont="1" applyAlignment="1">
      <alignment horizontal="right" vertical="center" wrapText="1"/>
    </xf>
    <xf numFmtId="4" fontId="3" fillId="0" borderId="0" xfId="0" applyNumberFormat="1" applyFont="1" applyAlignment="1">
      <alignment horizontal="right" vertical="center" wrapText="1"/>
    </xf>
    <xf numFmtId="0" fontId="22" fillId="0" borderId="0" xfId="0" applyFont="1" applyBorder="1" applyAlignment="1">
      <alignment horizontal="center" vertical="center" wrapText="1"/>
    </xf>
    <xf numFmtId="4" fontId="22" fillId="0" borderId="0" xfId="0" applyNumberFormat="1" applyFont="1" applyBorder="1" applyAlignment="1">
      <alignment horizontal="right" vertical="center" wrapText="1"/>
    </xf>
    <xf numFmtId="0" fontId="22" fillId="32" borderId="0" xfId="0" applyFont="1" applyFill="1" applyBorder="1" applyAlignment="1">
      <alignment horizontal="center" vertical="center" wrapText="1"/>
    </xf>
    <xf numFmtId="204" fontId="22" fillId="32" borderId="0" xfId="0" applyNumberFormat="1" applyFont="1" applyFill="1" applyBorder="1" applyAlignment="1">
      <alignment horizontal="right" vertical="center" wrapText="1"/>
    </xf>
    <xf numFmtId="0" fontId="32" fillId="0" borderId="0" xfId="0" applyFont="1" applyBorder="1" applyAlignment="1">
      <alignment horizontal="center" vertical="center" wrapText="1"/>
    </xf>
    <xf numFmtId="4" fontId="34" fillId="32" borderId="0" xfId="0" applyNumberFormat="1" applyFont="1" applyFill="1" applyBorder="1" applyAlignment="1">
      <alignment horizontal="right" vertical="center" wrapText="1"/>
    </xf>
    <xf numFmtId="4" fontId="32" fillId="32" borderId="0" xfId="0" applyNumberFormat="1" applyFont="1" applyFill="1" applyBorder="1" applyAlignment="1">
      <alignment horizontal="right" vertical="center" wrapText="1"/>
    </xf>
    <xf numFmtId="0" fontId="32" fillId="32" borderId="0" xfId="0" applyFont="1" applyFill="1" applyBorder="1" applyAlignment="1">
      <alignment vertical="center" wrapText="1"/>
    </xf>
    <xf numFmtId="0" fontId="35" fillId="0" borderId="0" xfId="0" applyFont="1" applyAlignment="1">
      <alignment vertical="center" wrapText="1"/>
    </xf>
    <xf numFmtId="0" fontId="36" fillId="0" borderId="0" xfId="0" applyFont="1" applyBorder="1" applyAlignment="1">
      <alignment horizontal="center" wrapText="1"/>
    </xf>
    <xf numFmtId="204" fontId="36" fillId="0" borderId="0" xfId="0" applyNumberFormat="1" applyFont="1" applyBorder="1" applyAlignment="1">
      <alignment horizontal="center" wrapText="1"/>
    </xf>
    <xf numFmtId="0" fontId="38" fillId="0" borderId="0" xfId="0" applyFont="1" applyAlignment="1">
      <alignment vertical="center" wrapText="1"/>
    </xf>
    <xf numFmtId="0" fontId="42" fillId="32" borderId="0" xfId="0" applyFont="1" applyFill="1" applyBorder="1" applyAlignment="1">
      <alignment horizontal="center" vertical="center" wrapText="1"/>
    </xf>
    <xf numFmtId="0" fontId="43" fillId="0" borderId="0" xfId="0" applyFont="1" applyAlignment="1">
      <alignment vertical="center" wrapText="1"/>
    </xf>
    <xf numFmtId="204" fontId="43" fillId="0" borderId="0" xfId="0" applyNumberFormat="1" applyFont="1" applyAlignment="1">
      <alignment horizontal="center" vertical="center" wrapText="1"/>
    </xf>
    <xf numFmtId="4" fontId="38" fillId="0" borderId="0" xfId="0" applyNumberFormat="1" applyFont="1" applyFill="1" applyBorder="1" applyAlignment="1">
      <alignment vertical="center" wrapText="1"/>
    </xf>
    <xf numFmtId="0" fontId="41" fillId="0" borderId="0" xfId="0" applyFont="1" applyFill="1" applyBorder="1" applyAlignment="1">
      <alignment vertical="center" wrapText="1"/>
    </xf>
    <xf numFmtId="0" fontId="41" fillId="0" borderId="0" xfId="0" applyFont="1" applyBorder="1" applyAlignment="1">
      <alignment vertical="center" wrapText="1"/>
    </xf>
    <xf numFmtId="4" fontId="38" fillId="0" borderId="0" xfId="0" applyNumberFormat="1" applyFont="1" applyBorder="1" applyAlignment="1">
      <alignment vertical="center" wrapText="1"/>
    </xf>
    <xf numFmtId="0" fontId="38" fillId="0" borderId="0" xfId="0" applyFont="1" applyBorder="1" applyAlignment="1">
      <alignment vertical="center" wrapText="1"/>
    </xf>
    <xf numFmtId="0" fontId="38" fillId="0" borderId="0" xfId="0" applyFont="1" applyFill="1" applyBorder="1" applyAlignment="1">
      <alignment vertical="center" wrapText="1"/>
    </xf>
    <xf numFmtId="0" fontId="48" fillId="0" borderId="0" xfId="0" applyFont="1" applyAlignment="1">
      <alignment vertical="center" wrapText="1"/>
    </xf>
    <xf numFmtId="204" fontId="48" fillId="0" borderId="0" xfId="0" applyNumberFormat="1" applyFont="1" applyAlignment="1">
      <alignment horizontal="center" vertical="center" wrapText="1"/>
    </xf>
    <xf numFmtId="0" fontId="50" fillId="0" borderId="0" xfId="0" applyFont="1" applyFill="1" applyAlignment="1">
      <alignment vertical="center" wrapText="1"/>
    </xf>
    <xf numFmtId="49" fontId="20" fillId="32" borderId="10" xfId="0" applyNumberFormat="1" applyFont="1" applyFill="1" applyBorder="1" applyAlignment="1" applyProtection="1">
      <alignment horizontal="center" vertical="center" wrapText="1"/>
      <protection/>
    </xf>
    <xf numFmtId="3" fontId="20" fillId="32" borderId="13" xfId="0" applyNumberFormat="1" applyFont="1" applyFill="1" applyBorder="1" applyAlignment="1" applyProtection="1">
      <alignment horizontal="center" vertical="center" wrapText="1"/>
      <protection/>
    </xf>
    <xf numFmtId="3" fontId="20" fillId="0" borderId="13" xfId="0" applyNumberFormat="1" applyFont="1" applyFill="1" applyBorder="1" applyAlignment="1" applyProtection="1">
      <alignment horizontal="center" vertical="center" wrapText="1"/>
      <protection/>
    </xf>
    <xf numFmtId="9" fontId="20" fillId="32" borderId="10" xfId="58" applyFont="1" applyFill="1" applyBorder="1" applyAlignment="1">
      <alignment horizontal="center" vertical="center" wrapText="1"/>
    </xf>
    <xf numFmtId="4" fontId="10" fillId="0" borderId="0" xfId="0" applyNumberFormat="1" applyFont="1" applyBorder="1" applyAlignment="1">
      <alignment horizontal="right" vertical="center" wrapText="1"/>
    </xf>
    <xf numFmtId="2" fontId="27" fillId="35" borderId="10" xfId="0" applyNumberFormat="1" applyFont="1" applyFill="1" applyBorder="1" applyAlignment="1">
      <alignment horizontal="center" vertical="center" wrapText="1"/>
    </xf>
    <xf numFmtId="49" fontId="27" fillId="0" borderId="10" xfId="0" applyNumberFormat="1" applyFont="1" applyFill="1" applyBorder="1" applyAlignment="1" quotePrefix="1">
      <alignment horizontal="center" vertical="center" wrapText="1"/>
    </xf>
    <xf numFmtId="0" fontId="50" fillId="0" borderId="0" xfId="0" applyFont="1" applyAlignment="1">
      <alignment vertical="center" wrapText="1"/>
    </xf>
    <xf numFmtId="0" fontId="35" fillId="0" borderId="0" xfId="0" applyFont="1" applyBorder="1" applyAlignment="1">
      <alignment horizontal="center" vertical="center" wrapText="1"/>
    </xf>
    <xf numFmtId="0" fontId="50" fillId="0" borderId="0" xfId="0" applyFont="1" applyFill="1" applyAlignment="1">
      <alignment vertical="center" wrapText="1"/>
    </xf>
    <xf numFmtId="2" fontId="51" fillId="0" borderId="10" xfId="0" applyNumberFormat="1" applyFont="1" applyBorder="1" applyAlignment="1">
      <alignment horizontal="left" vertical="center" wrapText="1"/>
    </xf>
    <xf numFmtId="4" fontId="20" fillId="37" borderId="10" xfId="0" applyNumberFormat="1" applyFont="1" applyFill="1" applyBorder="1" applyAlignment="1" applyProtection="1">
      <alignment horizontal="right" vertical="center" wrapText="1"/>
      <protection/>
    </xf>
    <xf numFmtId="4" fontId="20" fillId="37" borderId="10" xfId="0" applyNumberFormat="1" applyFont="1" applyFill="1" applyBorder="1" applyAlignment="1">
      <alignment horizontal="right" vertical="center" wrapText="1"/>
    </xf>
    <xf numFmtId="0" fontId="0" fillId="0" borderId="15" xfId="0" applyFont="1" applyBorder="1" applyAlignment="1">
      <alignment vertical="top" wrapText="1"/>
    </xf>
    <xf numFmtId="2" fontId="20" fillId="0" borderId="10" xfId="0" applyNumberFormat="1" applyFont="1" applyBorder="1" applyAlignment="1">
      <alignment vertical="center" wrapText="1"/>
    </xf>
    <xf numFmtId="0" fontId="25" fillId="37" borderId="0" xfId="0" applyFont="1" applyFill="1" applyAlignment="1">
      <alignment vertical="center" wrapText="1"/>
    </xf>
    <xf numFmtId="49" fontId="50" fillId="0" borderId="10" xfId="0" applyNumberFormat="1" applyFont="1" applyFill="1" applyBorder="1" applyAlignment="1" quotePrefix="1">
      <alignment horizontal="center" vertical="center" wrapText="1"/>
    </xf>
    <xf numFmtId="49" fontId="50" fillId="0" borderId="10" xfId="0" applyNumberFormat="1" applyFont="1" applyFill="1" applyBorder="1" applyAlignment="1">
      <alignment horizontal="center" vertical="center" wrapText="1"/>
    </xf>
    <xf numFmtId="2" fontId="50" fillId="32" borderId="10" xfId="0" applyNumberFormat="1" applyFont="1" applyFill="1" applyBorder="1" applyAlignment="1">
      <alignment horizontal="left" vertical="center" wrapText="1"/>
    </xf>
    <xf numFmtId="3" fontId="50" fillId="32" borderId="10" xfId="0" applyNumberFormat="1" applyFont="1" applyFill="1" applyBorder="1" applyAlignment="1" applyProtection="1">
      <alignment horizontal="center" vertical="center" wrapText="1"/>
      <protection/>
    </xf>
    <xf numFmtId="4" fontId="61" fillId="0" borderId="10" xfId="0" applyNumberFormat="1" applyFont="1" applyFill="1" applyBorder="1" applyAlignment="1" applyProtection="1">
      <alignment horizontal="right" vertical="center" wrapText="1"/>
      <protection/>
    </xf>
    <xf numFmtId="4" fontId="50" fillId="0" borderId="10" xfId="0" applyNumberFormat="1" applyFont="1" applyFill="1" applyBorder="1" applyAlignment="1" applyProtection="1">
      <alignment horizontal="right" vertical="center" wrapText="1"/>
      <protection/>
    </xf>
    <xf numFmtId="4" fontId="50" fillId="0" borderId="10" xfId="0" applyNumberFormat="1" applyFont="1" applyFill="1" applyBorder="1" applyAlignment="1">
      <alignment horizontal="right" vertical="center" wrapText="1"/>
    </xf>
    <xf numFmtId="0" fontId="50" fillId="0" borderId="0" xfId="0" applyFont="1" applyAlignment="1">
      <alignment vertical="center" wrapText="1"/>
    </xf>
    <xf numFmtId="49" fontId="63" fillId="0" borderId="10" xfId="0" applyNumberFormat="1" applyFont="1" applyFill="1" applyBorder="1" applyAlignment="1" quotePrefix="1">
      <alignment horizontal="center" vertical="center" wrapText="1"/>
    </xf>
    <xf numFmtId="49" fontId="63" fillId="0" borderId="10" xfId="0" applyNumberFormat="1" applyFont="1" applyFill="1" applyBorder="1" applyAlignment="1">
      <alignment horizontal="center" vertical="center" wrapText="1"/>
    </xf>
    <xf numFmtId="2" fontId="63" fillId="0" borderId="10" xfId="0" applyNumberFormat="1" applyFont="1" applyBorder="1" applyAlignment="1">
      <alignment horizontal="left" vertical="center" wrapText="1"/>
    </xf>
    <xf numFmtId="3" fontId="63" fillId="0" borderId="10" xfId="0" applyNumberFormat="1" applyFont="1" applyFill="1" applyBorder="1" applyAlignment="1" applyProtection="1">
      <alignment horizontal="center" vertical="center" wrapText="1"/>
      <protection/>
    </xf>
    <xf numFmtId="4" fontId="64" fillId="0" borderId="10" xfId="0" applyNumberFormat="1" applyFont="1" applyFill="1" applyBorder="1" applyAlignment="1" applyProtection="1">
      <alignment horizontal="right" vertical="center" wrapText="1"/>
      <protection/>
    </xf>
    <xf numFmtId="4" fontId="63" fillId="0" borderId="10" xfId="0" applyNumberFormat="1" applyFont="1" applyFill="1" applyBorder="1" applyAlignment="1" applyProtection="1">
      <alignment horizontal="right" vertical="center" wrapText="1"/>
      <protection/>
    </xf>
    <xf numFmtId="4" fontId="63" fillId="0" borderId="10" xfId="0" applyNumberFormat="1" applyFont="1" applyFill="1" applyBorder="1" applyAlignment="1">
      <alignment horizontal="right" vertical="center" wrapText="1"/>
    </xf>
    <xf numFmtId="0" fontId="63" fillId="0" borderId="0" xfId="0" applyFont="1" applyAlignment="1">
      <alignment vertical="center" wrapText="1"/>
    </xf>
    <xf numFmtId="2" fontId="50" fillId="0" borderId="10" xfId="0" applyNumberFormat="1" applyFont="1" applyFill="1" applyBorder="1" applyAlignment="1">
      <alignment horizontal="left" vertical="center" wrapText="1"/>
    </xf>
    <xf numFmtId="3" fontId="50" fillId="0" borderId="10" xfId="0" applyNumberFormat="1" applyFont="1" applyFill="1" applyBorder="1" applyAlignment="1" applyProtection="1">
      <alignment horizontal="center" vertical="center" wrapText="1"/>
      <protection/>
    </xf>
    <xf numFmtId="2" fontId="50" fillId="0" borderId="10" xfId="0" applyNumberFormat="1" applyFont="1" applyBorder="1" applyAlignment="1">
      <alignment horizontal="left" vertical="center" wrapText="1"/>
    </xf>
    <xf numFmtId="49" fontId="50" fillId="0" borderId="10" xfId="0" applyNumberFormat="1" applyFont="1" applyBorder="1" applyAlignment="1">
      <alignment horizontal="center" vertical="center" wrapText="1"/>
    </xf>
    <xf numFmtId="3" fontId="50" fillId="35" borderId="10" xfId="0" applyNumberFormat="1" applyFont="1" applyFill="1" applyBorder="1" applyAlignment="1" applyProtection="1">
      <alignment horizontal="center" vertical="center" wrapText="1"/>
      <protection/>
    </xf>
    <xf numFmtId="4" fontId="50" fillId="0" borderId="10" xfId="0" applyNumberFormat="1" applyFont="1" applyBorder="1" applyAlignment="1">
      <alignment horizontal="right" vertical="center" wrapText="1"/>
    </xf>
    <xf numFmtId="49" fontId="50" fillId="0" borderId="10" xfId="0" applyNumberFormat="1" applyFont="1" applyBorder="1" applyAlignment="1" quotePrefix="1">
      <alignment horizontal="center" vertical="center" wrapText="1"/>
    </xf>
    <xf numFmtId="4" fontId="42" fillId="0" borderId="0" xfId="0" applyNumberFormat="1" applyFont="1" applyAlignment="1">
      <alignment horizontal="right" vertical="center" wrapText="1"/>
    </xf>
    <xf numFmtId="4" fontId="65" fillId="0" borderId="0" xfId="0" applyNumberFormat="1" applyFont="1" applyAlignment="1">
      <alignment horizontal="right" vertical="center" wrapText="1"/>
    </xf>
    <xf numFmtId="4" fontId="8" fillId="0" borderId="0" xfId="0" applyNumberFormat="1" applyFont="1" applyFill="1" applyAlignment="1" applyProtection="1">
      <alignment horizontal="right" vertical="center" wrapText="1"/>
      <protection/>
    </xf>
    <xf numFmtId="4" fontId="19" fillId="0" borderId="0" xfId="0" applyNumberFormat="1" applyFont="1" applyAlignment="1">
      <alignment horizontal="right" vertical="center" wrapText="1"/>
    </xf>
    <xf numFmtId="3" fontId="20" fillId="0" borderId="10" xfId="0" applyNumberFormat="1" applyFont="1" applyFill="1" applyBorder="1" applyAlignment="1" applyProtection="1">
      <alignment horizontal="center" vertical="center" wrapText="1"/>
      <protection/>
    </xf>
    <xf numFmtId="0" fontId="27" fillId="0" borderId="0" xfId="0" applyFont="1" applyAlignment="1">
      <alignment horizontal="center" vertical="center" wrapText="1"/>
    </xf>
    <xf numFmtId="201" fontId="20" fillId="32" borderId="11" xfId="0" applyNumberFormat="1" applyFont="1" applyFill="1" applyBorder="1" applyAlignment="1">
      <alignment horizontal="center" vertical="center" wrapText="1"/>
    </xf>
    <xf numFmtId="201" fontId="20" fillId="32" borderId="15" xfId="0" applyNumberFormat="1" applyFont="1" applyFill="1" applyBorder="1" applyAlignment="1">
      <alignment horizontal="center" vertical="center" wrapText="1"/>
    </xf>
    <xf numFmtId="201" fontId="20" fillId="32" borderId="13" xfId="0" applyNumberFormat="1" applyFont="1" applyFill="1" applyBorder="1" applyAlignment="1">
      <alignment horizontal="center" vertical="center" wrapText="1"/>
    </xf>
    <xf numFmtId="3" fontId="20" fillId="32" borderId="11" xfId="0" applyNumberFormat="1" applyFont="1" applyFill="1" applyBorder="1" applyAlignment="1" applyProtection="1">
      <alignment horizontal="center" vertical="center" wrapText="1"/>
      <protection/>
    </xf>
    <xf numFmtId="3" fontId="20" fillId="32" borderId="13" xfId="0" applyNumberFormat="1" applyFont="1" applyFill="1" applyBorder="1" applyAlignment="1" applyProtection="1">
      <alignment horizontal="center" vertical="center" wrapText="1"/>
      <protection/>
    </xf>
    <xf numFmtId="0" fontId="20" fillId="0" borderId="1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28" fillId="32" borderId="13" xfId="0" applyFont="1" applyFill="1" applyBorder="1" applyAlignment="1">
      <alignment horizontal="center" vertical="center" wrapText="1"/>
    </xf>
    <xf numFmtId="3" fontId="20" fillId="32" borderId="10" xfId="0" applyNumberFormat="1" applyFont="1" applyFill="1" applyBorder="1" applyAlignment="1" applyProtection="1">
      <alignment horizontal="center" vertical="center" wrapText="1"/>
      <protection/>
    </xf>
    <xf numFmtId="2" fontId="20" fillId="4" borderId="14" xfId="0" applyNumberFormat="1" applyFont="1" applyFill="1" applyBorder="1" applyAlignment="1" quotePrefix="1">
      <alignment horizontal="left" vertical="center" wrapText="1"/>
    </xf>
    <xf numFmtId="2" fontId="20" fillId="4" borderId="17" xfId="0" applyNumberFormat="1" applyFont="1" applyFill="1" applyBorder="1" applyAlignment="1" quotePrefix="1">
      <alignment horizontal="left" vertical="center" wrapText="1"/>
    </xf>
    <xf numFmtId="2" fontId="18" fillId="33" borderId="14" xfId="0" applyNumberFormat="1" applyFont="1" applyFill="1" applyBorder="1" applyAlignment="1" quotePrefix="1">
      <alignment horizontal="left" vertical="center" wrapText="1"/>
    </xf>
    <xf numFmtId="2" fontId="18" fillId="33" borderId="17" xfId="0" applyNumberFormat="1" applyFont="1" applyFill="1" applyBorder="1" applyAlignment="1" quotePrefix="1">
      <alignment horizontal="left" vertical="center" wrapText="1"/>
    </xf>
    <xf numFmtId="0" fontId="42" fillId="0" borderId="0" xfId="0" applyFont="1" applyAlignment="1">
      <alignment horizontal="center" vertical="center" wrapText="1"/>
    </xf>
    <xf numFmtId="3" fontId="20" fillId="32" borderId="10" xfId="0" applyNumberFormat="1" applyFont="1" applyFill="1" applyBorder="1" applyAlignment="1">
      <alignment horizontal="center" vertical="center" wrapText="1"/>
    </xf>
    <xf numFmtId="14" fontId="20" fillId="32" borderId="10"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3" fontId="20" fillId="0" borderId="11" xfId="0" applyNumberFormat="1" applyFont="1" applyFill="1" applyBorder="1" applyAlignment="1" applyProtection="1">
      <alignment horizontal="center" vertical="center" wrapText="1"/>
      <protection/>
    </xf>
    <xf numFmtId="3" fontId="20" fillId="0" borderId="13" xfId="0" applyNumberFormat="1" applyFont="1" applyFill="1" applyBorder="1" applyAlignment="1" applyProtection="1">
      <alignment horizontal="center" vertical="center" wrapText="1"/>
      <protection/>
    </xf>
    <xf numFmtId="4" fontId="27" fillId="0" borderId="0" xfId="0" applyNumberFormat="1" applyFont="1" applyAlignment="1">
      <alignment horizontal="right" vertical="center" wrapText="1"/>
    </xf>
    <xf numFmtId="2" fontId="20" fillId="32" borderId="11" xfId="0" applyNumberFormat="1" applyFont="1" applyFill="1" applyBorder="1" applyAlignment="1">
      <alignment horizontal="center" vertical="center" wrapText="1"/>
    </xf>
    <xf numFmtId="2" fontId="20" fillId="32" borderId="15" xfId="0" applyNumberFormat="1" applyFont="1" applyFill="1" applyBorder="1" applyAlignment="1">
      <alignment horizontal="center" vertical="center" wrapText="1"/>
    </xf>
    <xf numFmtId="2" fontId="20" fillId="32" borderId="13" xfId="0" applyNumberFormat="1" applyFont="1" applyFill="1" applyBorder="1" applyAlignment="1">
      <alignment horizontal="center" vertical="center" wrapText="1"/>
    </xf>
    <xf numFmtId="4" fontId="20" fillId="0" borderId="11" xfId="0" applyNumberFormat="1" applyFont="1" applyBorder="1" applyAlignment="1">
      <alignment horizontal="center" vertical="center" wrapText="1"/>
    </xf>
    <xf numFmtId="4" fontId="20" fillId="0" borderId="13" xfId="0" applyNumberFormat="1" applyFont="1" applyBorder="1" applyAlignment="1">
      <alignment horizontal="center" vertical="center" wrapText="1"/>
    </xf>
    <xf numFmtId="0" fontId="0" fillId="32" borderId="15"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2" fontId="20" fillId="4" borderId="14" xfId="0" applyNumberFormat="1" applyFont="1" applyFill="1" applyBorder="1" applyAlignment="1">
      <alignment horizontal="left" vertical="center" wrapText="1"/>
    </xf>
    <xf numFmtId="2" fontId="20" fillId="4" borderId="17" xfId="0" applyNumberFormat="1" applyFont="1" applyFill="1" applyBorder="1" applyAlignment="1">
      <alignment horizontal="left" vertical="center" wrapText="1"/>
    </xf>
    <xf numFmtId="0" fontId="8" fillId="0" borderId="0" xfId="0" applyNumberFormat="1" applyFont="1" applyFill="1" applyAlignment="1" applyProtection="1">
      <alignment horizontal="left" vertical="center" wrapText="1"/>
      <protection/>
    </xf>
    <xf numFmtId="3" fontId="20" fillId="0" borderId="11" xfId="49" applyNumberFormat="1" applyFont="1" applyFill="1" applyBorder="1" applyAlignment="1">
      <alignment horizontal="center" vertical="center" wrapText="1"/>
      <protection/>
    </xf>
    <xf numFmtId="3" fontId="20" fillId="0" borderId="13" xfId="49" applyNumberFormat="1" applyFont="1" applyFill="1" applyBorder="1" applyAlignment="1">
      <alignment horizontal="center" vertical="center" wrapText="1"/>
      <protection/>
    </xf>
    <xf numFmtId="2" fontId="18" fillId="33" borderId="14" xfId="0" applyNumberFormat="1" applyFont="1" applyFill="1" applyBorder="1" applyAlignment="1">
      <alignment horizontal="left" vertical="center" wrapText="1"/>
    </xf>
    <xf numFmtId="2" fontId="18" fillId="33" borderId="17" xfId="0" applyNumberFormat="1" applyFont="1" applyFill="1" applyBorder="1" applyAlignment="1">
      <alignment horizontal="left" vertical="center" wrapText="1"/>
    </xf>
    <xf numFmtId="0" fontId="0" fillId="0" borderId="13" xfId="0" applyFont="1" applyBorder="1" applyAlignment="1">
      <alignment horizontal="center" vertical="center" wrapText="1"/>
    </xf>
    <xf numFmtId="2" fontId="20" fillId="0" borderId="11" xfId="0" applyNumberFormat="1" applyFont="1" applyBorder="1" applyAlignment="1">
      <alignment horizontal="center" vertical="center" wrapText="1"/>
    </xf>
    <xf numFmtId="2" fontId="20" fillId="0" borderId="15" xfId="0" applyNumberFormat="1" applyFont="1" applyBorder="1" applyAlignment="1">
      <alignment horizontal="center" vertical="center" wrapText="1"/>
    </xf>
    <xf numFmtId="3" fontId="20" fillId="0" borderId="10" xfId="49" applyNumberFormat="1" applyFont="1" applyFill="1" applyBorder="1" applyAlignment="1">
      <alignment horizontal="center" vertical="center" wrapText="1"/>
      <protection/>
    </xf>
    <xf numFmtId="49" fontId="20" fillId="0" borderId="11" xfId="0" applyNumberFormat="1" applyFont="1" applyBorder="1" applyAlignment="1" quotePrefix="1">
      <alignment horizontal="center" vertical="center" wrapText="1"/>
    </xf>
    <xf numFmtId="49" fontId="20" fillId="0" borderId="15" xfId="0" applyNumberFormat="1" applyFont="1" applyBorder="1" applyAlignment="1" quotePrefix="1">
      <alignment horizontal="center" vertical="center" wrapText="1"/>
    </xf>
    <xf numFmtId="49" fontId="20" fillId="0" borderId="13" xfId="0" applyNumberFormat="1" applyFont="1" applyBorder="1" applyAlignment="1" quotePrefix="1">
      <alignment horizontal="center" vertical="center" wrapText="1"/>
    </xf>
    <xf numFmtId="4" fontId="4" fillId="0" borderId="18"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4" fontId="4" fillId="0" borderId="20" xfId="0" applyNumberFormat="1" applyFont="1" applyBorder="1" applyAlignment="1">
      <alignment horizontal="center" vertical="center" wrapText="1"/>
    </xf>
    <xf numFmtId="4" fontId="4" fillId="0" borderId="21" xfId="0" applyNumberFormat="1" applyFont="1" applyBorder="1" applyAlignment="1">
      <alignment horizontal="center" vertical="center" wrapText="1"/>
    </xf>
    <xf numFmtId="4" fontId="4" fillId="0" borderId="16" xfId="0" applyNumberFormat="1" applyFont="1" applyBorder="1" applyAlignment="1">
      <alignment horizontal="center" vertical="center" wrapText="1"/>
    </xf>
    <xf numFmtId="4" fontId="4" fillId="0" borderId="22"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2" fontId="20" fillId="0" borderId="10" xfId="0" applyNumberFormat="1" applyFont="1" applyBorder="1" applyAlignment="1">
      <alignment horizontal="center" vertical="center" wrapText="1"/>
    </xf>
    <xf numFmtId="3" fontId="20" fillId="0" borderId="11" xfId="0" applyNumberFormat="1" applyFont="1" applyFill="1" applyBorder="1" applyAlignment="1">
      <alignment horizontal="center" vertical="center" wrapText="1"/>
    </xf>
    <xf numFmtId="3" fontId="20" fillId="0" borderId="15" xfId="0" applyNumberFormat="1" applyFont="1" applyFill="1" applyBorder="1" applyAlignment="1">
      <alignment horizontal="center" vertical="center" wrapText="1"/>
    </xf>
    <xf numFmtId="3" fontId="20" fillId="0" borderId="13" xfId="0" applyNumberFormat="1" applyFont="1" applyFill="1" applyBorder="1" applyAlignment="1">
      <alignment horizontal="center" vertical="center" wrapText="1"/>
    </xf>
    <xf numFmtId="4" fontId="13" fillId="0" borderId="0" xfId="0" applyNumberFormat="1" applyFont="1" applyAlignment="1">
      <alignment horizontal="right" vertical="center" wrapText="1"/>
    </xf>
    <xf numFmtId="0" fontId="8" fillId="0" borderId="0" xfId="0" applyFont="1" applyAlignment="1">
      <alignment horizontal="center" vertical="center" wrapText="1"/>
    </xf>
    <xf numFmtId="49" fontId="4" fillId="0" borderId="10" xfId="0" applyNumberFormat="1" applyFont="1" applyBorder="1" applyAlignment="1">
      <alignment horizontal="center" vertical="center" wrapText="1"/>
    </xf>
    <xf numFmtId="0" fontId="10" fillId="32" borderId="0" xfId="0" applyFont="1" applyFill="1" applyAlignment="1">
      <alignment horizontal="left" vertical="center"/>
    </xf>
    <xf numFmtId="49" fontId="10" fillId="32" borderId="12" xfId="0" applyNumberFormat="1" applyFont="1" applyFill="1" applyBorder="1" applyAlignment="1">
      <alignment horizontal="left"/>
    </xf>
    <xf numFmtId="0" fontId="4" fillId="0" borderId="10" xfId="0" applyFont="1" applyBorder="1" applyAlignment="1">
      <alignment horizontal="center" vertical="center" wrapText="1"/>
    </xf>
    <xf numFmtId="0" fontId="35" fillId="0" borderId="0" xfId="0" applyFont="1" applyBorder="1" applyAlignment="1">
      <alignment horizontal="center" vertical="center" wrapText="1"/>
    </xf>
    <xf numFmtId="2" fontId="20" fillId="0" borderId="11" xfId="0" applyNumberFormat="1" applyFont="1" applyBorder="1" applyAlignment="1">
      <alignment horizontal="left" vertical="center" wrapText="1"/>
    </xf>
    <xf numFmtId="2" fontId="20" fillId="0" borderId="15" xfId="0" applyNumberFormat="1" applyFont="1" applyBorder="1" applyAlignment="1">
      <alignment horizontal="left" vertical="center" wrapText="1"/>
    </xf>
    <xf numFmtId="2" fontId="20" fillId="0" borderId="13" xfId="0" applyNumberFormat="1" applyFont="1" applyBorder="1" applyAlignment="1">
      <alignment horizontal="left" vertical="center" wrapText="1"/>
    </xf>
    <xf numFmtId="3" fontId="20" fillId="32" borderId="15" xfId="0" applyNumberFormat="1" applyFont="1" applyFill="1" applyBorder="1" applyAlignment="1" applyProtection="1">
      <alignment horizontal="center" vertical="center" wrapText="1"/>
      <protection/>
    </xf>
    <xf numFmtId="0" fontId="20" fillId="32" borderId="10" xfId="0"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0" fillId="0" borderId="15" xfId="0" applyBorder="1" applyAlignment="1">
      <alignment vertical="center" wrapText="1"/>
    </xf>
    <xf numFmtId="0" fontId="0" fillId="0" borderId="13" xfId="0" applyBorder="1" applyAlignment="1">
      <alignment vertical="center" wrapText="1"/>
    </xf>
    <xf numFmtId="49" fontId="20" fillId="0" borderId="11" xfId="0" applyNumberFormat="1" applyFont="1" applyBorder="1" applyAlignment="1">
      <alignment horizontal="center" vertical="center" wrapText="1"/>
    </xf>
    <xf numFmtId="49" fontId="20" fillId="0" borderId="15"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0" fontId="20" fillId="0" borderId="11"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1" xfId="0" applyFont="1" applyBorder="1" applyAlignment="1" quotePrefix="1">
      <alignment horizontal="center" vertical="center" wrapText="1"/>
    </xf>
    <xf numFmtId="0" fontId="20" fillId="0" borderId="13" xfId="0" applyFont="1" applyBorder="1" applyAlignment="1" quotePrefix="1">
      <alignment horizontal="center" vertical="center" wrapText="1"/>
    </xf>
    <xf numFmtId="4" fontId="18" fillId="0" borderId="11" xfId="0" applyNumberFormat="1" applyFont="1" applyFill="1" applyBorder="1" applyAlignment="1" applyProtection="1">
      <alignment horizontal="right" vertical="center" wrapText="1"/>
      <protection/>
    </xf>
    <xf numFmtId="4" fontId="18" fillId="0" borderId="13" xfId="0" applyNumberFormat="1" applyFont="1" applyFill="1" applyBorder="1" applyAlignment="1" applyProtection="1">
      <alignment horizontal="right" vertical="center" wrapText="1"/>
      <protection/>
    </xf>
    <xf numFmtId="2" fontId="18" fillId="36" borderId="14" xfId="0" applyNumberFormat="1" applyFont="1" applyFill="1" applyBorder="1" applyAlignment="1">
      <alignment horizontal="left" vertical="center" wrapText="1"/>
    </xf>
    <xf numFmtId="2" fontId="18" fillId="36" borderId="17" xfId="0" applyNumberFormat="1" applyFont="1" applyFill="1" applyBorder="1" applyAlignment="1">
      <alignment horizontal="left" vertical="center" wrapText="1"/>
    </xf>
    <xf numFmtId="0" fontId="18" fillId="33" borderId="14" xfId="0" applyFont="1" applyFill="1" applyBorder="1" applyAlignment="1">
      <alignment horizontal="left" vertical="center" wrapText="1"/>
    </xf>
    <xf numFmtId="0" fontId="18" fillId="33" borderId="17" xfId="0" applyFont="1" applyFill="1" applyBorder="1" applyAlignment="1">
      <alignment horizontal="left" vertical="center" wrapText="1"/>
    </xf>
    <xf numFmtId="2" fontId="20" fillId="0" borderId="11" xfId="0" applyNumberFormat="1" applyFont="1" applyBorder="1" applyAlignment="1" quotePrefix="1">
      <alignment horizontal="left" vertical="center" wrapText="1"/>
    </xf>
    <xf numFmtId="2" fontId="20" fillId="0" borderId="13" xfId="0" applyNumberFormat="1" applyFont="1" applyBorder="1" applyAlignment="1" quotePrefix="1">
      <alignment horizontal="left" vertical="center" wrapText="1"/>
    </xf>
    <xf numFmtId="4" fontId="52" fillId="0" borderId="0" xfId="0" applyNumberFormat="1" applyFont="1" applyAlignment="1">
      <alignment horizontal="left" vertical="top" wrapText="1"/>
    </xf>
    <xf numFmtId="2" fontId="20" fillId="0" borderId="10" xfId="0" applyNumberFormat="1" applyFont="1" applyFill="1" applyBorder="1" applyAlignment="1" quotePrefix="1">
      <alignment horizontal="center" vertical="center" wrapText="1"/>
    </xf>
    <xf numFmtId="3" fontId="20" fillId="0" borderId="15" xfId="0" applyNumberFormat="1" applyFont="1" applyFill="1" applyBorder="1" applyAlignment="1" applyProtection="1">
      <alignment horizontal="center" vertical="center" wrapText="1"/>
      <protection/>
    </xf>
    <xf numFmtId="0" fontId="28" fillId="0" borderId="10" xfId="0" applyFont="1" applyBorder="1" applyAlignment="1">
      <alignment horizontal="center" vertical="center" wrapText="1"/>
    </xf>
    <xf numFmtId="3" fontId="20" fillId="32" borderId="11" xfId="0" applyNumberFormat="1" applyFont="1" applyFill="1" applyBorder="1" applyAlignment="1">
      <alignment horizontal="center" vertical="center" wrapText="1"/>
    </xf>
    <xf numFmtId="3" fontId="20" fillId="32" borderId="15" xfId="0" applyNumberFormat="1" applyFont="1" applyFill="1" applyBorder="1" applyAlignment="1">
      <alignment horizontal="center" vertical="center" wrapText="1"/>
    </xf>
    <xf numFmtId="3" fontId="20" fillId="32" borderId="13" xfId="0" applyNumberFormat="1" applyFont="1" applyFill="1" applyBorder="1" applyAlignment="1">
      <alignment horizontal="center" vertical="center" wrapText="1"/>
    </xf>
    <xf numFmtId="49" fontId="32" fillId="0" borderId="0" xfId="0" applyNumberFormat="1" applyFont="1" applyBorder="1" applyAlignment="1">
      <alignment horizontal="center" vertical="center" wrapText="1"/>
    </xf>
    <xf numFmtId="49" fontId="32" fillId="0" borderId="0" xfId="0" applyNumberFormat="1" applyFont="1" applyBorder="1" applyAlignment="1">
      <alignment vertical="center" wrapText="1"/>
    </xf>
    <xf numFmtId="0" fontId="32" fillId="0" borderId="0" xfId="0" applyFont="1" applyBorder="1" applyAlignment="1">
      <alignment horizontal="left" vertical="center" wrapText="1"/>
    </xf>
    <xf numFmtId="4" fontId="33" fillId="0" borderId="0" xfId="0" applyNumberFormat="1" applyFont="1" applyBorder="1" applyAlignment="1">
      <alignment horizontal="center" vertical="center" wrapText="1"/>
    </xf>
    <xf numFmtId="0" fontId="48" fillId="0" borderId="0" xfId="0" applyFont="1" applyBorder="1" applyAlignment="1">
      <alignment vertical="center" wrapText="1"/>
    </xf>
    <xf numFmtId="204" fontId="48" fillId="0" borderId="0" xfId="0" applyNumberFormat="1" applyFont="1" applyBorder="1" applyAlignment="1">
      <alignment horizontal="center" vertical="center" wrapText="1"/>
    </xf>
    <xf numFmtId="0" fontId="32" fillId="0" borderId="0" xfId="0" applyFont="1" applyBorder="1" applyAlignment="1">
      <alignment vertical="center" wrapText="1"/>
    </xf>
    <xf numFmtId="4" fontId="33" fillId="0" borderId="0" xfId="0" applyNumberFormat="1" applyFont="1" applyBorder="1" applyAlignment="1">
      <alignment horizontal="center" vertical="center" wrapText="1"/>
    </xf>
    <xf numFmtId="4" fontId="22" fillId="0" borderId="0" xfId="0" applyNumberFormat="1" applyFont="1" applyBorder="1" applyAlignment="1">
      <alignment vertical="center" wrapText="1"/>
    </xf>
    <xf numFmtId="4" fontId="48" fillId="0" borderId="0" xfId="0" applyNumberFormat="1" applyFont="1" applyBorder="1" applyAlignment="1">
      <alignment horizontal="center" vertical="center" wrapText="1"/>
    </xf>
    <xf numFmtId="49" fontId="30" fillId="0" borderId="0" xfId="0" applyNumberFormat="1" applyFont="1" applyBorder="1" applyAlignment="1">
      <alignment horizontal="center" vertical="center" wrapText="1"/>
    </xf>
    <xf numFmtId="49" fontId="30" fillId="0" borderId="0" xfId="0" applyNumberFormat="1" applyFont="1" applyBorder="1" applyAlignment="1">
      <alignment vertical="center" wrapText="1"/>
    </xf>
    <xf numFmtId="0" fontId="30" fillId="0" borderId="0" xfId="0" applyFont="1" applyBorder="1" applyAlignment="1">
      <alignment horizontal="left" vertical="center" wrapText="1"/>
    </xf>
    <xf numFmtId="0" fontId="30" fillId="0" borderId="0" xfId="0" applyFont="1" applyBorder="1" applyAlignment="1">
      <alignment horizontal="center" vertical="center" wrapText="1"/>
    </xf>
    <xf numFmtId="0" fontId="49" fillId="0" borderId="0" xfId="0" applyFont="1" applyBorder="1" applyAlignment="1">
      <alignment vertical="center" wrapText="1"/>
    </xf>
    <xf numFmtId="204" fontId="49" fillId="0" borderId="0" xfId="0" applyNumberFormat="1" applyFont="1" applyBorder="1" applyAlignment="1">
      <alignment horizontal="center" vertical="center" wrapText="1"/>
    </xf>
    <xf numFmtId="0" fontId="30" fillId="0" borderId="0" xfId="0" applyFont="1" applyBorder="1" applyAlignment="1">
      <alignment vertical="center" wrapText="1"/>
    </xf>
    <xf numFmtId="0" fontId="22" fillId="0" borderId="0" xfId="0" applyFont="1" applyFill="1" applyBorder="1" applyAlignment="1">
      <alignment horizontal="center" vertical="center" wrapText="1"/>
    </xf>
    <xf numFmtId="4" fontId="25" fillId="0" borderId="0" xfId="0" applyNumberFormat="1" applyFont="1" applyBorder="1" applyAlignment="1">
      <alignment horizontal="right" vertical="center" wrapText="1"/>
    </xf>
    <xf numFmtId="0" fontId="48" fillId="0" borderId="0" xfId="0" applyFont="1" applyBorder="1" applyAlignment="1">
      <alignment horizontal="center" vertical="center" wrapText="1"/>
    </xf>
    <xf numFmtId="4" fontId="32" fillId="0" borderId="0" xfId="0" applyNumberFormat="1" applyFont="1" applyBorder="1" applyAlignment="1">
      <alignment vertical="center" wrapText="1"/>
    </xf>
    <xf numFmtId="4" fontId="34" fillId="0" borderId="0" xfId="0" applyNumberFormat="1" applyFont="1" applyBorder="1" applyAlignment="1">
      <alignment horizontal="right" vertical="center" wrapText="1"/>
    </xf>
    <xf numFmtId="4" fontId="32" fillId="0" borderId="0" xfId="0" applyNumberFormat="1" applyFont="1" applyBorder="1" applyAlignment="1">
      <alignment horizontal="right" vertical="center" wrapText="1"/>
    </xf>
    <xf numFmtId="0" fontId="27" fillId="32" borderId="0" xfId="0" applyFont="1" applyFill="1" applyBorder="1" applyAlignment="1">
      <alignment horizontal="center" vertical="center" wrapText="1"/>
    </xf>
    <xf numFmtId="4" fontId="30" fillId="32" borderId="0" xfId="0" applyNumberFormat="1" applyFont="1" applyFill="1" applyBorder="1" applyAlignment="1">
      <alignment horizontal="right" vertical="center" wrapText="1"/>
    </xf>
    <xf numFmtId="4" fontId="27" fillId="32" borderId="0" xfId="0" applyNumberFormat="1" applyFont="1" applyFill="1" applyBorder="1" applyAlignment="1">
      <alignment horizontal="right" vertical="center" wrapText="1"/>
    </xf>
    <xf numFmtId="0" fontId="32" fillId="32" borderId="0" xfId="0" applyFont="1" applyFill="1" applyBorder="1" applyAlignment="1">
      <alignment horizontal="center" vertical="center" wrapText="1"/>
    </xf>
    <xf numFmtId="0" fontId="48" fillId="32" borderId="0" xfId="0" applyFont="1" applyFill="1" applyBorder="1" applyAlignment="1">
      <alignment vertical="center" wrapText="1"/>
    </xf>
    <xf numFmtId="4" fontId="60" fillId="32" borderId="0" xfId="0" applyNumberFormat="1" applyFont="1" applyFill="1" applyBorder="1" applyAlignment="1">
      <alignment vertical="center" wrapText="1"/>
    </xf>
    <xf numFmtId="4" fontId="57" fillId="0" borderId="0" xfId="0" applyNumberFormat="1" applyFont="1" applyBorder="1" applyAlignment="1">
      <alignment horizontal="right" vertical="center" wrapText="1"/>
    </xf>
    <xf numFmtId="4" fontId="48" fillId="32" borderId="0" xfId="0" applyNumberFormat="1" applyFont="1" applyFill="1" applyBorder="1" applyAlignment="1">
      <alignment vertical="center" wrapText="1"/>
    </xf>
    <xf numFmtId="49" fontId="16" fillId="0" borderId="0" xfId="0" applyNumberFormat="1" applyFont="1" applyBorder="1" applyAlignment="1">
      <alignment horizontal="center" vertical="center" wrapText="1"/>
    </xf>
    <xf numFmtId="49" fontId="16" fillId="0" borderId="0" xfId="0" applyNumberFormat="1" applyFont="1" applyBorder="1" applyAlignment="1">
      <alignmen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4" fontId="17" fillId="0" borderId="0" xfId="0" applyNumberFormat="1" applyFont="1" applyBorder="1" applyAlignment="1">
      <alignment horizontal="right" vertical="center" wrapText="1"/>
    </xf>
    <xf numFmtId="4" fontId="16" fillId="0" borderId="0" xfId="0" applyNumberFormat="1" applyFont="1" applyBorder="1" applyAlignment="1">
      <alignment horizontal="right" vertical="center" wrapText="1"/>
    </xf>
    <xf numFmtId="0" fontId="16" fillId="0" borderId="0" xfId="0" applyFont="1" applyBorder="1" applyAlignment="1">
      <alignment vertical="center" wrapText="1"/>
    </xf>
    <xf numFmtId="4" fontId="16" fillId="0" borderId="0" xfId="0" applyNumberFormat="1" applyFont="1" applyBorder="1" applyAlignment="1">
      <alignment horizontal="center" vertical="center" wrapText="1"/>
    </xf>
    <xf numFmtId="4" fontId="58" fillId="0" borderId="0" xfId="0" applyNumberFormat="1" applyFont="1" applyBorder="1" applyAlignment="1">
      <alignment horizontal="right" vertical="center" wrapText="1"/>
    </xf>
    <xf numFmtId="4" fontId="48" fillId="0" borderId="0" xfId="0" applyNumberFormat="1" applyFont="1" applyBorder="1" applyAlignment="1">
      <alignment vertical="center" wrapText="1"/>
    </xf>
    <xf numFmtId="4" fontId="59" fillId="0" borderId="0" xfId="0" applyNumberFormat="1" applyFont="1" applyBorder="1" applyAlignment="1">
      <alignment horizontal="right" vertical="center" wrapText="1"/>
    </xf>
    <xf numFmtId="0" fontId="43" fillId="0" borderId="0" xfId="0" applyFont="1" applyBorder="1" applyAlignment="1">
      <alignment vertical="center" wrapText="1"/>
    </xf>
    <xf numFmtId="204" fontId="43" fillId="0" borderId="0" xfId="0" applyNumberFormat="1" applyFont="1" applyBorder="1" applyAlignment="1">
      <alignment horizontal="center" vertical="center" wrapText="1"/>
    </xf>
    <xf numFmtId="0" fontId="14" fillId="0" borderId="0" xfId="0" applyFont="1" applyBorder="1" applyAlignment="1">
      <alignment vertical="center" wrapText="1"/>
    </xf>
    <xf numFmtId="0" fontId="3" fillId="0" borderId="0" xfId="0" applyFont="1" applyBorder="1" applyAlignment="1">
      <alignment vertical="center" wrapText="1"/>
    </xf>
    <xf numFmtId="0" fontId="44" fillId="0" borderId="0" xfId="0" applyFont="1" applyBorder="1" applyAlignment="1">
      <alignment horizontal="center" vertical="center" wrapText="1"/>
    </xf>
    <xf numFmtId="204" fontId="44" fillId="0" borderId="0" xfId="0" applyNumberFormat="1" applyFont="1" applyBorder="1" applyAlignment="1">
      <alignment horizontal="center" vertical="center" wrapText="1"/>
    </xf>
    <xf numFmtId="0" fontId="23" fillId="0" borderId="0" xfId="0" applyFont="1" applyBorder="1" applyAlignment="1">
      <alignment horizontal="center" vertical="center" wrapText="1"/>
    </xf>
    <xf numFmtId="4" fontId="44" fillId="0" borderId="0" xfId="0" applyNumberFormat="1" applyFont="1" applyBorder="1" applyAlignment="1">
      <alignment horizontal="center" vertical="center" wrapText="1"/>
    </xf>
    <xf numFmtId="0" fontId="45" fillId="0" borderId="0" xfId="0" applyFont="1" applyBorder="1" applyAlignment="1">
      <alignment horizontal="center" vertical="center" wrapText="1"/>
    </xf>
    <xf numFmtId="0" fontId="24" fillId="0" borderId="0" xfId="0" applyFont="1" applyBorder="1" applyAlignment="1">
      <alignment horizontal="center" vertical="center" wrapText="1"/>
    </xf>
    <xf numFmtId="204" fontId="38" fillId="0" borderId="0" xfId="0" applyNumberFormat="1" applyFont="1" applyBorder="1" applyAlignment="1">
      <alignment horizontal="center" vertical="center" wrapText="1"/>
    </xf>
    <xf numFmtId="4" fontId="38" fillId="0" borderId="0" xfId="0" applyNumberFormat="1" applyFont="1" applyBorder="1" applyAlignment="1">
      <alignment horizontal="center" vertical="center" wrapText="1"/>
    </xf>
    <xf numFmtId="4" fontId="38" fillId="34" borderId="0" xfId="0" applyNumberFormat="1" applyFont="1" applyFill="1" applyBorder="1" applyAlignment="1">
      <alignment vertical="center" wrapText="1"/>
    </xf>
    <xf numFmtId="0" fontId="38" fillId="34" borderId="0" xfId="0" applyFont="1" applyFill="1" applyBorder="1" applyAlignment="1">
      <alignment vertical="center" wrapText="1"/>
    </xf>
    <xf numFmtId="204" fontId="38" fillId="34" borderId="0" xfId="0" applyNumberFormat="1" applyFont="1" applyFill="1" applyBorder="1" applyAlignment="1">
      <alignment horizontal="center" vertical="center" wrapText="1"/>
    </xf>
    <xf numFmtId="0" fontId="20" fillId="34" borderId="0" xfId="0" applyFont="1" applyFill="1" applyBorder="1" applyAlignment="1">
      <alignment vertical="center" wrapText="1"/>
    </xf>
    <xf numFmtId="0" fontId="38" fillId="32" borderId="0" xfId="0" applyFont="1" applyFill="1" applyBorder="1" applyAlignment="1">
      <alignment vertical="center" wrapText="1"/>
    </xf>
    <xf numFmtId="4" fontId="38" fillId="32" borderId="0" xfId="0" applyNumberFormat="1" applyFont="1" applyFill="1" applyBorder="1" applyAlignment="1">
      <alignment vertical="center" wrapText="1"/>
    </xf>
    <xf numFmtId="204" fontId="38" fillId="32" borderId="0" xfId="0" applyNumberFormat="1" applyFont="1" applyFill="1" applyBorder="1" applyAlignment="1">
      <alignment horizontal="center" vertical="center" wrapText="1"/>
    </xf>
    <xf numFmtId="0" fontId="20" fillId="32" borderId="0" xfId="0" applyFont="1" applyFill="1" applyBorder="1" applyAlignment="1">
      <alignment vertical="center" wrapText="1"/>
    </xf>
    <xf numFmtId="4" fontId="38" fillId="36" borderId="0" xfId="0" applyNumberFormat="1" applyFont="1" applyFill="1" applyBorder="1" applyAlignment="1">
      <alignment horizontal="right" vertical="center" wrapText="1"/>
    </xf>
    <xf numFmtId="3" fontId="21" fillId="0" borderId="0" xfId="0" applyNumberFormat="1" applyFont="1" applyBorder="1" applyAlignment="1">
      <alignment vertical="center" wrapText="1"/>
    </xf>
    <xf numFmtId="204" fontId="35" fillId="0" borderId="0" xfId="0" applyNumberFormat="1" applyFont="1" applyBorder="1" applyAlignment="1">
      <alignment horizontal="center" vertical="center" wrapText="1"/>
    </xf>
    <xf numFmtId="204" fontId="21" fillId="0" borderId="0" xfId="0" applyNumberFormat="1" applyFont="1" applyBorder="1" applyAlignment="1">
      <alignment horizontal="center" vertical="center" wrapText="1"/>
    </xf>
    <xf numFmtId="4" fontId="21" fillId="0" borderId="0" xfId="0" applyNumberFormat="1" applyFont="1" applyBorder="1" applyAlignment="1">
      <alignment vertical="center" wrapText="1"/>
    </xf>
    <xf numFmtId="4" fontId="37" fillId="0" borderId="0" xfId="0" applyNumberFormat="1" applyFont="1" applyBorder="1" applyAlignment="1">
      <alignment vertical="center" wrapText="1"/>
    </xf>
    <xf numFmtId="0" fontId="37" fillId="0" borderId="0" xfId="0" applyFont="1" applyBorder="1" applyAlignment="1">
      <alignment vertical="center" wrapText="1"/>
    </xf>
    <xf numFmtId="4" fontId="25" fillId="0" borderId="0" xfId="0" applyNumberFormat="1" applyFont="1" applyBorder="1" applyAlignment="1">
      <alignment vertical="center" wrapText="1"/>
    </xf>
    <xf numFmtId="0" fontId="27" fillId="0" borderId="0" xfId="0" applyFont="1" applyBorder="1" applyAlignment="1">
      <alignment vertical="center" wrapText="1"/>
    </xf>
    <xf numFmtId="4" fontId="37" fillId="0" borderId="0" xfId="0" applyNumberFormat="1" applyFont="1" applyFill="1" applyBorder="1" applyAlignment="1">
      <alignment vertical="center" wrapText="1"/>
    </xf>
    <xf numFmtId="0" fontId="37" fillId="0" borderId="0" xfId="0" applyFont="1" applyFill="1" applyBorder="1" applyAlignment="1">
      <alignment vertical="center" wrapText="1"/>
    </xf>
    <xf numFmtId="4" fontId="25" fillId="0" borderId="0" xfId="0" applyNumberFormat="1" applyFont="1" applyFill="1" applyBorder="1" applyAlignment="1">
      <alignment vertical="center" wrapText="1"/>
    </xf>
    <xf numFmtId="204" fontId="38" fillId="0" borderId="0" xfId="0" applyNumberFormat="1" applyFont="1" applyFill="1" applyBorder="1" applyAlignment="1">
      <alignment horizontal="center" vertical="center" wrapText="1"/>
    </xf>
    <xf numFmtId="204" fontId="21" fillId="0" borderId="0" xfId="0" applyNumberFormat="1" applyFont="1" applyFill="1" applyBorder="1" applyAlignment="1">
      <alignment horizontal="center" vertical="center" wrapText="1"/>
    </xf>
    <xf numFmtId="0" fontId="27" fillId="0" borderId="0" xfId="0" applyFont="1" applyFill="1" applyBorder="1" applyAlignment="1">
      <alignment vertical="center" wrapText="1"/>
    </xf>
    <xf numFmtId="204" fontId="35" fillId="0" borderId="0" xfId="0" applyNumberFormat="1" applyFont="1" applyFill="1" applyBorder="1" applyAlignment="1">
      <alignment horizontal="center" vertical="center" wrapText="1"/>
    </xf>
    <xf numFmtId="4" fontId="21" fillId="0" borderId="0" xfId="0" applyNumberFormat="1" applyFont="1" applyFill="1" applyBorder="1" applyAlignment="1">
      <alignment vertical="center" wrapText="1"/>
    </xf>
    <xf numFmtId="204" fontId="21" fillId="32"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4" fontId="46" fillId="0" borderId="0" xfId="0" applyNumberFormat="1" applyFont="1" applyFill="1" applyBorder="1" applyAlignment="1">
      <alignment vertical="center" wrapText="1"/>
    </xf>
    <xf numFmtId="4" fontId="38" fillId="0" borderId="0" xfId="0" applyNumberFormat="1" applyFont="1" applyBorder="1" applyAlignment="1">
      <alignment horizontal="right" vertical="center" wrapText="1"/>
    </xf>
    <xf numFmtId="4" fontId="38" fillId="0" borderId="0" xfId="0" applyNumberFormat="1" applyFont="1" applyFill="1" applyBorder="1" applyAlignment="1">
      <alignment horizontal="center" vertical="center" wrapText="1"/>
    </xf>
    <xf numFmtId="4" fontId="35" fillId="0" borderId="0" xfId="0" applyNumberFormat="1" applyFont="1" applyBorder="1" applyAlignment="1">
      <alignment vertical="center" wrapText="1"/>
    </xf>
    <xf numFmtId="0" fontId="35" fillId="0" borderId="0" xfId="0" applyFont="1" applyFill="1" applyBorder="1" applyAlignment="1">
      <alignment vertical="center" wrapText="1"/>
    </xf>
    <xf numFmtId="204" fontId="35" fillId="0" borderId="0" xfId="0" applyNumberFormat="1" applyFont="1" applyBorder="1" applyAlignment="1">
      <alignment horizontal="center" vertical="center" wrapText="1"/>
    </xf>
    <xf numFmtId="0" fontId="50" fillId="0" borderId="0" xfId="0" applyFont="1" applyFill="1" applyBorder="1" applyAlignment="1">
      <alignment vertical="center" wrapText="1"/>
    </xf>
    <xf numFmtId="0" fontId="21" fillId="0" borderId="0" xfId="0" applyFont="1" applyFill="1" applyBorder="1" applyAlignment="1">
      <alignment vertical="center" wrapText="1"/>
    </xf>
    <xf numFmtId="0" fontId="25" fillId="0" borderId="0" xfId="0" applyFont="1" applyBorder="1" applyAlignment="1">
      <alignment vertical="center" wrapText="1"/>
    </xf>
    <xf numFmtId="4" fontId="41" fillId="0" borderId="0" xfId="0" applyNumberFormat="1" applyFont="1" applyBorder="1" applyAlignment="1">
      <alignment vertical="center" wrapText="1"/>
    </xf>
    <xf numFmtId="1" fontId="38" fillId="32" borderId="0" xfId="0" applyNumberFormat="1" applyFont="1" applyFill="1" applyBorder="1" applyAlignment="1">
      <alignment horizontal="right" vertical="center" wrapText="1"/>
    </xf>
    <xf numFmtId="1" fontId="38" fillId="0" borderId="0" xfId="0" applyNumberFormat="1" applyFont="1" applyFill="1" applyBorder="1" applyAlignment="1">
      <alignment horizontal="right" vertical="center" wrapText="1"/>
    </xf>
    <xf numFmtId="0" fontId="38" fillId="32" borderId="0" xfId="0" applyFont="1" applyFill="1" applyBorder="1" applyAlignment="1">
      <alignment horizontal="right" vertical="center" wrapText="1"/>
    </xf>
    <xf numFmtId="4" fontId="38" fillId="0" borderId="0" xfId="0" applyNumberFormat="1" applyFont="1" applyBorder="1" applyAlignment="1">
      <alignment vertical="center" wrapText="1"/>
    </xf>
    <xf numFmtId="0" fontId="21" fillId="0" borderId="0" xfId="0" applyFont="1" applyBorder="1" applyAlignment="1">
      <alignment vertical="center" wrapText="1"/>
    </xf>
    <xf numFmtId="0" fontId="37" fillId="35" borderId="0" xfId="0" applyFont="1" applyFill="1" applyBorder="1" applyAlignment="1">
      <alignment vertical="center" wrapText="1"/>
    </xf>
    <xf numFmtId="204" fontId="38" fillId="35" borderId="0" xfId="0" applyNumberFormat="1" applyFont="1" applyFill="1" applyBorder="1" applyAlignment="1">
      <alignment horizontal="center" vertical="center" wrapText="1"/>
    </xf>
    <xf numFmtId="0" fontId="25" fillId="35" borderId="0" xfId="0" applyFont="1" applyFill="1" applyBorder="1" applyAlignment="1">
      <alignment vertical="center" wrapText="1"/>
    </xf>
    <xf numFmtId="0" fontId="40" fillId="0" borderId="0" xfId="0" applyFont="1" applyBorder="1" applyAlignment="1">
      <alignment vertical="center" wrapText="1"/>
    </xf>
    <xf numFmtId="4" fontId="39" fillId="33" borderId="0" xfId="0" applyNumberFormat="1" applyFont="1" applyFill="1" applyBorder="1" applyAlignment="1">
      <alignment vertical="center" wrapText="1"/>
    </xf>
    <xf numFmtId="4" fontId="39" fillId="0" borderId="0" xfId="0" applyNumberFormat="1" applyFont="1" applyBorder="1" applyAlignment="1">
      <alignment vertical="center" wrapText="1"/>
    </xf>
    <xf numFmtId="4" fontId="35" fillId="0" borderId="0" xfId="0" applyNumberFormat="1" applyFont="1" applyBorder="1" applyAlignment="1">
      <alignment vertical="center" wrapText="1"/>
    </xf>
    <xf numFmtId="204" fontId="35" fillId="0" borderId="0" xfId="0" applyNumberFormat="1" applyFont="1" applyBorder="1" applyAlignment="1">
      <alignment horizontal="center" vertical="center" wrapText="1"/>
    </xf>
    <xf numFmtId="0" fontId="50" fillId="0" borderId="0" xfId="0" applyFont="1" applyBorder="1" applyAlignment="1">
      <alignment vertical="center" wrapText="1"/>
    </xf>
    <xf numFmtId="0" fontId="35" fillId="0" borderId="0" xfId="0" applyFont="1" applyBorder="1" applyAlignment="1">
      <alignment vertical="center" wrapText="1"/>
    </xf>
    <xf numFmtId="0" fontId="35" fillId="0" borderId="0" xfId="0" applyFont="1" applyFill="1" applyBorder="1" applyAlignment="1">
      <alignment vertical="center" wrapText="1"/>
    </xf>
    <xf numFmtId="0" fontId="50" fillId="0" borderId="0" xfId="0" applyFont="1" applyFill="1" applyBorder="1" applyAlignment="1">
      <alignment vertical="center" wrapText="1"/>
    </xf>
    <xf numFmtId="0" fontId="25" fillId="37" borderId="0" xfId="0" applyFont="1" applyFill="1" applyBorder="1" applyAlignment="1">
      <alignment vertical="center" wrapText="1"/>
    </xf>
    <xf numFmtId="4" fontId="35" fillId="0" borderId="0" xfId="0" applyNumberFormat="1" applyFont="1" applyBorder="1" applyAlignment="1">
      <alignment vertical="center" wrapText="1"/>
    </xf>
    <xf numFmtId="204" fontId="35" fillId="0" borderId="0" xfId="0" applyNumberFormat="1" applyFont="1" applyBorder="1" applyAlignment="1">
      <alignment horizontal="center" vertical="center" wrapText="1"/>
    </xf>
    <xf numFmtId="0" fontId="62" fillId="0" borderId="0" xfId="0" applyFont="1" applyBorder="1" applyAlignment="1">
      <alignment/>
    </xf>
    <xf numFmtId="0" fontId="63" fillId="0" borderId="0" xfId="0" applyFont="1" applyBorder="1" applyAlignment="1">
      <alignment vertical="center" wrapText="1"/>
    </xf>
    <xf numFmtId="0" fontId="35" fillId="0" borderId="0" xfId="0" applyFont="1" applyBorder="1" applyAlignment="1">
      <alignment vertical="center" wrapText="1"/>
    </xf>
    <xf numFmtId="0" fontId="50" fillId="0" borderId="0" xfId="0" applyFont="1" applyBorder="1" applyAlignment="1">
      <alignment vertical="center" wrapText="1"/>
    </xf>
    <xf numFmtId="4" fontId="63" fillId="0" borderId="0" xfId="0" applyNumberFormat="1" applyFont="1" applyBorder="1" applyAlignment="1">
      <alignment vertical="center" wrapText="1"/>
    </xf>
    <xf numFmtId="0" fontId="38" fillId="0" borderId="0" xfId="0" applyFont="1" applyBorder="1" applyAlignment="1">
      <alignment horizontal="right" vertical="center" wrapText="1"/>
    </xf>
    <xf numFmtId="4" fontId="20" fillId="0" borderId="0" xfId="0" applyNumberFormat="1" applyFont="1" applyBorder="1" applyAlignment="1">
      <alignment vertical="center" wrapText="1"/>
    </xf>
    <xf numFmtId="4" fontId="37" fillId="37" borderId="0" xfId="0" applyNumberFormat="1" applyFont="1" applyFill="1" applyBorder="1" applyAlignment="1">
      <alignment vertical="center" wrapText="1"/>
    </xf>
    <xf numFmtId="0" fontId="37" fillId="37" borderId="0" xfId="0" applyFont="1" applyFill="1" applyBorder="1" applyAlignment="1">
      <alignment vertical="center" wrapText="1"/>
    </xf>
    <xf numFmtId="204" fontId="38" fillId="37" borderId="0" xfId="0" applyNumberFormat="1" applyFont="1" applyFill="1" applyBorder="1" applyAlignment="1">
      <alignment horizontal="center" vertical="center" wrapText="1"/>
    </xf>
    <xf numFmtId="4" fontId="38" fillId="35" borderId="0" xfId="0" applyNumberFormat="1" applyFont="1" applyFill="1" applyBorder="1" applyAlignment="1">
      <alignment vertical="center" wrapText="1"/>
    </xf>
    <xf numFmtId="0" fontId="38" fillId="35" borderId="0" xfId="0" applyFont="1" applyFill="1" applyBorder="1" applyAlignment="1">
      <alignment vertical="center" wrapText="1"/>
    </xf>
    <xf numFmtId="0" fontId="20" fillId="35" borderId="0" xfId="0" applyFont="1" applyFill="1" applyBorder="1" applyAlignment="1">
      <alignment vertical="center" wrapText="1"/>
    </xf>
    <xf numFmtId="4" fontId="35" fillId="32" borderId="0" xfId="0" applyNumberFormat="1" applyFont="1" applyFill="1" applyBorder="1" applyAlignment="1">
      <alignment vertical="center" wrapText="1"/>
    </xf>
    <xf numFmtId="0" fontId="25" fillId="0" borderId="0" xfId="0" applyFont="1" applyFill="1" applyBorder="1" applyAlignment="1">
      <alignment vertical="center" wrapText="1"/>
    </xf>
    <xf numFmtId="0" fontId="38" fillId="0" borderId="0" xfId="0" applyFont="1" applyBorder="1" applyAlignment="1">
      <alignment horizontal="center" vertical="center" wrapText="1"/>
    </xf>
    <xf numFmtId="0" fontId="21" fillId="35" borderId="0" xfId="0" applyFont="1" applyFill="1" applyBorder="1" applyAlignment="1">
      <alignment vertical="center" wrapText="1"/>
    </xf>
    <xf numFmtId="4" fontId="21" fillId="35" borderId="0" xfId="0" applyNumberFormat="1" applyFont="1" applyFill="1" applyBorder="1" applyAlignment="1">
      <alignment vertical="center" wrapText="1"/>
    </xf>
    <xf numFmtId="0" fontId="35" fillId="0" borderId="0" xfId="0" applyFont="1" applyBorder="1" applyAlignment="1">
      <alignment horizontal="right" vertical="center" wrapText="1"/>
    </xf>
    <xf numFmtId="0" fontId="31" fillId="0" borderId="0" xfId="0" applyFont="1" applyBorder="1" applyAlignment="1">
      <alignment vertical="center" wrapText="1"/>
    </xf>
    <xf numFmtId="0" fontId="35" fillId="0" borderId="0" xfId="0" applyFont="1" applyBorder="1" applyAlignment="1">
      <alignment vertical="center" wrapText="1"/>
    </xf>
    <xf numFmtId="0" fontId="38" fillId="32" borderId="0" xfId="0" applyFont="1" applyFill="1" applyBorder="1" applyAlignment="1">
      <alignment horizontal="center" vertical="center" wrapText="1"/>
    </xf>
    <xf numFmtId="0" fontId="41" fillId="32" borderId="0" xfId="0" applyFont="1" applyFill="1" applyBorder="1" applyAlignment="1">
      <alignment vertical="center" wrapText="1"/>
    </xf>
    <xf numFmtId="0" fontId="21" fillId="32" borderId="0" xfId="0" applyFont="1" applyFill="1" applyBorder="1" applyAlignment="1">
      <alignment vertical="center" wrapText="1"/>
    </xf>
    <xf numFmtId="4" fontId="38" fillId="32" borderId="0" xfId="0" applyNumberFormat="1" applyFont="1" applyFill="1" applyBorder="1" applyAlignment="1">
      <alignment horizontal="center" vertical="center" wrapText="1"/>
    </xf>
    <xf numFmtId="204" fontId="41" fillId="0" borderId="0" xfId="0" applyNumberFormat="1" applyFont="1" applyBorder="1" applyAlignment="1">
      <alignment horizontal="center" vertical="center" wrapText="1"/>
    </xf>
    <xf numFmtId="4" fontId="38" fillId="0" borderId="0" xfId="0" applyNumberFormat="1" applyFont="1" applyBorder="1" applyAlignment="1">
      <alignment horizontal="center" wrapText="1"/>
    </xf>
    <xf numFmtId="4" fontId="39" fillId="0" borderId="0" xfId="0" applyNumberFormat="1" applyFont="1" applyBorder="1" applyAlignment="1">
      <alignment horizontal="center" vertical="center" wrapText="1"/>
    </xf>
    <xf numFmtId="4" fontId="47" fillId="0" borderId="0" xfId="0" applyNumberFormat="1" applyFont="1" applyFill="1" applyBorder="1" applyAlignment="1">
      <alignment vertical="center" wrapText="1"/>
    </xf>
    <xf numFmtId="0" fontId="47" fillId="0" borderId="0" xfId="0" applyFont="1" applyFill="1" applyBorder="1" applyAlignment="1">
      <alignment vertical="center" wrapText="1"/>
    </xf>
    <xf numFmtId="204" fontId="47"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49" fontId="20" fillId="0" borderId="0" xfId="0" applyNumberFormat="1" applyFont="1" applyBorder="1" applyAlignment="1">
      <alignment horizontal="center" vertical="center" wrapText="1"/>
    </xf>
    <xf numFmtId="49" fontId="20" fillId="0" borderId="0"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49" fontId="20" fillId="32" borderId="0" xfId="0" applyNumberFormat="1" applyFont="1" applyFill="1" applyBorder="1" applyAlignment="1">
      <alignment horizontal="center" vertical="center" wrapText="1"/>
    </xf>
    <xf numFmtId="49" fontId="20" fillId="0" borderId="0" xfId="0" applyNumberFormat="1" applyFont="1" applyBorder="1" applyAlignment="1">
      <alignment horizontal="left" vertical="center" wrapText="1"/>
    </xf>
    <xf numFmtId="49" fontId="25" fillId="38" borderId="10" xfId="0" applyNumberFormat="1" applyFont="1" applyFill="1" applyBorder="1" applyAlignment="1" quotePrefix="1">
      <alignment horizontal="center" vertical="center" wrapText="1"/>
    </xf>
    <xf numFmtId="49" fontId="25" fillId="38" borderId="10" xfId="0" applyNumberFormat="1" applyFont="1" applyFill="1" applyBorder="1" applyAlignment="1">
      <alignment horizontal="center" vertical="center" wrapText="1"/>
    </xf>
    <xf numFmtId="2" fontId="25" fillId="38" borderId="10" xfId="0" applyNumberFormat="1" applyFont="1" applyFill="1" applyBorder="1" applyAlignment="1">
      <alignment horizontal="left" vertical="center" wrapText="1"/>
    </xf>
    <xf numFmtId="3" fontId="25" fillId="38" borderId="10" xfId="0" applyNumberFormat="1" applyFont="1" applyFill="1" applyBorder="1" applyAlignment="1" applyProtection="1">
      <alignment horizontal="center" vertical="center" wrapText="1"/>
      <protection/>
    </xf>
    <xf numFmtId="4" fontId="26" fillId="38" borderId="10" xfId="0" applyNumberFormat="1" applyFont="1" applyFill="1" applyBorder="1" applyAlignment="1" applyProtection="1">
      <alignment horizontal="right" vertical="center" wrapText="1"/>
      <protection/>
    </xf>
    <xf numFmtId="4" fontId="25" fillId="38" borderId="10" xfId="0" applyNumberFormat="1" applyFont="1" applyFill="1" applyBorder="1" applyAlignment="1" applyProtection="1">
      <alignment horizontal="right" vertical="center" wrapText="1"/>
      <protection/>
    </xf>
    <xf numFmtId="4" fontId="25" fillId="38" borderId="10" xfId="0" applyNumberFormat="1" applyFont="1" applyFill="1" applyBorder="1" applyAlignment="1">
      <alignment horizontal="right" vertical="center" wrapText="1"/>
    </xf>
    <xf numFmtId="4" fontId="37" fillId="38" borderId="0" xfId="0" applyNumberFormat="1" applyFont="1" applyFill="1" applyBorder="1" applyAlignment="1">
      <alignment vertical="center" wrapText="1"/>
    </xf>
    <xf numFmtId="0" fontId="37" fillId="38" borderId="0" xfId="0" applyFont="1" applyFill="1" applyBorder="1" applyAlignment="1">
      <alignment vertical="center" wrapText="1"/>
    </xf>
    <xf numFmtId="204" fontId="38" fillId="38" borderId="0" xfId="0" applyNumberFormat="1" applyFont="1" applyFill="1" applyBorder="1" applyAlignment="1">
      <alignment horizontal="center" vertical="center" wrapText="1"/>
    </xf>
    <xf numFmtId="0" fontId="25" fillId="38" borderId="0" xfId="0" applyFont="1" applyFill="1" applyBorder="1" applyAlignment="1">
      <alignment vertical="center" wrapText="1"/>
    </xf>
    <xf numFmtId="0" fontId="25" fillId="38" borderId="0" xfId="0" applyFont="1" applyFill="1" applyAlignment="1">
      <alignment vertical="center" wrapText="1"/>
    </xf>
    <xf numFmtId="204" fontId="21" fillId="38" borderId="0" xfId="0" applyNumberFormat="1" applyFont="1" applyFill="1" applyBorder="1" applyAlignment="1">
      <alignment horizontal="center" vertical="center" wrapText="1"/>
    </xf>
    <xf numFmtId="49" fontId="55" fillId="38" borderId="10" xfId="0" applyNumberFormat="1" applyFont="1" applyFill="1" applyBorder="1" applyAlignment="1" quotePrefix="1">
      <alignment horizontal="center" vertical="center" wrapText="1"/>
    </xf>
    <xf numFmtId="0" fontId="55" fillId="38" borderId="10" xfId="0" applyFont="1" applyFill="1" applyBorder="1" applyAlignment="1">
      <alignment horizontal="center" vertical="center" wrapText="1"/>
    </xf>
    <xf numFmtId="2" fontId="55" fillId="38" borderId="10" xfId="0" applyNumberFormat="1" applyFont="1" applyFill="1" applyBorder="1" applyAlignment="1" quotePrefix="1">
      <alignment horizontal="center" vertical="center" wrapText="1"/>
    </xf>
    <xf numFmtId="0" fontId="55" fillId="38" borderId="10" xfId="0" applyFont="1" applyFill="1" applyBorder="1" applyAlignment="1">
      <alignment vertical="center" wrapText="1"/>
    </xf>
    <xf numFmtId="3" fontId="55" fillId="38" borderId="10" xfId="49" applyNumberFormat="1" applyFont="1" applyFill="1" applyBorder="1" applyAlignment="1">
      <alignment horizontal="center" vertical="center" wrapText="1"/>
      <protection/>
    </xf>
    <xf numFmtId="2" fontId="55" fillId="38" borderId="10" xfId="0" applyNumberFormat="1" applyFont="1" applyFill="1" applyBorder="1" applyAlignment="1">
      <alignment horizontal="center" vertical="center" wrapText="1"/>
    </xf>
    <xf numFmtId="4" fontId="56" fillId="38" borderId="10" xfId="0" applyNumberFormat="1" applyFont="1" applyFill="1" applyBorder="1" applyAlignment="1">
      <alignment vertical="center" wrapText="1"/>
    </xf>
    <xf numFmtId="4" fontId="55" fillId="38" borderId="10" xfId="0" applyNumberFormat="1" applyFont="1" applyFill="1" applyBorder="1" applyAlignment="1">
      <alignment vertical="center" wrapText="1"/>
    </xf>
    <xf numFmtId="4" fontId="55" fillId="38" borderId="10" xfId="0" applyNumberFormat="1" applyFont="1" applyFill="1" applyBorder="1" applyAlignment="1">
      <alignment horizontal="right" vertical="center" wrapText="1"/>
    </xf>
    <xf numFmtId="4" fontId="55" fillId="38" borderId="0" xfId="0" applyNumberFormat="1" applyFont="1" applyFill="1" applyBorder="1" applyAlignment="1">
      <alignment vertical="center" wrapText="1"/>
    </xf>
    <xf numFmtId="0" fontId="55" fillId="38" borderId="0" xfId="0" applyFont="1" applyFill="1" applyBorder="1" applyAlignment="1">
      <alignment vertical="center" wrapText="1"/>
    </xf>
    <xf numFmtId="204" fontId="55" fillId="38" borderId="0" xfId="0" applyNumberFormat="1" applyFont="1" applyFill="1" applyBorder="1" applyAlignment="1">
      <alignment horizontal="center" vertical="center" wrapText="1"/>
    </xf>
    <xf numFmtId="0" fontId="55" fillId="38" borderId="0" xfId="0" applyFont="1" applyFill="1" applyAlignment="1">
      <alignment vertical="center" wrapText="1"/>
    </xf>
    <xf numFmtId="49" fontId="20" fillId="38" borderId="10" xfId="0" applyNumberFormat="1" applyFont="1" applyFill="1" applyBorder="1" applyAlignment="1">
      <alignment horizontal="center" vertical="center" wrapText="1"/>
    </xf>
    <xf numFmtId="2" fontId="20" fillId="38" borderId="10" xfId="0" applyNumberFormat="1" applyFont="1" applyFill="1" applyBorder="1" applyAlignment="1">
      <alignment horizontal="left" vertical="center" wrapText="1"/>
    </xf>
    <xf numFmtId="4" fontId="18" fillId="38" borderId="10" xfId="49" applyNumberFormat="1" applyFont="1" applyFill="1" applyBorder="1" applyAlignment="1">
      <alignment horizontal="right" vertical="center" wrapText="1"/>
      <protection/>
    </xf>
    <xf numFmtId="4" fontId="20" fillId="38" borderId="10" xfId="0" applyNumberFormat="1" applyFont="1" applyFill="1" applyBorder="1" applyAlignment="1">
      <alignment horizontal="right" vertical="center" wrapText="1"/>
    </xf>
    <xf numFmtId="1" fontId="38" fillId="38" borderId="0" xfId="0" applyNumberFormat="1" applyFont="1" applyFill="1" applyBorder="1" applyAlignment="1">
      <alignment horizontal="right" vertical="center" wrapText="1"/>
    </xf>
    <xf numFmtId="0" fontId="38" fillId="38" borderId="0" xfId="0" applyFont="1" applyFill="1" applyBorder="1" applyAlignment="1">
      <alignment vertical="center" wrapText="1"/>
    </xf>
    <xf numFmtId="4" fontId="38" fillId="38" borderId="0" xfId="0" applyNumberFormat="1" applyFont="1" applyFill="1" applyBorder="1" applyAlignment="1">
      <alignment vertical="center" wrapText="1"/>
    </xf>
    <xf numFmtId="0" fontId="20" fillId="38" borderId="0" xfId="0" applyFont="1" applyFill="1" applyBorder="1" applyAlignment="1">
      <alignment vertical="center" wrapText="1"/>
    </xf>
    <xf numFmtId="0" fontId="20" fillId="38" borderId="0" xfId="0" applyFont="1" applyFill="1" applyAlignment="1">
      <alignment vertical="center" wrapText="1"/>
    </xf>
    <xf numFmtId="49" fontId="20" fillId="38" borderId="10" xfId="0" applyNumberFormat="1" applyFont="1" applyFill="1" applyBorder="1" applyAlignment="1" quotePrefix="1">
      <alignment horizontal="center" vertical="center" wrapText="1"/>
    </xf>
    <xf numFmtId="4" fontId="31" fillId="38" borderId="10" xfId="49" applyNumberFormat="1" applyFont="1" applyFill="1" applyBorder="1" applyAlignment="1">
      <alignment horizontal="right" vertical="center" wrapText="1"/>
      <protection/>
    </xf>
    <xf numFmtId="4" fontId="21" fillId="38" borderId="10" xfId="0" applyNumberFormat="1" applyFont="1" applyFill="1" applyBorder="1" applyAlignment="1">
      <alignment horizontal="righ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79"/>
  <sheetViews>
    <sheetView tabSelected="1" view="pageBreakPreview" zoomScale="48" zoomScaleSheetLayoutView="48" workbookViewId="0" topLeftCell="A1">
      <selection activeCell="F5" sqref="F5"/>
    </sheetView>
  </sheetViews>
  <sheetFormatPr defaultColWidth="8.875" defaultRowHeight="12.75"/>
  <cols>
    <col min="1" max="1" width="18.375" style="16" customWidth="1"/>
    <col min="2" max="2" width="15.25390625" style="17" customWidth="1"/>
    <col min="3" max="3" width="13.00390625" style="17" customWidth="1"/>
    <col min="4" max="4" width="51.25390625" style="18" customWidth="1"/>
    <col min="5" max="5" width="51.00390625" style="19" customWidth="1"/>
    <col min="6" max="6" width="23.125" style="19" customWidth="1"/>
    <col min="7" max="7" width="27.625" style="21" customWidth="1"/>
    <col min="8" max="8" width="27.25390625" style="22" customWidth="1"/>
    <col min="9" max="9" width="29.75390625" style="22" customWidth="1"/>
    <col min="10" max="10" width="31.25390625" style="22" customWidth="1"/>
    <col min="11" max="11" width="27.125" style="237" customWidth="1"/>
    <col min="12" max="12" width="26.00390625" style="237" customWidth="1"/>
    <col min="13" max="13" width="26.25390625" style="237" customWidth="1"/>
    <col min="14" max="14" width="23.25390625" style="238" customWidth="1"/>
    <col min="15" max="15" width="26.625" style="238" customWidth="1"/>
    <col min="16" max="16" width="33.00390625" style="20" customWidth="1"/>
    <col min="17" max="17" width="8.875" style="20" customWidth="1"/>
    <col min="18" max="18" width="24.375" style="20" bestFit="1" customWidth="1"/>
    <col min="19" max="16384" width="8.875" style="20" customWidth="1"/>
  </cols>
  <sheetData>
    <row r="1" spans="1:16" s="14" customFormat="1" ht="21" customHeight="1">
      <c r="A1" s="8"/>
      <c r="B1" s="9"/>
      <c r="C1" s="9"/>
      <c r="D1" s="10"/>
      <c r="E1" s="11"/>
      <c r="F1" s="11"/>
      <c r="G1" s="12"/>
      <c r="H1" s="13"/>
      <c r="I1" s="344"/>
      <c r="J1" s="344"/>
      <c r="K1" s="427"/>
      <c r="L1" s="427"/>
      <c r="M1" s="427"/>
      <c r="N1" s="428"/>
      <c r="O1" s="428"/>
      <c r="P1" s="429"/>
    </row>
    <row r="2" spans="1:16" s="14" customFormat="1" ht="27" customHeight="1">
      <c r="A2" s="8"/>
      <c r="B2" s="9"/>
      <c r="C2" s="9"/>
      <c r="D2" s="10"/>
      <c r="E2" s="11"/>
      <c r="F2" s="11"/>
      <c r="I2" s="378" t="s">
        <v>455</v>
      </c>
      <c r="J2" s="378"/>
      <c r="K2" s="427"/>
      <c r="L2" s="427"/>
      <c r="M2" s="427"/>
      <c r="N2" s="428"/>
      <c r="O2" s="428"/>
      <c r="P2" s="429"/>
    </row>
    <row r="3" spans="1:16" s="14" customFormat="1" ht="28.5" customHeight="1">
      <c r="A3" s="8"/>
      <c r="B3" s="9"/>
      <c r="C3" s="9"/>
      <c r="D3" s="10"/>
      <c r="E3" s="11"/>
      <c r="F3" s="11"/>
      <c r="I3" s="378" t="s">
        <v>233</v>
      </c>
      <c r="J3" s="378"/>
      <c r="K3" s="427"/>
      <c r="L3" s="427"/>
      <c r="M3" s="427"/>
      <c r="N3" s="428"/>
      <c r="O3" s="428"/>
      <c r="P3" s="429"/>
    </row>
    <row r="4" spans="1:16" s="14" customFormat="1" ht="27" customHeight="1">
      <c r="A4" s="8"/>
      <c r="B4" s="9"/>
      <c r="C4" s="9"/>
      <c r="D4" s="10"/>
      <c r="E4" s="11"/>
      <c r="F4" s="11"/>
      <c r="I4" s="378" t="s">
        <v>99</v>
      </c>
      <c r="J4" s="378"/>
      <c r="K4" s="427"/>
      <c r="L4" s="427"/>
      <c r="M4" s="427"/>
      <c r="N4" s="428"/>
      <c r="O4" s="428"/>
      <c r="P4" s="429"/>
    </row>
    <row r="5" spans="1:16" s="14" customFormat="1" ht="27" customHeight="1">
      <c r="A5" s="8"/>
      <c r="B5" s="9"/>
      <c r="C5" s="9"/>
      <c r="D5" s="10"/>
      <c r="E5" s="11"/>
      <c r="F5" s="11"/>
      <c r="I5" s="378" t="s">
        <v>533</v>
      </c>
      <c r="J5" s="378"/>
      <c r="K5" s="427"/>
      <c r="L5" s="427"/>
      <c r="M5" s="427"/>
      <c r="N5" s="428"/>
      <c r="O5" s="428"/>
      <c r="P5" s="429"/>
    </row>
    <row r="6" spans="1:16" s="14" customFormat="1" ht="32.25" customHeight="1">
      <c r="A6" s="8"/>
      <c r="B6" s="9"/>
      <c r="C6" s="9"/>
      <c r="D6" s="10"/>
      <c r="E6" s="11"/>
      <c r="F6" s="11"/>
      <c r="I6" s="378" t="s">
        <v>667</v>
      </c>
      <c r="J6" s="378"/>
      <c r="K6" s="427"/>
      <c r="L6" s="427"/>
      <c r="M6" s="427"/>
      <c r="N6" s="428"/>
      <c r="O6" s="428"/>
      <c r="P6" s="429"/>
    </row>
    <row r="7" spans="1:16" s="14" customFormat="1" ht="48" customHeight="1">
      <c r="A7" s="8"/>
      <c r="B7" s="9"/>
      <c r="C7" s="9"/>
      <c r="D7" s="10"/>
      <c r="E7" s="11"/>
      <c r="F7" s="11"/>
      <c r="G7" s="15"/>
      <c r="H7" s="15"/>
      <c r="I7" s="15"/>
      <c r="J7" s="15"/>
      <c r="K7" s="427"/>
      <c r="L7" s="427"/>
      <c r="M7" s="427"/>
      <c r="N7" s="428"/>
      <c r="O7" s="428"/>
      <c r="P7" s="429"/>
    </row>
    <row r="8" spans="1:16" s="63" customFormat="1" ht="51.75" customHeight="1">
      <c r="A8" s="345" t="s">
        <v>92</v>
      </c>
      <c r="B8" s="345"/>
      <c r="C8" s="345"/>
      <c r="D8" s="345"/>
      <c r="E8" s="345"/>
      <c r="F8" s="345"/>
      <c r="G8" s="345"/>
      <c r="H8" s="345"/>
      <c r="I8" s="345"/>
      <c r="J8" s="345"/>
      <c r="K8" s="427"/>
      <c r="L8" s="427"/>
      <c r="M8" s="427"/>
      <c r="N8" s="428"/>
      <c r="O8" s="428"/>
      <c r="P8" s="430"/>
    </row>
    <row r="9" spans="1:16" s="63" customFormat="1" ht="33">
      <c r="A9" s="348" t="s">
        <v>93</v>
      </c>
      <c r="B9" s="348"/>
      <c r="C9" s="4"/>
      <c r="D9" s="4"/>
      <c r="E9" s="6"/>
      <c r="F9" s="6"/>
      <c r="G9" s="5"/>
      <c r="H9" s="4"/>
      <c r="I9" s="4"/>
      <c r="J9" s="4"/>
      <c r="K9" s="427"/>
      <c r="L9" s="427"/>
      <c r="M9" s="427"/>
      <c r="N9" s="428"/>
      <c r="O9" s="428"/>
      <c r="P9" s="430"/>
    </row>
    <row r="10" spans="1:16" s="63" customFormat="1" ht="33">
      <c r="A10" s="347" t="s">
        <v>348</v>
      </c>
      <c r="B10" s="347"/>
      <c r="C10" s="4"/>
      <c r="D10" s="4"/>
      <c r="E10" s="7"/>
      <c r="F10" s="7"/>
      <c r="G10" s="7"/>
      <c r="H10" s="4"/>
      <c r="I10" s="4"/>
      <c r="K10" s="427"/>
      <c r="L10" s="427"/>
      <c r="M10" s="427"/>
      <c r="N10" s="428"/>
      <c r="O10" s="428"/>
      <c r="P10" s="430"/>
    </row>
    <row r="11" spans="1:16" s="63" customFormat="1" ht="30.75">
      <c r="A11" s="64"/>
      <c r="B11" s="65"/>
      <c r="C11" s="65"/>
      <c r="D11" s="66"/>
      <c r="E11" s="67"/>
      <c r="F11" s="68"/>
      <c r="G11" s="69"/>
      <c r="H11" s="70"/>
      <c r="I11" s="70"/>
      <c r="J11" s="244" t="s">
        <v>200</v>
      </c>
      <c r="K11" s="427"/>
      <c r="L11" s="427"/>
      <c r="M11" s="427"/>
      <c r="N11" s="427"/>
      <c r="O11" s="427"/>
      <c r="P11" s="430"/>
    </row>
    <row r="12" spans="1:16" s="71" customFormat="1" ht="15" customHeight="1">
      <c r="A12" s="346" t="s">
        <v>234</v>
      </c>
      <c r="B12" s="346" t="s">
        <v>235</v>
      </c>
      <c r="C12" s="346" t="s">
        <v>236</v>
      </c>
      <c r="D12" s="337" t="s">
        <v>201</v>
      </c>
      <c r="E12" s="349" t="s">
        <v>237</v>
      </c>
      <c r="F12" s="337" t="s">
        <v>264</v>
      </c>
      <c r="G12" s="334" t="s">
        <v>265</v>
      </c>
      <c r="H12" s="334" t="s">
        <v>247</v>
      </c>
      <c r="I12" s="328" t="s">
        <v>248</v>
      </c>
      <c r="J12" s="329"/>
      <c r="K12" s="431"/>
      <c r="L12" s="431"/>
      <c r="M12" s="431"/>
      <c r="N12" s="432"/>
      <c r="O12" s="432"/>
      <c r="P12" s="433"/>
    </row>
    <row r="13" spans="1:16" s="71" customFormat="1" ht="62.25" customHeight="1">
      <c r="A13" s="346"/>
      <c r="B13" s="346"/>
      <c r="C13" s="346"/>
      <c r="D13" s="338"/>
      <c r="E13" s="349"/>
      <c r="F13" s="338"/>
      <c r="G13" s="335"/>
      <c r="H13" s="335"/>
      <c r="I13" s="330"/>
      <c r="J13" s="331"/>
      <c r="K13" s="431"/>
      <c r="L13" s="434"/>
      <c r="M13" s="434"/>
      <c r="N13" s="431"/>
      <c r="O13" s="431"/>
      <c r="P13" s="433"/>
    </row>
    <row r="14" spans="1:16" s="71" customFormat="1" ht="35.25" customHeight="1">
      <c r="A14" s="346"/>
      <c r="B14" s="346"/>
      <c r="C14" s="346"/>
      <c r="D14" s="338"/>
      <c r="E14" s="349"/>
      <c r="F14" s="338"/>
      <c r="G14" s="335"/>
      <c r="H14" s="335"/>
      <c r="I14" s="332"/>
      <c r="J14" s="333"/>
      <c r="K14" s="431"/>
      <c r="L14" s="431"/>
      <c r="M14" s="431"/>
      <c r="N14" s="432"/>
      <c r="O14" s="432"/>
      <c r="P14" s="433"/>
    </row>
    <row r="15" spans="1:16" s="71" customFormat="1" ht="44.25" customHeight="1">
      <c r="A15" s="346"/>
      <c r="B15" s="346"/>
      <c r="C15" s="346"/>
      <c r="D15" s="339"/>
      <c r="E15" s="349"/>
      <c r="F15" s="339"/>
      <c r="G15" s="336"/>
      <c r="H15" s="336"/>
      <c r="I15" s="1" t="s">
        <v>266</v>
      </c>
      <c r="J15" s="1" t="s">
        <v>267</v>
      </c>
      <c r="K15" s="225"/>
      <c r="L15" s="225"/>
      <c r="M15" s="225"/>
      <c r="N15" s="226"/>
      <c r="O15" s="226"/>
      <c r="P15" s="433"/>
    </row>
    <row r="16" spans="1:16" s="72" customFormat="1" ht="20.25" customHeight="1">
      <c r="A16" s="3">
        <v>1</v>
      </c>
      <c r="B16" s="3">
        <v>2</v>
      </c>
      <c r="C16" s="3">
        <v>3</v>
      </c>
      <c r="D16" s="2">
        <v>4</v>
      </c>
      <c r="E16" s="2">
        <v>5</v>
      </c>
      <c r="F16" s="2">
        <v>6</v>
      </c>
      <c r="G16" s="2">
        <v>7</v>
      </c>
      <c r="H16" s="2">
        <v>8</v>
      </c>
      <c r="I16" s="2">
        <v>9</v>
      </c>
      <c r="J16" s="2">
        <v>10</v>
      </c>
      <c r="K16" s="435"/>
      <c r="L16" s="435"/>
      <c r="M16" s="435"/>
      <c r="N16" s="435"/>
      <c r="O16" s="435"/>
      <c r="P16" s="436"/>
    </row>
    <row r="17" spans="1:16" s="34" customFormat="1" ht="120" customHeight="1">
      <c r="A17" s="73" t="s">
        <v>249</v>
      </c>
      <c r="B17" s="74"/>
      <c r="C17" s="74"/>
      <c r="D17" s="314" t="s">
        <v>131</v>
      </c>
      <c r="E17" s="315"/>
      <c r="F17" s="75" t="s">
        <v>421</v>
      </c>
      <c r="G17" s="58">
        <f>G18</f>
        <v>25210286</v>
      </c>
      <c r="H17" s="58">
        <f>H18</f>
        <v>24688275</v>
      </c>
      <c r="I17" s="58">
        <f>I18</f>
        <v>522011</v>
      </c>
      <c r="J17" s="58">
        <f>J18</f>
        <v>522011</v>
      </c>
      <c r="K17" s="234"/>
      <c r="L17" s="235"/>
      <c r="M17" s="234"/>
      <c r="N17" s="437"/>
      <c r="O17" s="437"/>
      <c r="P17" s="161"/>
    </row>
    <row r="18" spans="1:16" s="34" customFormat="1" ht="47.25" customHeight="1">
      <c r="A18" s="38" t="s">
        <v>250</v>
      </c>
      <c r="B18" s="37"/>
      <c r="C18" s="37"/>
      <c r="D18" s="319" t="s">
        <v>62</v>
      </c>
      <c r="E18" s="320"/>
      <c r="F18" s="39" t="s">
        <v>421</v>
      </c>
      <c r="G18" s="40">
        <f>H18+I18</f>
        <v>25210286</v>
      </c>
      <c r="H18" s="40">
        <f>H19+H21+H23+H24+H25+H20+H22+H26+H27+H28+H29</f>
        <v>24688275</v>
      </c>
      <c r="I18" s="40">
        <f>I19+I21+I23+I24+I25+I20+I22+I26+I27+I28+I29</f>
        <v>522011</v>
      </c>
      <c r="J18" s="40">
        <f>J19+J21+J23+J24+J25+J20+J22+J26+J27+J28+J29</f>
        <v>522011</v>
      </c>
      <c r="K18" s="438"/>
      <c r="L18" s="438"/>
      <c r="M18" s="438"/>
      <c r="N18" s="438"/>
      <c r="O18" s="438"/>
      <c r="P18" s="161"/>
    </row>
    <row r="19" spans="1:16" s="78" customFormat="1" ht="123" customHeight="1">
      <c r="A19" s="325" t="s">
        <v>333</v>
      </c>
      <c r="B19" s="325">
        <v>8410</v>
      </c>
      <c r="C19" s="325" t="s">
        <v>251</v>
      </c>
      <c r="D19" s="351" t="s">
        <v>334</v>
      </c>
      <c r="E19" s="84" t="s">
        <v>527</v>
      </c>
      <c r="F19" s="25" t="s">
        <v>567</v>
      </c>
      <c r="G19" s="30">
        <f>SUM(H19+I19)</f>
        <v>6729283</v>
      </c>
      <c r="H19" s="32">
        <v>6729283</v>
      </c>
      <c r="I19" s="32">
        <v>0</v>
      </c>
      <c r="J19" s="32">
        <v>0</v>
      </c>
      <c r="K19" s="439"/>
      <c r="L19" s="440"/>
      <c r="M19" s="439"/>
      <c r="N19" s="441"/>
      <c r="O19" s="441"/>
      <c r="P19" s="442"/>
    </row>
    <row r="20" spans="1:16" s="34" customFormat="1" ht="181.5" customHeight="1" hidden="1">
      <c r="A20" s="326"/>
      <c r="B20" s="326"/>
      <c r="C20" s="326"/>
      <c r="D20" s="352"/>
      <c r="E20" s="77" t="s">
        <v>158</v>
      </c>
      <c r="F20" s="29" t="s">
        <v>550</v>
      </c>
      <c r="G20" s="30">
        <f>SUM(H20+I20)</f>
        <v>0</v>
      </c>
      <c r="H20" s="31"/>
      <c r="I20" s="31"/>
      <c r="J20" s="80"/>
      <c r="K20" s="236"/>
      <c r="L20" s="235"/>
      <c r="M20" s="234"/>
      <c r="N20" s="437"/>
      <c r="O20" s="437"/>
      <c r="P20" s="161"/>
    </row>
    <row r="21" spans="1:16" s="34" customFormat="1" ht="73.5" customHeight="1">
      <c r="A21" s="327"/>
      <c r="B21" s="327"/>
      <c r="C21" s="327"/>
      <c r="D21" s="353"/>
      <c r="E21" s="164" t="s">
        <v>168</v>
      </c>
      <c r="F21" s="84" t="s">
        <v>169</v>
      </c>
      <c r="G21" s="30">
        <f>SUM(H21+I21)</f>
        <v>2270717</v>
      </c>
      <c r="H21" s="31">
        <v>2270717</v>
      </c>
      <c r="I21" s="31">
        <v>0</v>
      </c>
      <c r="J21" s="80">
        <v>0</v>
      </c>
      <c r="K21" s="236"/>
      <c r="L21" s="235"/>
      <c r="M21" s="234"/>
      <c r="N21" s="437"/>
      <c r="O21" s="437"/>
      <c r="P21" s="161"/>
    </row>
    <row r="22" spans="1:16" s="34" customFormat="1" ht="119.25" customHeight="1">
      <c r="A22" s="26" t="s">
        <v>403</v>
      </c>
      <c r="B22" s="27" t="s">
        <v>296</v>
      </c>
      <c r="C22" s="26" t="s">
        <v>252</v>
      </c>
      <c r="D22" s="28" t="s">
        <v>605</v>
      </c>
      <c r="E22" s="25" t="s">
        <v>524</v>
      </c>
      <c r="F22" s="29" t="s">
        <v>282</v>
      </c>
      <c r="G22" s="30">
        <f aca="true" t="shared" si="0" ref="G22:G28">SUM(H22+I22)</f>
        <v>2654400</v>
      </c>
      <c r="H22" s="31">
        <v>2654400</v>
      </c>
      <c r="I22" s="31">
        <v>0</v>
      </c>
      <c r="J22" s="32">
        <v>0</v>
      </c>
      <c r="K22" s="231"/>
      <c r="L22" s="235"/>
      <c r="M22" s="234"/>
      <c r="N22" s="437"/>
      <c r="O22" s="437"/>
      <c r="P22" s="161"/>
    </row>
    <row r="23" spans="1:16" s="34" customFormat="1" ht="96" customHeight="1">
      <c r="A23" s="26" t="s">
        <v>403</v>
      </c>
      <c r="B23" s="27" t="s">
        <v>296</v>
      </c>
      <c r="C23" s="26" t="s">
        <v>252</v>
      </c>
      <c r="D23" s="28" t="s">
        <v>605</v>
      </c>
      <c r="E23" s="317" t="s">
        <v>404</v>
      </c>
      <c r="F23" s="324" t="s">
        <v>461</v>
      </c>
      <c r="G23" s="30">
        <f t="shared" si="0"/>
        <v>1326604</v>
      </c>
      <c r="H23" s="36">
        <f>298700+1271200+350000-350000-421700+129404+49000</f>
        <v>1326604</v>
      </c>
      <c r="I23" s="31">
        <v>0</v>
      </c>
      <c r="J23" s="31">
        <v>0</v>
      </c>
      <c r="K23" s="235"/>
      <c r="L23" s="235"/>
      <c r="M23" s="234"/>
      <c r="N23" s="437"/>
      <c r="O23" s="437"/>
      <c r="P23" s="161"/>
    </row>
    <row r="24" spans="1:16" s="34" customFormat="1" ht="96.75" customHeight="1" hidden="1">
      <c r="A24" s="27" t="s">
        <v>127</v>
      </c>
      <c r="B24" s="27" t="s">
        <v>126</v>
      </c>
      <c r="C24" s="27" t="s">
        <v>268</v>
      </c>
      <c r="D24" s="28" t="s">
        <v>128</v>
      </c>
      <c r="E24" s="318"/>
      <c r="F24" s="324"/>
      <c r="G24" s="30">
        <f t="shared" si="0"/>
        <v>0</v>
      </c>
      <c r="H24" s="36"/>
      <c r="I24" s="31"/>
      <c r="J24" s="31"/>
      <c r="K24" s="235"/>
      <c r="L24" s="235"/>
      <c r="M24" s="234"/>
      <c r="N24" s="437"/>
      <c r="O24" s="437"/>
      <c r="P24" s="161"/>
    </row>
    <row r="25" spans="1:16" s="149" customFormat="1" ht="125.25" customHeight="1">
      <c r="A25" s="81" t="s">
        <v>432</v>
      </c>
      <c r="B25" s="240" t="s">
        <v>604</v>
      </c>
      <c r="C25" s="240" t="s">
        <v>261</v>
      </c>
      <c r="D25" s="86" t="s">
        <v>301</v>
      </c>
      <c r="E25" s="84" t="s">
        <v>525</v>
      </c>
      <c r="F25" s="84" t="s">
        <v>600</v>
      </c>
      <c r="G25" s="148">
        <f t="shared" si="0"/>
        <v>1000000</v>
      </c>
      <c r="H25" s="85">
        <v>1000000</v>
      </c>
      <c r="I25" s="80">
        <v>0</v>
      </c>
      <c r="J25" s="80">
        <v>0</v>
      </c>
      <c r="K25" s="443"/>
      <c r="L25" s="443"/>
      <c r="M25" s="444"/>
      <c r="N25" s="445"/>
      <c r="O25" s="445"/>
      <c r="P25" s="446"/>
    </row>
    <row r="26" spans="1:16" s="34" customFormat="1" ht="119.25" customHeight="1">
      <c r="A26" s="81" t="s">
        <v>430</v>
      </c>
      <c r="B26" s="82">
        <v>6017</v>
      </c>
      <c r="C26" s="81" t="s">
        <v>255</v>
      </c>
      <c r="D26" s="83" t="s">
        <v>125</v>
      </c>
      <c r="E26" s="84" t="s">
        <v>217</v>
      </c>
      <c r="F26" s="84" t="s">
        <v>562</v>
      </c>
      <c r="G26" s="30">
        <f t="shared" si="0"/>
        <v>6729282</v>
      </c>
      <c r="H26" s="36">
        <f>5517007+141064+634200-85000</f>
        <v>6207271</v>
      </c>
      <c r="I26" s="31">
        <f>1297275-775264</f>
        <v>522011</v>
      </c>
      <c r="J26" s="31">
        <f>I26</f>
        <v>522011</v>
      </c>
      <c r="K26" s="234"/>
      <c r="L26" s="234"/>
      <c r="M26" s="234"/>
      <c r="N26" s="437"/>
      <c r="O26" s="437"/>
      <c r="P26" s="161"/>
    </row>
    <row r="27" spans="1:16" s="34" customFormat="1" ht="227.25" customHeight="1" hidden="1">
      <c r="A27" s="81" t="s">
        <v>430</v>
      </c>
      <c r="B27" s="82">
        <v>6017</v>
      </c>
      <c r="C27" s="81" t="s">
        <v>255</v>
      </c>
      <c r="D27" s="83" t="s">
        <v>125</v>
      </c>
      <c r="E27" s="84" t="s">
        <v>28</v>
      </c>
      <c r="F27" s="84" t="s">
        <v>19</v>
      </c>
      <c r="G27" s="30">
        <f t="shared" si="0"/>
        <v>0</v>
      </c>
      <c r="H27" s="85"/>
      <c r="I27" s="31">
        <v>0</v>
      </c>
      <c r="J27" s="31">
        <v>0</v>
      </c>
      <c r="K27" s="235"/>
      <c r="L27" s="235"/>
      <c r="M27" s="234"/>
      <c r="N27" s="437"/>
      <c r="O27" s="437"/>
      <c r="P27" s="161"/>
    </row>
    <row r="28" spans="1:16" s="34" customFormat="1" ht="213" customHeight="1">
      <c r="A28" s="81" t="s">
        <v>431</v>
      </c>
      <c r="B28" s="82">
        <v>6030</v>
      </c>
      <c r="C28" s="82" t="s">
        <v>255</v>
      </c>
      <c r="D28" s="86" t="s">
        <v>473</v>
      </c>
      <c r="E28" s="84" t="s">
        <v>481</v>
      </c>
      <c r="F28" s="84" t="s">
        <v>20</v>
      </c>
      <c r="G28" s="30">
        <f t="shared" si="0"/>
        <v>4500000</v>
      </c>
      <c r="H28" s="85">
        <f>3000000+1500000</f>
        <v>4500000</v>
      </c>
      <c r="I28" s="31">
        <v>0</v>
      </c>
      <c r="J28" s="31">
        <v>0</v>
      </c>
      <c r="K28" s="235"/>
      <c r="L28" s="235"/>
      <c r="M28" s="234"/>
      <c r="N28" s="437"/>
      <c r="O28" s="437"/>
      <c r="P28" s="161"/>
    </row>
    <row r="29" spans="1:16" s="34" customFormat="1" ht="103.5" customHeight="1" hidden="1">
      <c r="A29" s="26" t="s">
        <v>642</v>
      </c>
      <c r="B29" s="26" t="s">
        <v>89</v>
      </c>
      <c r="C29" s="26" t="s">
        <v>307</v>
      </c>
      <c r="D29" s="28" t="s">
        <v>324</v>
      </c>
      <c r="E29" s="88" t="s">
        <v>216</v>
      </c>
      <c r="F29" s="88" t="s">
        <v>427</v>
      </c>
      <c r="G29" s="30">
        <f>SUM(H29+I29)</f>
        <v>0</v>
      </c>
      <c r="H29" s="60"/>
      <c r="I29" s="31">
        <v>0</v>
      </c>
      <c r="J29" s="31">
        <f>I29</f>
        <v>0</v>
      </c>
      <c r="K29" s="235"/>
      <c r="L29" s="235"/>
      <c r="M29" s="235"/>
      <c r="N29" s="437"/>
      <c r="O29" s="437"/>
      <c r="P29" s="161"/>
    </row>
    <row r="30" spans="1:16" s="34" customFormat="1" ht="109.5" customHeight="1">
      <c r="A30" s="53" t="s">
        <v>418</v>
      </c>
      <c r="B30" s="54"/>
      <c r="C30" s="54"/>
      <c r="D30" s="314" t="s">
        <v>116</v>
      </c>
      <c r="E30" s="315"/>
      <c r="F30" s="90" t="s">
        <v>421</v>
      </c>
      <c r="G30" s="91">
        <f>G31+G33</f>
        <v>2252700</v>
      </c>
      <c r="H30" s="91">
        <f>H31+H33</f>
        <v>2252700</v>
      </c>
      <c r="I30" s="91">
        <f>I31+I33</f>
        <v>0</v>
      </c>
      <c r="J30" s="91">
        <f>J31+J33</f>
        <v>0</v>
      </c>
      <c r="K30" s="235"/>
      <c r="L30" s="235"/>
      <c r="M30" s="234"/>
      <c r="N30" s="437"/>
      <c r="O30" s="437"/>
      <c r="P30" s="161"/>
    </row>
    <row r="31" spans="1:16" s="42" customFormat="1" ht="51" customHeight="1">
      <c r="A31" s="37" t="s">
        <v>419</v>
      </c>
      <c r="B31" s="38"/>
      <c r="C31" s="38"/>
      <c r="D31" s="319" t="s">
        <v>115</v>
      </c>
      <c r="E31" s="320"/>
      <c r="F31" s="39" t="s">
        <v>421</v>
      </c>
      <c r="G31" s="40">
        <f>G32</f>
        <v>121300</v>
      </c>
      <c r="H31" s="40">
        <f>H32</f>
        <v>121300</v>
      </c>
      <c r="I31" s="40">
        <f>I32</f>
        <v>0</v>
      </c>
      <c r="J31" s="40">
        <f>J32</f>
        <v>0</v>
      </c>
      <c r="K31" s="438"/>
      <c r="L31" s="438"/>
      <c r="M31" s="438"/>
      <c r="N31" s="438"/>
      <c r="O31" s="438"/>
      <c r="P31" s="156"/>
    </row>
    <row r="32" spans="1:16" s="34" customFormat="1" ht="92.25" customHeight="1">
      <c r="A32" s="27" t="s">
        <v>43</v>
      </c>
      <c r="B32" s="27" t="s">
        <v>296</v>
      </c>
      <c r="C32" s="27" t="s">
        <v>252</v>
      </c>
      <c r="D32" s="28" t="s">
        <v>605</v>
      </c>
      <c r="E32" s="43" t="s">
        <v>523</v>
      </c>
      <c r="F32" s="43" t="s">
        <v>462</v>
      </c>
      <c r="G32" s="30">
        <f>SUM(H32+I32)</f>
        <v>121300</v>
      </c>
      <c r="H32" s="36">
        <f>334100-261800+49000</f>
        <v>121300</v>
      </c>
      <c r="I32" s="31">
        <v>0</v>
      </c>
      <c r="J32" s="31">
        <v>0</v>
      </c>
      <c r="K32" s="235"/>
      <c r="L32" s="234"/>
      <c r="M32" s="234"/>
      <c r="N32" s="437"/>
      <c r="O32" s="437"/>
      <c r="P32" s="161"/>
    </row>
    <row r="33" spans="1:16" s="34" customFormat="1" ht="73.5" customHeight="1">
      <c r="A33" s="37" t="s">
        <v>419</v>
      </c>
      <c r="B33" s="38"/>
      <c r="C33" s="38"/>
      <c r="D33" s="319" t="s">
        <v>12</v>
      </c>
      <c r="E33" s="320"/>
      <c r="F33" s="39" t="s">
        <v>421</v>
      </c>
      <c r="G33" s="40">
        <f>H33+I33</f>
        <v>2131400</v>
      </c>
      <c r="H33" s="40">
        <f>H34+H35+H36</f>
        <v>2131400</v>
      </c>
      <c r="I33" s="40">
        <f>I34+I35+I36</f>
        <v>0</v>
      </c>
      <c r="J33" s="40">
        <f>J34+J35+J36</f>
        <v>0</v>
      </c>
      <c r="K33" s="438"/>
      <c r="L33" s="438"/>
      <c r="M33" s="438"/>
      <c r="N33" s="438"/>
      <c r="O33" s="438"/>
      <c r="P33" s="161"/>
    </row>
    <row r="34" spans="1:16" s="34" customFormat="1" ht="120" customHeight="1" hidden="1">
      <c r="A34" s="27"/>
      <c r="B34" s="27"/>
      <c r="C34" s="27"/>
      <c r="D34" s="28"/>
      <c r="E34" s="43"/>
      <c r="F34" s="43"/>
      <c r="G34" s="30">
        <f>SUM(H34+I34)</f>
        <v>0</v>
      </c>
      <c r="H34" s="36"/>
      <c r="I34" s="31"/>
      <c r="J34" s="31"/>
      <c r="K34" s="235"/>
      <c r="L34" s="234"/>
      <c r="M34" s="234"/>
      <c r="N34" s="437"/>
      <c r="O34" s="437"/>
      <c r="P34" s="161"/>
    </row>
    <row r="35" spans="1:16" s="34" customFormat="1" ht="81.75" customHeight="1">
      <c r="A35" s="27" t="s">
        <v>15</v>
      </c>
      <c r="B35" s="27" t="s">
        <v>140</v>
      </c>
      <c r="C35" s="27" t="s">
        <v>185</v>
      </c>
      <c r="D35" s="28" t="s">
        <v>141</v>
      </c>
      <c r="E35" s="43" t="s">
        <v>634</v>
      </c>
      <c r="F35" s="43" t="s">
        <v>472</v>
      </c>
      <c r="G35" s="30">
        <f>SUM(H35+I35)</f>
        <v>200000</v>
      </c>
      <c r="H35" s="85">
        <v>200000</v>
      </c>
      <c r="I35" s="31">
        <v>0</v>
      </c>
      <c r="J35" s="31">
        <v>0</v>
      </c>
      <c r="K35" s="235"/>
      <c r="L35" s="234"/>
      <c r="M35" s="234"/>
      <c r="N35" s="437"/>
      <c r="O35" s="437"/>
      <c r="P35" s="161"/>
    </row>
    <row r="36" spans="1:16" s="34" customFormat="1" ht="57.75" customHeight="1">
      <c r="A36" s="26" t="s">
        <v>13</v>
      </c>
      <c r="B36" s="92" t="s">
        <v>14</v>
      </c>
      <c r="C36" s="26" t="s">
        <v>255</v>
      </c>
      <c r="D36" s="93" t="s">
        <v>473</v>
      </c>
      <c r="E36" s="529" t="s">
        <v>606</v>
      </c>
      <c r="F36" s="25" t="s">
        <v>29</v>
      </c>
      <c r="G36" s="30">
        <f>SUM(H36+I36)</f>
        <v>1931400</v>
      </c>
      <c r="H36" s="36">
        <v>1931400</v>
      </c>
      <c r="I36" s="31">
        <v>0</v>
      </c>
      <c r="J36" s="31">
        <v>0</v>
      </c>
      <c r="K36" s="235"/>
      <c r="L36" s="234"/>
      <c r="M36" s="234"/>
      <c r="N36" s="437"/>
      <c r="O36" s="437"/>
      <c r="P36" s="161"/>
    </row>
    <row r="37" spans="1:16" s="34" customFormat="1" ht="39" customHeight="1">
      <c r="A37" s="54" t="s">
        <v>335</v>
      </c>
      <c r="B37" s="53"/>
      <c r="C37" s="53"/>
      <c r="D37" s="295" t="s">
        <v>349</v>
      </c>
      <c r="E37" s="296"/>
      <c r="F37" s="90" t="s">
        <v>421</v>
      </c>
      <c r="G37" s="94">
        <f>G38</f>
        <v>80365174.93</v>
      </c>
      <c r="H37" s="94">
        <f>H38</f>
        <v>45288500.93</v>
      </c>
      <c r="I37" s="94">
        <f>I38</f>
        <v>35076674</v>
      </c>
      <c r="J37" s="94">
        <f>J38</f>
        <v>34076674</v>
      </c>
      <c r="K37" s="234"/>
      <c r="L37" s="235"/>
      <c r="M37" s="234"/>
      <c r="N37" s="437"/>
      <c r="O37" s="437"/>
      <c r="P37" s="161"/>
    </row>
    <row r="38" spans="1:16" s="42" customFormat="1" ht="42.75" customHeight="1">
      <c r="A38" s="38" t="s">
        <v>350</v>
      </c>
      <c r="B38" s="37"/>
      <c r="C38" s="37"/>
      <c r="D38" s="297" t="s">
        <v>256</v>
      </c>
      <c r="E38" s="298"/>
      <c r="F38" s="39" t="s">
        <v>421</v>
      </c>
      <c r="G38" s="95">
        <f>SUM(G39+G40+G43+G53+G55+G56+G58+G59+G60+G61+G64+G68+G69+G70+G71+G74+G75+G76+G77+G78+G80+G86+G87+G88+G89+G90+G91+G92+G93+G94+G95+G96+G98+G101+G102+G103+G104+G107)+G82+G50+G72+G83+G62+G63+G97+G65+G66+G67+G81+G99+G51+G52</f>
        <v>80365174.93</v>
      </c>
      <c r="H38" s="95">
        <f>SUM(H39+H40+H43+H53+H55+H56+H58+H59+H60+H61+H64+H68+H69+H70+H71+H74+H75+H76+H77+H78+H80+H86+H87+H88+H89+H90+H91+H92+H93+H94+H95+H96+H98+H101+H102+H103+H104+H107)+H82+H50+H72+H83+H62+H63+H97+H65+H66+H67+H81+H99+H51+H52+H84+H85</f>
        <v>45288500.93</v>
      </c>
      <c r="I38" s="95">
        <f>SUM(I39+I40+I43+I53+I55+I56+I58+I59+I60+I61+I64+I68+I69+I70+I71+I74+I75+I76+I77+I78+I80+I86+I87+I88+I89+I90+I91+I92+I93+I94+I95+I96+I98+I101+I102+I103+I104+I107)+I82+I50+I72+I83+I62+I63+I97+I65+I66+I67+I81+I99+I51+I52+I84+I85</f>
        <v>35076674</v>
      </c>
      <c r="J38" s="95">
        <f>SUM(J39+J40+J43+J53+J55+J56+J58+J59+J60+J61+J64+J68+J69+J70+J71+J74+J75+J76+J77+J78+J80+J86+J87+J88+J89+J90+J91+J92+J93+J94+J95+J96+J98+J101+J102+J103+J104+J107)+J82+J50+J72+J83+J62+J63+J97+J65+J66+J67+J81+J99+J51+J52+J84+J85</f>
        <v>34076674</v>
      </c>
      <c r="K38" s="447"/>
      <c r="L38" s="447"/>
      <c r="M38" s="447"/>
      <c r="N38" s="438"/>
      <c r="O38" s="438"/>
      <c r="P38" s="156"/>
    </row>
    <row r="39" spans="1:16" s="34" customFormat="1" ht="99.75" customHeight="1">
      <c r="A39" s="27" t="s">
        <v>414</v>
      </c>
      <c r="B39" s="27" t="s">
        <v>296</v>
      </c>
      <c r="C39" s="27" t="s">
        <v>252</v>
      </c>
      <c r="D39" s="28" t="s">
        <v>605</v>
      </c>
      <c r="E39" s="43" t="s">
        <v>523</v>
      </c>
      <c r="F39" s="43" t="s">
        <v>462</v>
      </c>
      <c r="G39" s="30">
        <f>SUM(H39+I39)</f>
        <v>827356</v>
      </c>
      <c r="H39" s="36">
        <f>748700+29656+49000</f>
        <v>827356</v>
      </c>
      <c r="I39" s="31">
        <v>0</v>
      </c>
      <c r="J39" s="31">
        <v>0</v>
      </c>
      <c r="K39" s="234"/>
      <c r="L39" s="235"/>
      <c r="M39" s="234"/>
      <c r="N39" s="437"/>
      <c r="O39" s="437"/>
      <c r="P39" s="161"/>
    </row>
    <row r="40" spans="1:16" s="34" customFormat="1" ht="54.75" customHeight="1">
      <c r="A40" s="27" t="s">
        <v>391</v>
      </c>
      <c r="B40" s="82">
        <v>1010</v>
      </c>
      <c r="C40" s="26" t="s">
        <v>257</v>
      </c>
      <c r="D40" s="28" t="s">
        <v>643</v>
      </c>
      <c r="E40" s="306" t="s">
        <v>602</v>
      </c>
      <c r="F40" s="84" t="s">
        <v>504</v>
      </c>
      <c r="G40" s="30">
        <f>SUM(H40+I40)</f>
        <v>11263419.91</v>
      </c>
      <c r="H40" s="31">
        <f>2594100-37700+8346145+51354+257520.91+15000</f>
        <v>11226419.91</v>
      </c>
      <c r="I40" s="31">
        <f>37000</f>
        <v>37000</v>
      </c>
      <c r="J40" s="80">
        <f>37000</f>
        <v>37000</v>
      </c>
      <c r="K40" s="234"/>
      <c r="L40" s="234"/>
      <c r="M40" s="448"/>
      <c r="N40" s="449"/>
      <c r="O40" s="450"/>
      <c r="P40" s="161"/>
    </row>
    <row r="41" spans="1:16" s="34" customFormat="1" ht="100.5" customHeight="1">
      <c r="A41" s="27"/>
      <c r="B41" s="26"/>
      <c r="C41" s="26"/>
      <c r="D41" s="96" t="s">
        <v>102</v>
      </c>
      <c r="E41" s="307"/>
      <c r="F41" s="84" t="s">
        <v>610</v>
      </c>
      <c r="G41" s="97">
        <f aca="true" t="shared" si="1" ref="G41:G68">SUM(H41+I41)</f>
        <v>15000</v>
      </c>
      <c r="H41" s="98">
        <f>15000</f>
        <v>15000</v>
      </c>
      <c r="I41" s="98"/>
      <c r="J41" s="99"/>
      <c r="K41" s="234"/>
      <c r="L41" s="235"/>
      <c r="M41" s="451"/>
      <c r="N41" s="437"/>
      <c r="O41" s="450"/>
      <c r="P41" s="161"/>
    </row>
    <row r="42" spans="1:16" s="34" customFormat="1" ht="84" customHeight="1" hidden="1">
      <c r="A42" s="27"/>
      <c r="B42" s="26"/>
      <c r="C42" s="26"/>
      <c r="D42" s="96" t="s">
        <v>23</v>
      </c>
      <c r="E42" s="307"/>
      <c r="F42" s="84"/>
      <c r="G42" s="97">
        <f t="shared" si="1"/>
        <v>0</v>
      </c>
      <c r="H42" s="98"/>
      <c r="I42" s="98"/>
      <c r="J42" s="99"/>
      <c r="K42" s="234"/>
      <c r="L42" s="235"/>
      <c r="M42" s="451"/>
      <c r="N42" s="437"/>
      <c r="O42" s="450"/>
      <c r="P42" s="161"/>
    </row>
    <row r="43" spans="1:16" s="34" customFormat="1" ht="73.5" customHeight="1">
      <c r="A43" s="26" t="s">
        <v>575</v>
      </c>
      <c r="B43" s="27" t="s">
        <v>576</v>
      </c>
      <c r="C43" s="26" t="s">
        <v>258</v>
      </c>
      <c r="D43" s="161" t="s">
        <v>577</v>
      </c>
      <c r="E43" s="307"/>
      <c r="F43" s="84" t="s">
        <v>504</v>
      </c>
      <c r="G43" s="30">
        <f t="shared" si="1"/>
        <v>15741315.76</v>
      </c>
      <c r="H43" s="31">
        <f>2899600+40000-750000+9141639+1109735+10000+91695.52+109100+89546.24</f>
        <v>12741315.76</v>
      </c>
      <c r="I43" s="31">
        <f>3000000</f>
        <v>3000000</v>
      </c>
      <c r="J43" s="31">
        <f>3000000</f>
        <v>3000000</v>
      </c>
      <c r="K43" s="234"/>
      <c r="L43" s="235"/>
      <c r="M43" s="448"/>
      <c r="N43" s="449"/>
      <c r="O43" s="450"/>
      <c r="P43" s="161"/>
    </row>
    <row r="44" spans="1:16" s="101" customFormat="1" ht="86.25" customHeight="1" hidden="1">
      <c r="A44" s="100"/>
      <c r="B44" s="100"/>
      <c r="C44" s="100"/>
      <c r="D44" s="96" t="s">
        <v>223</v>
      </c>
      <c r="E44" s="307"/>
      <c r="F44" s="245" t="s">
        <v>561</v>
      </c>
      <c r="G44" s="97">
        <f t="shared" si="1"/>
        <v>0</v>
      </c>
      <c r="H44" s="98"/>
      <c r="I44" s="98"/>
      <c r="J44" s="98"/>
      <c r="K44" s="452"/>
      <c r="L44" s="453"/>
      <c r="M44" s="454"/>
      <c r="N44" s="437"/>
      <c r="O44" s="450"/>
      <c r="P44" s="455"/>
    </row>
    <row r="45" spans="1:16" s="104" customFormat="1" ht="99.75" customHeight="1" hidden="1">
      <c r="A45" s="246"/>
      <c r="B45" s="246"/>
      <c r="C45" s="246"/>
      <c r="D45" s="102" t="s">
        <v>218</v>
      </c>
      <c r="E45" s="307"/>
      <c r="F45" s="245" t="s">
        <v>610</v>
      </c>
      <c r="G45" s="97">
        <f t="shared" si="1"/>
        <v>0</v>
      </c>
      <c r="H45" s="103"/>
      <c r="I45" s="103"/>
      <c r="J45" s="103"/>
      <c r="K45" s="456"/>
      <c r="L45" s="457"/>
      <c r="M45" s="458"/>
      <c r="N45" s="459"/>
      <c r="O45" s="460"/>
      <c r="P45" s="461"/>
    </row>
    <row r="46" spans="1:16" s="104" customFormat="1" ht="56.25" customHeight="1" hidden="1">
      <c r="A46" s="246"/>
      <c r="B46" s="246"/>
      <c r="C46" s="246"/>
      <c r="D46" s="102" t="s">
        <v>336</v>
      </c>
      <c r="E46" s="307"/>
      <c r="F46" s="245" t="s">
        <v>610</v>
      </c>
      <c r="G46" s="97">
        <f t="shared" si="1"/>
        <v>0</v>
      </c>
      <c r="H46" s="103"/>
      <c r="I46" s="103"/>
      <c r="J46" s="103"/>
      <c r="K46" s="456"/>
      <c r="L46" s="457"/>
      <c r="M46" s="458"/>
      <c r="N46" s="459"/>
      <c r="O46" s="460"/>
      <c r="P46" s="461"/>
    </row>
    <row r="47" spans="1:16" s="104" customFormat="1" ht="132" customHeight="1" hidden="1">
      <c r="A47" s="246"/>
      <c r="B47" s="246"/>
      <c r="C47" s="246"/>
      <c r="D47" s="102" t="s">
        <v>224</v>
      </c>
      <c r="E47" s="307"/>
      <c r="F47" s="245" t="s">
        <v>610</v>
      </c>
      <c r="G47" s="97">
        <f t="shared" si="1"/>
        <v>0</v>
      </c>
      <c r="H47" s="103">
        <v>0</v>
      </c>
      <c r="I47" s="103"/>
      <c r="J47" s="103"/>
      <c r="K47" s="456"/>
      <c r="L47" s="457"/>
      <c r="M47" s="458"/>
      <c r="N47" s="459"/>
      <c r="O47" s="460"/>
      <c r="P47" s="461"/>
    </row>
    <row r="48" spans="1:16" s="104" customFormat="1" ht="119.25" customHeight="1" hidden="1">
      <c r="A48" s="246"/>
      <c r="B48" s="246"/>
      <c r="C48" s="246"/>
      <c r="D48" s="102" t="s">
        <v>641</v>
      </c>
      <c r="E48" s="307"/>
      <c r="F48" s="245" t="s">
        <v>610</v>
      </c>
      <c r="G48" s="97">
        <f t="shared" si="1"/>
        <v>0</v>
      </c>
      <c r="H48" s="103"/>
      <c r="I48" s="103"/>
      <c r="J48" s="103"/>
      <c r="K48" s="456"/>
      <c r="L48" s="457"/>
      <c r="M48" s="458"/>
      <c r="N48" s="459"/>
      <c r="O48" s="460"/>
      <c r="P48" s="461"/>
    </row>
    <row r="49" spans="1:16" s="104" customFormat="1" ht="99.75" customHeight="1" hidden="1">
      <c r="A49" s="246"/>
      <c r="B49" s="246"/>
      <c r="C49" s="246"/>
      <c r="D49" s="102" t="s">
        <v>23</v>
      </c>
      <c r="E49" s="307"/>
      <c r="F49" s="245" t="s">
        <v>610</v>
      </c>
      <c r="G49" s="97">
        <f t="shared" si="1"/>
        <v>0</v>
      </c>
      <c r="H49" s="103"/>
      <c r="I49" s="103"/>
      <c r="J49" s="103"/>
      <c r="K49" s="456"/>
      <c r="L49" s="457"/>
      <c r="M49" s="458"/>
      <c r="N49" s="459"/>
      <c r="O49" s="460"/>
      <c r="P49" s="461"/>
    </row>
    <row r="50" spans="1:16" s="104" customFormat="1" ht="139.5">
      <c r="A50" s="44" t="s">
        <v>578</v>
      </c>
      <c r="B50" s="44" t="s">
        <v>579</v>
      </c>
      <c r="C50" s="44" t="s">
        <v>35</v>
      </c>
      <c r="D50" s="45" t="s">
        <v>36</v>
      </c>
      <c r="E50" s="307"/>
      <c r="F50" s="84" t="s">
        <v>504</v>
      </c>
      <c r="G50" s="30">
        <f t="shared" si="1"/>
        <v>1926599</v>
      </c>
      <c r="H50" s="32">
        <f>800000-800000+1912799+13800</f>
        <v>1926599</v>
      </c>
      <c r="I50" s="32">
        <v>0</v>
      </c>
      <c r="J50" s="32">
        <v>0</v>
      </c>
      <c r="K50" s="456"/>
      <c r="L50" s="457"/>
      <c r="M50" s="448"/>
      <c r="N50" s="462"/>
      <c r="O50" s="460"/>
      <c r="P50" s="461"/>
    </row>
    <row r="51" spans="1:16" s="104" customFormat="1" ht="73.5" customHeight="1">
      <c r="A51" s="44" t="s">
        <v>409</v>
      </c>
      <c r="B51" s="44" t="s">
        <v>411</v>
      </c>
      <c r="C51" s="44" t="s">
        <v>258</v>
      </c>
      <c r="D51" s="45" t="s">
        <v>577</v>
      </c>
      <c r="E51" s="308"/>
      <c r="F51" s="84" t="s">
        <v>504</v>
      </c>
      <c r="G51" s="30">
        <f t="shared" si="1"/>
        <v>1680000</v>
      </c>
      <c r="H51" s="32">
        <v>1680000</v>
      </c>
      <c r="I51" s="32">
        <v>0</v>
      </c>
      <c r="J51" s="32">
        <v>0</v>
      </c>
      <c r="K51" s="456"/>
      <c r="L51" s="457"/>
      <c r="M51" s="448"/>
      <c r="N51" s="462"/>
      <c r="O51" s="460"/>
      <c r="P51" s="461"/>
    </row>
    <row r="52" spans="1:16" s="104" customFormat="1" ht="139.5">
      <c r="A52" s="44" t="s">
        <v>410</v>
      </c>
      <c r="B52" s="44" t="s">
        <v>412</v>
      </c>
      <c r="C52" s="44" t="s">
        <v>35</v>
      </c>
      <c r="D52" s="45" t="s">
        <v>36</v>
      </c>
      <c r="E52" s="306" t="s">
        <v>602</v>
      </c>
      <c r="F52" s="84" t="s">
        <v>504</v>
      </c>
      <c r="G52" s="30">
        <f t="shared" si="1"/>
        <v>417844.26</v>
      </c>
      <c r="H52" s="32">
        <f>417844.26</f>
        <v>417844.26</v>
      </c>
      <c r="I52" s="32">
        <v>0</v>
      </c>
      <c r="J52" s="32">
        <v>0</v>
      </c>
      <c r="K52" s="456"/>
      <c r="L52" s="457"/>
      <c r="M52" s="448"/>
      <c r="N52" s="462"/>
      <c r="O52" s="460"/>
      <c r="P52" s="461"/>
    </row>
    <row r="53" spans="1:16" s="33" customFormat="1" ht="99" customHeight="1">
      <c r="A53" s="49" t="s">
        <v>488</v>
      </c>
      <c r="B53" s="44" t="s">
        <v>623</v>
      </c>
      <c r="C53" s="49" t="s">
        <v>259</v>
      </c>
      <c r="D53" s="45" t="s">
        <v>470</v>
      </c>
      <c r="E53" s="307"/>
      <c r="F53" s="84" t="s">
        <v>504</v>
      </c>
      <c r="G53" s="30">
        <f t="shared" si="1"/>
        <v>402800</v>
      </c>
      <c r="H53" s="32">
        <f>399800+3000</f>
        <v>402800</v>
      </c>
      <c r="I53" s="32">
        <v>0</v>
      </c>
      <c r="J53" s="32">
        <v>0</v>
      </c>
      <c r="K53" s="231"/>
      <c r="L53" s="236"/>
      <c r="M53" s="448"/>
      <c r="N53" s="462"/>
      <c r="O53" s="460"/>
      <c r="P53" s="162"/>
    </row>
    <row r="54" spans="1:16" s="33" customFormat="1" ht="79.5" customHeight="1" hidden="1">
      <c r="A54" s="49"/>
      <c r="B54" s="49"/>
      <c r="C54" s="49"/>
      <c r="D54" s="102" t="s">
        <v>23</v>
      </c>
      <c r="E54" s="307"/>
      <c r="F54" s="84"/>
      <c r="G54" s="97">
        <f t="shared" si="1"/>
        <v>0</v>
      </c>
      <c r="H54" s="103"/>
      <c r="I54" s="103">
        <f>0</f>
        <v>0</v>
      </c>
      <c r="J54" s="103">
        <f>0</f>
        <v>0</v>
      </c>
      <c r="K54" s="231"/>
      <c r="L54" s="236"/>
      <c r="M54" s="463"/>
      <c r="N54" s="459"/>
      <c r="O54" s="460"/>
      <c r="P54" s="162"/>
    </row>
    <row r="55" spans="1:16" s="33" customFormat="1" ht="55.5" customHeight="1">
      <c r="A55" s="44" t="s">
        <v>584</v>
      </c>
      <c r="B55" s="44" t="s">
        <v>585</v>
      </c>
      <c r="C55" s="44" t="s">
        <v>260</v>
      </c>
      <c r="D55" s="45" t="s">
        <v>148</v>
      </c>
      <c r="E55" s="307"/>
      <c r="F55" s="84" t="s">
        <v>504</v>
      </c>
      <c r="G55" s="30">
        <f t="shared" si="1"/>
        <v>835393</v>
      </c>
      <c r="H55" s="32">
        <f>785800+49593</f>
        <v>835393</v>
      </c>
      <c r="I55" s="32">
        <v>0</v>
      </c>
      <c r="J55" s="32">
        <v>0</v>
      </c>
      <c r="K55" s="231"/>
      <c r="L55" s="236"/>
      <c r="M55" s="448"/>
      <c r="N55" s="462"/>
      <c r="O55" s="460"/>
      <c r="P55" s="162"/>
    </row>
    <row r="56" spans="1:16" s="34" customFormat="1" ht="77.25" customHeight="1" hidden="1">
      <c r="A56" s="27" t="s">
        <v>219</v>
      </c>
      <c r="B56" s="27" t="s">
        <v>220</v>
      </c>
      <c r="C56" s="27" t="s">
        <v>260</v>
      </c>
      <c r="D56" s="28" t="s">
        <v>221</v>
      </c>
      <c r="E56" s="307"/>
      <c r="F56" s="84" t="s">
        <v>610</v>
      </c>
      <c r="G56" s="30">
        <f t="shared" si="1"/>
        <v>0</v>
      </c>
      <c r="H56" s="31"/>
      <c r="I56" s="31">
        <f>1689800-1689800</f>
        <v>0</v>
      </c>
      <c r="J56" s="80">
        <f>1689800-1689800</f>
        <v>0</v>
      </c>
      <c r="K56" s="234"/>
      <c r="L56" s="235"/>
      <c r="M56" s="451"/>
      <c r="N56" s="437"/>
      <c r="O56" s="450"/>
      <c r="P56" s="161"/>
    </row>
    <row r="57" spans="1:16" s="34" customFormat="1" ht="126" customHeight="1" hidden="1">
      <c r="A57" s="27"/>
      <c r="B57" s="27"/>
      <c r="C57" s="27"/>
      <c r="D57" s="96" t="s">
        <v>337</v>
      </c>
      <c r="E57" s="307"/>
      <c r="F57" s="84" t="s">
        <v>610</v>
      </c>
      <c r="G57" s="97">
        <f t="shared" si="1"/>
        <v>0</v>
      </c>
      <c r="H57" s="98"/>
      <c r="I57" s="98"/>
      <c r="J57" s="99"/>
      <c r="K57" s="234"/>
      <c r="L57" s="235"/>
      <c r="M57" s="451"/>
      <c r="N57" s="437"/>
      <c r="O57" s="450"/>
      <c r="P57" s="161"/>
    </row>
    <row r="58" spans="1:16" s="34" customFormat="1" ht="132" customHeight="1" hidden="1">
      <c r="A58" s="26" t="s">
        <v>395</v>
      </c>
      <c r="B58" s="26">
        <v>1090</v>
      </c>
      <c r="C58" s="26" t="s">
        <v>259</v>
      </c>
      <c r="D58" s="28" t="s">
        <v>396</v>
      </c>
      <c r="E58" s="307"/>
      <c r="F58" s="88" t="s">
        <v>558</v>
      </c>
      <c r="G58" s="30">
        <f t="shared" si="1"/>
        <v>0</v>
      </c>
      <c r="H58" s="31"/>
      <c r="I58" s="31"/>
      <c r="J58" s="80"/>
      <c r="K58" s="234"/>
      <c r="L58" s="235"/>
      <c r="M58" s="451"/>
      <c r="N58" s="437"/>
      <c r="O58" s="450"/>
      <c r="P58" s="161"/>
    </row>
    <row r="59" spans="1:16" s="34" customFormat="1" ht="231" customHeight="1" hidden="1">
      <c r="A59" s="26" t="s">
        <v>392</v>
      </c>
      <c r="B59" s="26">
        <v>1020</v>
      </c>
      <c r="C59" s="26" t="s">
        <v>258</v>
      </c>
      <c r="D59" s="28" t="s">
        <v>394</v>
      </c>
      <c r="E59" s="307"/>
      <c r="F59" s="88" t="s">
        <v>558</v>
      </c>
      <c r="G59" s="30">
        <f t="shared" si="1"/>
        <v>0</v>
      </c>
      <c r="H59" s="31"/>
      <c r="I59" s="31"/>
      <c r="J59" s="31"/>
      <c r="K59" s="234"/>
      <c r="L59" s="235"/>
      <c r="M59" s="451"/>
      <c r="N59" s="437"/>
      <c r="O59" s="450"/>
      <c r="P59" s="161"/>
    </row>
    <row r="60" spans="1:16" s="34" customFormat="1" ht="57.75" customHeight="1">
      <c r="A60" s="27" t="s">
        <v>582</v>
      </c>
      <c r="B60" s="27" t="s">
        <v>583</v>
      </c>
      <c r="C60" s="27" t="s">
        <v>260</v>
      </c>
      <c r="D60" s="28" t="s">
        <v>221</v>
      </c>
      <c r="E60" s="308"/>
      <c r="F60" s="84" t="s">
        <v>504</v>
      </c>
      <c r="G60" s="30">
        <f t="shared" si="1"/>
        <v>199900</v>
      </c>
      <c r="H60" s="31">
        <f>199900</f>
        <v>199900</v>
      </c>
      <c r="I60" s="31">
        <v>0</v>
      </c>
      <c r="J60" s="31">
        <v>0</v>
      </c>
      <c r="K60" s="234"/>
      <c r="L60" s="235"/>
      <c r="M60" s="448"/>
      <c r="N60" s="449"/>
      <c r="O60" s="450"/>
      <c r="P60" s="161"/>
    </row>
    <row r="61" spans="1:16" s="34" customFormat="1" ht="68.25" customHeight="1">
      <c r="A61" s="26" t="s">
        <v>575</v>
      </c>
      <c r="B61" s="27" t="s">
        <v>576</v>
      </c>
      <c r="C61" s="26" t="s">
        <v>258</v>
      </c>
      <c r="D61" s="161" t="s">
        <v>577</v>
      </c>
      <c r="E61" s="84" t="s">
        <v>532</v>
      </c>
      <c r="F61" s="84" t="s">
        <v>503</v>
      </c>
      <c r="G61" s="30">
        <f>SUM(H61+I61)</f>
        <v>1504916</v>
      </c>
      <c r="H61" s="31">
        <f>1504916</f>
        <v>1504916</v>
      </c>
      <c r="I61" s="52">
        <v>0</v>
      </c>
      <c r="J61" s="31">
        <v>0</v>
      </c>
      <c r="K61" s="234"/>
      <c r="L61" s="235"/>
      <c r="M61" s="448"/>
      <c r="N61" s="449"/>
      <c r="O61" s="450"/>
      <c r="P61" s="161"/>
    </row>
    <row r="62" spans="1:16" s="34" customFormat="1" ht="83.25" customHeight="1" hidden="1">
      <c r="A62" s="27" t="s">
        <v>391</v>
      </c>
      <c r="B62" s="26">
        <v>1010</v>
      </c>
      <c r="C62" s="26" t="s">
        <v>257</v>
      </c>
      <c r="D62" s="28" t="s">
        <v>643</v>
      </c>
      <c r="E62" s="288" t="s">
        <v>426</v>
      </c>
      <c r="F62" s="303" t="s">
        <v>558</v>
      </c>
      <c r="G62" s="30">
        <f>SUM(H62+I62)</f>
        <v>0</v>
      </c>
      <c r="H62" s="31"/>
      <c r="I62" s="52"/>
      <c r="J62" s="31"/>
      <c r="K62" s="234"/>
      <c r="L62" s="235"/>
      <c r="M62" s="451"/>
      <c r="N62" s="437"/>
      <c r="O62" s="450"/>
      <c r="P62" s="161"/>
    </row>
    <row r="63" spans="1:16" s="34" customFormat="1" ht="158.25" customHeight="1" hidden="1">
      <c r="A63" s="26" t="s">
        <v>392</v>
      </c>
      <c r="B63" s="26">
        <v>1020</v>
      </c>
      <c r="C63" s="26" t="s">
        <v>258</v>
      </c>
      <c r="D63" s="28" t="s">
        <v>469</v>
      </c>
      <c r="E63" s="321"/>
      <c r="F63" s="321"/>
      <c r="G63" s="30">
        <f>SUM(H63+I63)</f>
        <v>0</v>
      </c>
      <c r="H63" s="31"/>
      <c r="I63" s="52"/>
      <c r="J63" s="52"/>
      <c r="K63" s="234"/>
      <c r="L63" s="235"/>
      <c r="M63" s="451"/>
      <c r="N63" s="437"/>
      <c r="O63" s="450"/>
      <c r="P63" s="161"/>
    </row>
    <row r="64" spans="1:16" s="34" customFormat="1" ht="75" customHeight="1">
      <c r="A64" s="26" t="s">
        <v>575</v>
      </c>
      <c r="B64" s="27" t="s">
        <v>576</v>
      </c>
      <c r="C64" s="26" t="s">
        <v>258</v>
      </c>
      <c r="D64" s="172" t="s">
        <v>577</v>
      </c>
      <c r="E64" s="322" t="s">
        <v>476</v>
      </c>
      <c r="F64" s="340" t="s">
        <v>528</v>
      </c>
      <c r="G64" s="30">
        <f t="shared" si="1"/>
        <v>1653000</v>
      </c>
      <c r="H64" s="31">
        <f>3691000-2038-2035962</f>
        <v>1653000</v>
      </c>
      <c r="I64" s="31">
        <v>0</v>
      </c>
      <c r="J64" s="31">
        <v>0</v>
      </c>
      <c r="K64" s="234"/>
      <c r="L64" s="234"/>
      <c r="M64" s="448"/>
      <c r="N64" s="437"/>
      <c r="O64" s="464"/>
      <c r="P64" s="161"/>
    </row>
    <row r="65" spans="1:16" s="34" customFormat="1" ht="118.5" customHeight="1">
      <c r="A65" s="44" t="s">
        <v>578</v>
      </c>
      <c r="B65" s="44" t="s">
        <v>579</v>
      </c>
      <c r="C65" s="44" t="s">
        <v>35</v>
      </c>
      <c r="D65" s="45" t="s">
        <v>36</v>
      </c>
      <c r="E65" s="323"/>
      <c r="F65" s="340"/>
      <c r="G65" s="30">
        <f t="shared" si="1"/>
        <v>130000</v>
      </c>
      <c r="H65" s="31">
        <f>130000</f>
        <v>130000</v>
      </c>
      <c r="I65" s="31">
        <v>0</v>
      </c>
      <c r="J65" s="31">
        <v>0</v>
      </c>
      <c r="K65" s="234"/>
      <c r="L65" s="234"/>
      <c r="M65" s="448"/>
      <c r="N65" s="437"/>
      <c r="O65" s="464"/>
      <c r="P65" s="161"/>
    </row>
    <row r="66" spans="1:16" s="34" customFormat="1" ht="99" customHeight="1">
      <c r="A66" s="49" t="s">
        <v>488</v>
      </c>
      <c r="B66" s="44" t="s">
        <v>623</v>
      </c>
      <c r="C66" s="49" t="s">
        <v>259</v>
      </c>
      <c r="D66" s="45" t="s">
        <v>470</v>
      </c>
      <c r="E66" s="323"/>
      <c r="F66" s="340"/>
      <c r="G66" s="30">
        <f t="shared" si="1"/>
        <v>100000</v>
      </c>
      <c r="H66" s="31">
        <f>100000</f>
        <v>100000</v>
      </c>
      <c r="I66" s="31">
        <v>0</v>
      </c>
      <c r="J66" s="31">
        <v>0</v>
      </c>
      <c r="K66" s="234"/>
      <c r="L66" s="234"/>
      <c r="M66" s="448"/>
      <c r="N66" s="437"/>
      <c r="O66" s="464"/>
      <c r="P66" s="161"/>
    </row>
    <row r="67" spans="1:16" s="34" customFormat="1" ht="62.25" customHeight="1">
      <c r="A67" s="27" t="s">
        <v>580</v>
      </c>
      <c r="B67" s="27" t="s">
        <v>581</v>
      </c>
      <c r="C67" s="27" t="s">
        <v>259</v>
      </c>
      <c r="D67" s="28" t="s">
        <v>22</v>
      </c>
      <c r="E67" s="323"/>
      <c r="F67" s="340"/>
      <c r="G67" s="30">
        <f t="shared" si="1"/>
        <v>51000</v>
      </c>
      <c r="H67" s="31">
        <f>51000</f>
        <v>51000</v>
      </c>
      <c r="I67" s="31">
        <v>0</v>
      </c>
      <c r="J67" s="31">
        <v>0</v>
      </c>
      <c r="K67" s="234"/>
      <c r="L67" s="234"/>
      <c r="M67" s="448"/>
      <c r="N67" s="437"/>
      <c r="O67" s="450"/>
      <c r="P67" s="161"/>
    </row>
    <row r="68" spans="1:16" s="34" customFormat="1" ht="41.25" customHeight="1">
      <c r="A68" s="27" t="s">
        <v>391</v>
      </c>
      <c r="B68" s="82">
        <v>1010</v>
      </c>
      <c r="C68" s="26" t="s">
        <v>257</v>
      </c>
      <c r="D68" s="28" t="s">
        <v>393</v>
      </c>
      <c r="E68" s="323"/>
      <c r="F68" s="340"/>
      <c r="G68" s="30">
        <f t="shared" si="1"/>
        <v>518967</v>
      </c>
      <c r="H68" s="31">
        <f>460000+58967</f>
        <v>518967</v>
      </c>
      <c r="I68" s="31">
        <v>0</v>
      </c>
      <c r="J68" s="31">
        <v>0</v>
      </c>
      <c r="K68" s="234"/>
      <c r="L68" s="235"/>
      <c r="M68" s="448"/>
      <c r="N68" s="437"/>
      <c r="O68" s="450"/>
      <c r="P68" s="161"/>
    </row>
    <row r="69" spans="1:16" s="109" customFormat="1" ht="144" customHeight="1" hidden="1">
      <c r="A69" s="44" t="s">
        <v>351</v>
      </c>
      <c r="B69" s="44" t="s">
        <v>352</v>
      </c>
      <c r="C69" s="49" t="s">
        <v>261</v>
      </c>
      <c r="D69" s="108" t="s">
        <v>312</v>
      </c>
      <c r="E69" s="61" t="s">
        <v>630</v>
      </c>
      <c r="F69" s="61" t="s">
        <v>340</v>
      </c>
      <c r="G69" s="59">
        <f aca="true" t="shared" si="2" ref="G69:G74">H69+I69</f>
        <v>0</v>
      </c>
      <c r="H69" s="60"/>
      <c r="I69" s="32"/>
      <c r="J69" s="32"/>
      <c r="K69" s="231"/>
      <c r="L69" s="465"/>
      <c r="M69" s="463"/>
      <c r="N69" s="459"/>
      <c r="O69" s="460"/>
      <c r="P69" s="466"/>
    </row>
    <row r="70" spans="1:16" s="34" customFormat="1" ht="171.75" customHeight="1">
      <c r="A70" s="27" t="s">
        <v>353</v>
      </c>
      <c r="B70" s="27" t="s">
        <v>354</v>
      </c>
      <c r="C70" s="26" t="s">
        <v>261</v>
      </c>
      <c r="D70" s="110" t="s">
        <v>313</v>
      </c>
      <c r="E70" s="125" t="s">
        <v>602</v>
      </c>
      <c r="F70" s="84" t="s">
        <v>504</v>
      </c>
      <c r="G70" s="59">
        <f t="shared" si="2"/>
        <v>7049540</v>
      </c>
      <c r="H70" s="36">
        <f>6049540</f>
        <v>6049540</v>
      </c>
      <c r="I70" s="31">
        <v>1000000</v>
      </c>
      <c r="J70" s="31">
        <v>0</v>
      </c>
      <c r="K70" s="234"/>
      <c r="L70" s="235"/>
      <c r="M70" s="448"/>
      <c r="N70" s="437"/>
      <c r="O70" s="450"/>
      <c r="P70" s="161"/>
    </row>
    <row r="71" spans="1:16" s="109" customFormat="1" ht="120.75" customHeight="1" hidden="1">
      <c r="A71" s="49" t="s">
        <v>142</v>
      </c>
      <c r="B71" s="44" t="s">
        <v>140</v>
      </c>
      <c r="C71" s="49">
        <v>1090</v>
      </c>
      <c r="D71" s="108" t="s">
        <v>141</v>
      </c>
      <c r="E71" s="61" t="s">
        <v>631</v>
      </c>
      <c r="F71" s="61" t="s">
        <v>339</v>
      </c>
      <c r="G71" s="59">
        <f t="shared" si="2"/>
        <v>0</v>
      </c>
      <c r="H71" s="36"/>
      <c r="I71" s="32"/>
      <c r="J71" s="32"/>
      <c r="K71" s="231"/>
      <c r="L71" s="465"/>
      <c r="M71" s="231"/>
      <c r="N71" s="459"/>
      <c r="O71" s="459"/>
      <c r="P71" s="466"/>
    </row>
    <row r="72" spans="1:16" s="109" customFormat="1" ht="54" customHeight="1">
      <c r="A72" s="112" t="s">
        <v>580</v>
      </c>
      <c r="B72" s="112" t="s">
        <v>581</v>
      </c>
      <c r="C72" s="112" t="s">
        <v>259</v>
      </c>
      <c r="D72" s="45" t="s">
        <v>22</v>
      </c>
      <c r="E72" s="285" t="s">
        <v>491</v>
      </c>
      <c r="F72" s="285" t="s">
        <v>490</v>
      </c>
      <c r="G72" s="59">
        <f t="shared" si="2"/>
        <v>598800</v>
      </c>
      <c r="H72" s="36">
        <f>399800+199000</f>
        <v>598800</v>
      </c>
      <c r="I72" s="32">
        <v>0</v>
      </c>
      <c r="J72" s="32">
        <v>0</v>
      </c>
      <c r="K72" s="231"/>
      <c r="L72" s="465"/>
      <c r="M72" s="231"/>
      <c r="N72" s="459"/>
      <c r="O72" s="459"/>
      <c r="P72" s="466"/>
    </row>
    <row r="73" spans="1:16" s="109" customFormat="1" ht="105.75" customHeight="1" hidden="1">
      <c r="A73" s="112"/>
      <c r="B73" s="112"/>
      <c r="C73" s="112"/>
      <c r="D73" s="102" t="s">
        <v>23</v>
      </c>
      <c r="E73" s="286"/>
      <c r="F73" s="286"/>
      <c r="G73" s="113">
        <f t="shared" si="2"/>
        <v>0</v>
      </c>
      <c r="H73" s="114"/>
      <c r="I73" s="103"/>
      <c r="J73" s="115"/>
      <c r="K73" s="231"/>
      <c r="L73" s="465"/>
      <c r="M73" s="231"/>
      <c r="N73" s="459"/>
      <c r="O73" s="459"/>
      <c r="P73" s="466"/>
    </row>
    <row r="74" spans="1:16" s="33" customFormat="1" ht="46.5">
      <c r="A74" s="116" t="s">
        <v>197</v>
      </c>
      <c r="B74" s="76">
        <v>4082</v>
      </c>
      <c r="C74" s="76" t="s">
        <v>198</v>
      </c>
      <c r="D74" s="45" t="s">
        <v>199</v>
      </c>
      <c r="E74" s="286"/>
      <c r="F74" s="286"/>
      <c r="G74" s="59">
        <f t="shared" si="2"/>
        <v>2710990</v>
      </c>
      <c r="H74" s="32">
        <f>2750000-39010</f>
        <v>2710990</v>
      </c>
      <c r="I74" s="32">
        <f>J74</f>
        <v>0</v>
      </c>
      <c r="J74" s="32">
        <v>0</v>
      </c>
      <c r="K74" s="231"/>
      <c r="L74" s="236"/>
      <c r="M74" s="231"/>
      <c r="N74" s="459"/>
      <c r="O74" s="459"/>
      <c r="P74" s="162"/>
    </row>
    <row r="75" spans="1:16" s="33" customFormat="1" ht="174" customHeight="1" hidden="1">
      <c r="A75" s="49" t="s">
        <v>536</v>
      </c>
      <c r="B75" s="44" t="s">
        <v>537</v>
      </c>
      <c r="C75" s="44" t="s">
        <v>259</v>
      </c>
      <c r="D75" s="108" t="s">
        <v>535</v>
      </c>
      <c r="E75" s="286"/>
      <c r="F75" s="286"/>
      <c r="G75" s="59">
        <f aca="true" t="shared" si="3" ref="G75:G85">H75+I75</f>
        <v>0</v>
      </c>
      <c r="H75" s="32"/>
      <c r="I75" s="32"/>
      <c r="J75" s="32"/>
      <c r="K75" s="231"/>
      <c r="L75" s="231"/>
      <c r="M75" s="231"/>
      <c r="N75" s="459"/>
      <c r="O75" s="459"/>
      <c r="P75" s="162"/>
    </row>
    <row r="76" spans="1:16" s="33" customFormat="1" ht="63" customHeight="1" hidden="1">
      <c r="A76" s="44" t="s">
        <v>538</v>
      </c>
      <c r="B76" s="44" t="s">
        <v>539</v>
      </c>
      <c r="C76" s="44" t="s">
        <v>540</v>
      </c>
      <c r="D76" s="108" t="s">
        <v>546</v>
      </c>
      <c r="E76" s="286"/>
      <c r="F76" s="286"/>
      <c r="G76" s="59">
        <f t="shared" si="3"/>
        <v>0</v>
      </c>
      <c r="H76" s="32"/>
      <c r="I76" s="32">
        <v>0</v>
      </c>
      <c r="J76" s="32">
        <v>0</v>
      </c>
      <c r="K76" s="231"/>
      <c r="L76" s="236"/>
      <c r="M76" s="231"/>
      <c r="N76" s="459"/>
      <c r="O76" s="459"/>
      <c r="P76" s="162"/>
    </row>
    <row r="77" spans="1:16" s="34" customFormat="1" ht="63" customHeight="1" hidden="1">
      <c r="A77" s="27" t="s">
        <v>208</v>
      </c>
      <c r="B77" s="27" t="s">
        <v>541</v>
      </c>
      <c r="C77" s="27" t="s">
        <v>212</v>
      </c>
      <c r="D77" s="110" t="s">
        <v>209</v>
      </c>
      <c r="E77" s="286"/>
      <c r="F77" s="286"/>
      <c r="G77" s="59">
        <f t="shared" si="3"/>
        <v>0</v>
      </c>
      <c r="H77" s="32"/>
      <c r="I77" s="31">
        <v>0</v>
      </c>
      <c r="J77" s="31">
        <v>0</v>
      </c>
      <c r="K77" s="234"/>
      <c r="L77" s="235"/>
      <c r="M77" s="234"/>
      <c r="N77" s="437"/>
      <c r="O77" s="437"/>
      <c r="P77" s="161"/>
    </row>
    <row r="78" spans="1:16" s="34" customFormat="1" ht="63" customHeight="1" hidden="1">
      <c r="A78" s="27" t="s">
        <v>210</v>
      </c>
      <c r="B78" s="27" t="s">
        <v>211</v>
      </c>
      <c r="C78" s="27" t="s">
        <v>212</v>
      </c>
      <c r="D78" s="110" t="s">
        <v>213</v>
      </c>
      <c r="E78" s="286"/>
      <c r="F78" s="286"/>
      <c r="G78" s="59">
        <f t="shared" si="3"/>
        <v>0</v>
      </c>
      <c r="H78" s="32"/>
      <c r="I78" s="31">
        <f>J78</f>
        <v>0</v>
      </c>
      <c r="J78" s="31">
        <f>1957700-1957700</f>
        <v>0</v>
      </c>
      <c r="K78" s="234"/>
      <c r="L78" s="235"/>
      <c r="M78" s="234"/>
      <c r="N78" s="437"/>
      <c r="O78" s="437"/>
      <c r="P78" s="161"/>
    </row>
    <row r="79" spans="1:16" s="34" customFormat="1" ht="127.5" customHeight="1" hidden="1">
      <c r="A79" s="27" t="s">
        <v>7</v>
      </c>
      <c r="B79" s="27" t="s">
        <v>8</v>
      </c>
      <c r="C79" s="27" t="s">
        <v>11</v>
      </c>
      <c r="D79" s="110" t="s">
        <v>6</v>
      </c>
      <c r="E79" s="286"/>
      <c r="F79" s="286"/>
      <c r="G79" s="59">
        <f t="shared" si="3"/>
        <v>0</v>
      </c>
      <c r="H79" s="32"/>
      <c r="I79" s="31">
        <f>J79</f>
        <v>0</v>
      </c>
      <c r="J79" s="31">
        <v>0</v>
      </c>
      <c r="K79" s="234"/>
      <c r="L79" s="235"/>
      <c r="M79" s="234"/>
      <c r="N79" s="437"/>
      <c r="O79" s="437"/>
      <c r="P79" s="161"/>
    </row>
    <row r="80" spans="1:16" s="34" customFormat="1" ht="63" customHeight="1" hidden="1">
      <c r="A80" s="27" t="s">
        <v>542</v>
      </c>
      <c r="B80" s="27" t="s">
        <v>543</v>
      </c>
      <c r="C80" s="27" t="s">
        <v>544</v>
      </c>
      <c r="D80" s="28" t="s">
        <v>547</v>
      </c>
      <c r="E80" s="286"/>
      <c r="F80" s="286"/>
      <c r="G80" s="59">
        <f t="shared" si="3"/>
        <v>0</v>
      </c>
      <c r="H80" s="32"/>
      <c r="I80" s="31">
        <f>J80</f>
        <v>0</v>
      </c>
      <c r="J80" s="31">
        <f>1500000-1500000</f>
        <v>0</v>
      </c>
      <c r="K80" s="234"/>
      <c r="L80" s="235"/>
      <c r="M80" s="234"/>
      <c r="N80" s="437"/>
      <c r="O80" s="437"/>
      <c r="P80" s="161"/>
    </row>
    <row r="81" spans="1:16" s="34" customFormat="1" ht="23.25">
      <c r="A81" s="27" t="s">
        <v>538</v>
      </c>
      <c r="B81" s="27" t="s">
        <v>539</v>
      </c>
      <c r="C81" s="27" t="s">
        <v>540</v>
      </c>
      <c r="D81" s="28" t="s">
        <v>546</v>
      </c>
      <c r="E81" s="286"/>
      <c r="F81" s="286"/>
      <c r="G81" s="59">
        <f>H81+I81</f>
        <v>1200000</v>
      </c>
      <c r="H81" s="32">
        <v>1200000</v>
      </c>
      <c r="I81" s="31">
        <v>0</v>
      </c>
      <c r="J81" s="31">
        <v>0</v>
      </c>
      <c r="K81" s="234"/>
      <c r="L81" s="235"/>
      <c r="M81" s="234"/>
      <c r="N81" s="437"/>
      <c r="O81" s="437"/>
      <c r="P81" s="161"/>
    </row>
    <row r="82" spans="1:16" s="34" customFormat="1" ht="46.5">
      <c r="A82" s="82" t="s">
        <v>208</v>
      </c>
      <c r="B82" s="27" t="s">
        <v>541</v>
      </c>
      <c r="C82" s="27" t="s">
        <v>212</v>
      </c>
      <c r="D82" s="117" t="s">
        <v>209</v>
      </c>
      <c r="E82" s="286"/>
      <c r="F82" s="286"/>
      <c r="G82" s="59">
        <f t="shared" si="3"/>
        <v>151560</v>
      </c>
      <c r="H82" s="32">
        <v>151560</v>
      </c>
      <c r="I82" s="31">
        <v>0</v>
      </c>
      <c r="J82" s="31">
        <v>0</v>
      </c>
      <c r="K82" s="234"/>
      <c r="L82" s="235"/>
      <c r="M82" s="234"/>
      <c r="N82" s="437"/>
      <c r="O82" s="437"/>
      <c r="P82" s="161"/>
    </row>
    <row r="83" spans="1:16" s="34" customFormat="1" ht="46.5">
      <c r="A83" s="81" t="s">
        <v>210</v>
      </c>
      <c r="B83" s="27" t="s">
        <v>211</v>
      </c>
      <c r="C83" s="26" t="s">
        <v>212</v>
      </c>
      <c r="D83" s="93" t="s">
        <v>213</v>
      </c>
      <c r="E83" s="311"/>
      <c r="F83" s="311"/>
      <c r="G83" s="59">
        <f t="shared" si="3"/>
        <v>201100</v>
      </c>
      <c r="H83" s="32">
        <v>201100</v>
      </c>
      <c r="I83" s="31">
        <v>0</v>
      </c>
      <c r="J83" s="31">
        <v>0</v>
      </c>
      <c r="K83" s="234"/>
      <c r="L83" s="235"/>
      <c r="M83" s="234"/>
      <c r="N83" s="437"/>
      <c r="O83" s="437"/>
      <c r="P83" s="161"/>
    </row>
    <row r="84" spans="1:16" s="34" customFormat="1" ht="23.25" hidden="1">
      <c r="A84" s="81"/>
      <c r="B84" s="27"/>
      <c r="C84" s="27"/>
      <c r="D84" s="254"/>
      <c r="E84" s="312"/>
      <c r="F84" s="312"/>
      <c r="G84" s="59">
        <f t="shared" si="3"/>
        <v>0</v>
      </c>
      <c r="H84" s="32"/>
      <c r="I84" s="31"/>
      <c r="J84" s="31"/>
      <c r="K84" s="234"/>
      <c r="L84" s="235"/>
      <c r="M84" s="234"/>
      <c r="N84" s="437"/>
      <c r="O84" s="437"/>
      <c r="P84" s="161"/>
    </row>
    <row r="85" spans="1:16" s="34" customFormat="1" ht="23.25" hidden="1">
      <c r="A85" s="81"/>
      <c r="B85" s="27"/>
      <c r="C85" s="27"/>
      <c r="D85" s="254"/>
      <c r="E85" s="313"/>
      <c r="F85" s="313"/>
      <c r="G85" s="59">
        <f t="shared" si="3"/>
        <v>0</v>
      </c>
      <c r="H85" s="32"/>
      <c r="I85" s="31"/>
      <c r="J85" s="31"/>
      <c r="K85" s="234"/>
      <c r="L85" s="235"/>
      <c r="M85" s="234"/>
      <c r="N85" s="437"/>
      <c r="O85" s="437"/>
      <c r="P85" s="161"/>
    </row>
    <row r="86" spans="1:16" s="33" customFormat="1" ht="84.75" customHeight="1">
      <c r="A86" s="44" t="s">
        <v>197</v>
      </c>
      <c r="B86" s="44" t="s">
        <v>545</v>
      </c>
      <c r="C86" s="44" t="s">
        <v>198</v>
      </c>
      <c r="D86" s="45" t="s">
        <v>199</v>
      </c>
      <c r="E86" s="118" t="s">
        <v>94</v>
      </c>
      <c r="F86" s="119" t="s">
        <v>530</v>
      </c>
      <c r="G86" s="59">
        <f>H86+I86</f>
        <v>61000</v>
      </c>
      <c r="H86" s="32">
        <v>61000</v>
      </c>
      <c r="I86" s="80">
        <v>0</v>
      </c>
      <c r="J86" s="80">
        <v>0</v>
      </c>
      <c r="K86" s="467"/>
      <c r="L86" s="236"/>
      <c r="M86" s="231"/>
      <c r="N86" s="459"/>
      <c r="O86" s="459"/>
      <c r="P86" s="162"/>
    </row>
    <row r="87" spans="1:16" s="33" customFormat="1" ht="115.5" customHeight="1" hidden="1">
      <c r="A87" s="44" t="s">
        <v>208</v>
      </c>
      <c r="B87" s="44" t="s">
        <v>541</v>
      </c>
      <c r="C87" s="44" t="s">
        <v>212</v>
      </c>
      <c r="D87" s="108" t="s">
        <v>209</v>
      </c>
      <c r="E87" s="61" t="s">
        <v>426</v>
      </c>
      <c r="F87" s="61" t="s">
        <v>558</v>
      </c>
      <c r="G87" s="59">
        <f aca="true" t="shared" si="4" ref="G87:G97">H87+I87</f>
        <v>0</v>
      </c>
      <c r="H87" s="32"/>
      <c r="I87" s="80"/>
      <c r="J87" s="80"/>
      <c r="K87" s="231"/>
      <c r="L87" s="236"/>
      <c r="M87" s="231"/>
      <c r="N87" s="459"/>
      <c r="O87" s="459"/>
      <c r="P87" s="162"/>
    </row>
    <row r="88" spans="1:16" s="34" customFormat="1" ht="110.25" customHeight="1" hidden="1">
      <c r="A88" s="26" t="s">
        <v>399</v>
      </c>
      <c r="B88" s="26">
        <v>5011</v>
      </c>
      <c r="C88" s="26" t="s">
        <v>262</v>
      </c>
      <c r="D88" s="89" t="s">
        <v>319</v>
      </c>
      <c r="E88" s="341" t="s">
        <v>157</v>
      </c>
      <c r="F88" s="356" t="s">
        <v>341</v>
      </c>
      <c r="G88" s="59">
        <f t="shared" si="4"/>
        <v>0</v>
      </c>
      <c r="H88" s="32"/>
      <c r="I88" s="80"/>
      <c r="J88" s="80"/>
      <c r="K88" s="234"/>
      <c r="L88" s="235"/>
      <c r="M88" s="234"/>
      <c r="N88" s="437"/>
      <c r="O88" s="437"/>
      <c r="P88" s="161"/>
    </row>
    <row r="89" spans="1:16" s="34" customFormat="1" ht="106.5" customHeight="1" hidden="1">
      <c r="A89" s="26" t="s">
        <v>400</v>
      </c>
      <c r="B89" s="26">
        <v>5012</v>
      </c>
      <c r="C89" s="26" t="s">
        <v>262</v>
      </c>
      <c r="D89" s="89" t="s">
        <v>263</v>
      </c>
      <c r="E89" s="342"/>
      <c r="F89" s="356"/>
      <c r="G89" s="59">
        <f t="shared" si="4"/>
        <v>0</v>
      </c>
      <c r="H89" s="32"/>
      <c r="I89" s="80"/>
      <c r="J89" s="80"/>
      <c r="K89" s="234"/>
      <c r="L89" s="235"/>
      <c r="M89" s="234"/>
      <c r="N89" s="437"/>
      <c r="O89" s="437"/>
      <c r="P89" s="161"/>
    </row>
    <row r="90" spans="1:16" s="33" customFormat="1" ht="117" customHeight="1" hidden="1">
      <c r="A90" s="44" t="s">
        <v>338</v>
      </c>
      <c r="B90" s="44" t="s">
        <v>441</v>
      </c>
      <c r="C90" s="44" t="s">
        <v>262</v>
      </c>
      <c r="D90" s="120" t="s">
        <v>444</v>
      </c>
      <c r="E90" s="342"/>
      <c r="F90" s="356"/>
      <c r="G90" s="59">
        <f t="shared" si="4"/>
        <v>0</v>
      </c>
      <c r="H90" s="121"/>
      <c r="I90" s="80"/>
      <c r="J90" s="80"/>
      <c r="K90" s="231"/>
      <c r="L90" s="236"/>
      <c r="M90" s="231"/>
      <c r="N90" s="459"/>
      <c r="O90" s="459"/>
      <c r="P90" s="162"/>
    </row>
    <row r="91" spans="1:16" s="34" customFormat="1" ht="105" customHeight="1" hidden="1">
      <c r="A91" s="26" t="s">
        <v>401</v>
      </c>
      <c r="B91" s="26">
        <v>5022</v>
      </c>
      <c r="C91" s="26" t="s">
        <v>262</v>
      </c>
      <c r="D91" s="89" t="s">
        <v>129</v>
      </c>
      <c r="E91" s="342"/>
      <c r="F91" s="356"/>
      <c r="G91" s="59">
        <f t="shared" si="4"/>
        <v>0</v>
      </c>
      <c r="H91" s="32"/>
      <c r="I91" s="80"/>
      <c r="J91" s="80"/>
      <c r="K91" s="234"/>
      <c r="L91" s="235"/>
      <c r="M91" s="234"/>
      <c r="N91" s="437"/>
      <c r="O91" s="437"/>
      <c r="P91" s="161"/>
    </row>
    <row r="92" spans="1:16" s="33" customFormat="1" ht="126" customHeight="1" hidden="1">
      <c r="A92" s="44" t="s">
        <v>214</v>
      </c>
      <c r="B92" s="44" t="s">
        <v>229</v>
      </c>
      <c r="C92" s="44" t="s">
        <v>262</v>
      </c>
      <c r="D92" s="530" t="s">
        <v>230</v>
      </c>
      <c r="E92" s="342"/>
      <c r="F92" s="356"/>
      <c r="G92" s="59">
        <f t="shared" si="4"/>
        <v>0</v>
      </c>
      <c r="H92" s="121"/>
      <c r="I92" s="80"/>
      <c r="J92" s="80"/>
      <c r="K92" s="231"/>
      <c r="L92" s="236"/>
      <c r="M92" s="231"/>
      <c r="N92" s="459"/>
      <c r="O92" s="459"/>
      <c r="P92" s="162"/>
    </row>
    <row r="93" spans="1:16" s="33" customFormat="1" ht="121.5" customHeight="1" hidden="1">
      <c r="A93" s="44" t="s">
        <v>448</v>
      </c>
      <c r="B93" s="44" t="s">
        <v>449</v>
      </c>
      <c r="C93" s="44" t="s">
        <v>262</v>
      </c>
      <c r="D93" s="120" t="s">
        <v>450</v>
      </c>
      <c r="E93" s="342"/>
      <c r="F93" s="356"/>
      <c r="G93" s="59">
        <f t="shared" si="4"/>
        <v>0</v>
      </c>
      <c r="H93" s="121"/>
      <c r="I93" s="80"/>
      <c r="J93" s="80"/>
      <c r="K93" s="231"/>
      <c r="L93" s="236"/>
      <c r="M93" s="231"/>
      <c r="N93" s="459"/>
      <c r="O93" s="459"/>
      <c r="P93" s="162"/>
    </row>
    <row r="94" spans="1:16" s="33" customFormat="1" ht="179.25" customHeight="1" hidden="1">
      <c r="A94" s="49" t="s">
        <v>402</v>
      </c>
      <c r="B94" s="49">
        <v>5061</v>
      </c>
      <c r="C94" s="49" t="s">
        <v>262</v>
      </c>
      <c r="D94" s="45" t="s">
        <v>321</v>
      </c>
      <c r="E94" s="342"/>
      <c r="F94" s="356"/>
      <c r="G94" s="59">
        <f t="shared" si="4"/>
        <v>0</v>
      </c>
      <c r="H94" s="32"/>
      <c r="I94" s="80"/>
      <c r="J94" s="80"/>
      <c r="K94" s="231"/>
      <c r="L94" s="236"/>
      <c r="M94" s="231"/>
      <c r="N94" s="459"/>
      <c r="O94" s="459"/>
      <c r="P94" s="162"/>
    </row>
    <row r="95" spans="1:16" s="33" customFormat="1" ht="143.25" customHeight="1" hidden="1">
      <c r="A95" s="44" t="s">
        <v>446</v>
      </c>
      <c r="B95" s="119">
        <v>5062</v>
      </c>
      <c r="C95" s="122">
        <v>810</v>
      </c>
      <c r="D95" s="120" t="s">
        <v>447</v>
      </c>
      <c r="E95" s="343"/>
      <c r="F95" s="356"/>
      <c r="G95" s="59">
        <f t="shared" si="4"/>
        <v>0</v>
      </c>
      <c r="H95" s="123"/>
      <c r="I95" s="189"/>
      <c r="J95" s="189"/>
      <c r="K95" s="231"/>
      <c r="L95" s="236"/>
      <c r="M95" s="231"/>
      <c r="N95" s="459"/>
      <c r="O95" s="459"/>
      <c r="P95" s="162"/>
    </row>
    <row r="96" spans="1:16" s="33" customFormat="1" ht="102.75" customHeight="1" hidden="1">
      <c r="A96" s="49" t="s">
        <v>77</v>
      </c>
      <c r="B96" s="119">
        <v>7321</v>
      </c>
      <c r="C96" s="124" t="s">
        <v>299</v>
      </c>
      <c r="D96" s="45" t="s">
        <v>78</v>
      </c>
      <c r="E96" s="125" t="s">
        <v>559</v>
      </c>
      <c r="F96" s="25" t="s">
        <v>34</v>
      </c>
      <c r="G96" s="59">
        <f t="shared" si="4"/>
        <v>0</v>
      </c>
      <c r="H96" s="123"/>
      <c r="I96" s="189">
        <f>6500000-6500000</f>
        <v>0</v>
      </c>
      <c r="J96" s="80">
        <f aca="true" t="shared" si="5" ref="J96:J107">I96</f>
        <v>0</v>
      </c>
      <c r="K96" s="234"/>
      <c r="L96" s="236"/>
      <c r="M96" s="234"/>
      <c r="N96" s="437"/>
      <c r="O96" s="437"/>
      <c r="P96" s="162"/>
    </row>
    <row r="97" spans="1:16" s="33" customFormat="1" ht="102.75" customHeight="1" hidden="1">
      <c r="A97" s="82" t="s">
        <v>208</v>
      </c>
      <c r="B97" s="27" t="s">
        <v>541</v>
      </c>
      <c r="C97" s="27" t="s">
        <v>212</v>
      </c>
      <c r="D97" s="117" t="s">
        <v>209</v>
      </c>
      <c r="E97" s="106" t="s">
        <v>426</v>
      </c>
      <c r="F97" s="107" t="s">
        <v>558</v>
      </c>
      <c r="G97" s="59">
        <f t="shared" si="4"/>
        <v>0</v>
      </c>
      <c r="H97" s="123">
        <v>0</v>
      </c>
      <c r="I97" s="189">
        <f>J97</f>
        <v>0</v>
      </c>
      <c r="J97" s="80"/>
      <c r="K97" s="234"/>
      <c r="L97" s="236"/>
      <c r="M97" s="234"/>
      <c r="N97" s="437"/>
      <c r="O97" s="437"/>
      <c r="P97" s="162"/>
    </row>
    <row r="98" spans="1:16" s="33" customFormat="1" ht="76.5" customHeight="1">
      <c r="A98" s="82" t="s">
        <v>77</v>
      </c>
      <c r="B98" s="119">
        <v>7321</v>
      </c>
      <c r="C98" s="124" t="s">
        <v>299</v>
      </c>
      <c r="D98" s="45" t="s">
        <v>587</v>
      </c>
      <c r="E98" s="125" t="s">
        <v>602</v>
      </c>
      <c r="F98" s="84" t="s">
        <v>504</v>
      </c>
      <c r="G98" s="126">
        <f aca="true" t="shared" si="6" ref="G98:G107">H98+I98</f>
        <v>25343064</v>
      </c>
      <c r="H98" s="123">
        <v>0</v>
      </c>
      <c r="I98" s="80">
        <f>33413054-3069990-5000000</f>
        <v>25343064</v>
      </c>
      <c r="J98" s="80">
        <f>I98</f>
        <v>25343064</v>
      </c>
      <c r="K98" s="468"/>
      <c r="L98" s="469"/>
      <c r="M98" s="234"/>
      <c r="N98" s="437"/>
      <c r="O98" s="437"/>
      <c r="P98" s="162"/>
    </row>
    <row r="99" spans="1:16" s="239" customFormat="1" ht="84" customHeight="1">
      <c r="A99" s="82" t="s">
        <v>77</v>
      </c>
      <c r="B99" s="119">
        <v>7321</v>
      </c>
      <c r="C99" s="124" t="s">
        <v>299</v>
      </c>
      <c r="D99" s="45" t="s">
        <v>587</v>
      </c>
      <c r="E99" s="43" t="s">
        <v>505</v>
      </c>
      <c r="F99" s="84" t="s">
        <v>506</v>
      </c>
      <c r="G99" s="126">
        <f>H99+I99</f>
        <v>3550000</v>
      </c>
      <c r="H99" s="123">
        <v>0</v>
      </c>
      <c r="I99" s="80">
        <f>1900000-1900000+50000+3500000</f>
        <v>3550000</v>
      </c>
      <c r="J99" s="80">
        <f>I99</f>
        <v>3550000</v>
      </c>
      <c r="K99" s="470"/>
      <c r="L99" s="471"/>
      <c r="M99" s="470"/>
      <c r="N99" s="472"/>
      <c r="O99" s="472"/>
      <c r="P99" s="473"/>
    </row>
    <row r="100" spans="1:16" s="559" customFormat="1" ht="130.5" customHeight="1">
      <c r="A100" s="547"/>
      <c r="B100" s="548"/>
      <c r="C100" s="549"/>
      <c r="D100" s="557" t="s">
        <v>443</v>
      </c>
      <c r="E100" s="551"/>
      <c r="F100" s="552"/>
      <c r="G100" s="553">
        <f>H100+I100</f>
        <v>3500000</v>
      </c>
      <c r="H100" s="554"/>
      <c r="I100" s="555">
        <v>3500000</v>
      </c>
      <c r="J100" s="555">
        <f>I100</f>
        <v>3500000</v>
      </c>
      <c r="K100" s="556"/>
      <c r="L100" s="557"/>
      <c r="M100" s="556"/>
      <c r="N100" s="558"/>
      <c r="O100" s="558"/>
      <c r="P100" s="557"/>
    </row>
    <row r="101" spans="1:16" s="239" customFormat="1" ht="57.75" customHeight="1" hidden="1">
      <c r="A101" s="82" t="s">
        <v>77</v>
      </c>
      <c r="B101" s="119">
        <v>7321</v>
      </c>
      <c r="C101" s="124" t="s">
        <v>299</v>
      </c>
      <c r="D101" s="45" t="s">
        <v>587</v>
      </c>
      <c r="E101" s="43" t="s">
        <v>491</v>
      </c>
      <c r="F101" s="84" t="s">
        <v>511</v>
      </c>
      <c r="G101" s="126">
        <f>H101+I101</f>
        <v>0</v>
      </c>
      <c r="H101" s="123">
        <v>0</v>
      </c>
      <c r="I101" s="80">
        <f>800000-800000</f>
        <v>0</v>
      </c>
      <c r="J101" s="80">
        <f>I101</f>
        <v>0</v>
      </c>
      <c r="K101" s="470"/>
      <c r="L101" s="473"/>
      <c r="M101" s="470"/>
      <c r="N101" s="472"/>
      <c r="O101" s="472"/>
      <c r="P101" s="473"/>
    </row>
    <row r="102" spans="1:16" s="33" customFormat="1" ht="57" customHeight="1">
      <c r="A102" s="82" t="s">
        <v>471</v>
      </c>
      <c r="B102" s="119" t="s">
        <v>654</v>
      </c>
      <c r="C102" s="124" t="s">
        <v>299</v>
      </c>
      <c r="D102" s="45" t="s">
        <v>588</v>
      </c>
      <c r="E102" s="243" t="s">
        <v>491</v>
      </c>
      <c r="F102" s="84" t="s">
        <v>511</v>
      </c>
      <c r="G102" s="126">
        <f t="shared" si="6"/>
        <v>2146610</v>
      </c>
      <c r="H102" s="123">
        <v>0</v>
      </c>
      <c r="I102" s="31">
        <f>2198610-2000-50000</f>
        <v>2146610</v>
      </c>
      <c r="J102" s="32">
        <f>I102</f>
        <v>2146610</v>
      </c>
      <c r="K102" s="451"/>
      <c r="L102" s="474"/>
      <c r="M102" s="451"/>
      <c r="N102" s="450"/>
      <c r="O102" s="450"/>
      <c r="P102" s="162"/>
    </row>
    <row r="103" spans="1:16" s="33" customFormat="1" ht="57.75" customHeight="1">
      <c r="A103" s="49" t="s">
        <v>477</v>
      </c>
      <c r="B103" s="119">
        <v>7340</v>
      </c>
      <c r="C103" s="124" t="s">
        <v>299</v>
      </c>
      <c r="D103" s="45" t="s">
        <v>478</v>
      </c>
      <c r="E103" s="243" t="s">
        <v>491</v>
      </c>
      <c r="F103" s="84" t="s">
        <v>511</v>
      </c>
      <c r="G103" s="126">
        <f t="shared" si="6"/>
        <v>100000</v>
      </c>
      <c r="H103" s="123">
        <v>100000</v>
      </c>
      <c r="I103" s="123">
        <v>0</v>
      </c>
      <c r="J103" s="32">
        <f t="shared" si="5"/>
        <v>0</v>
      </c>
      <c r="K103" s="234"/>
      <c r="L103" s="236"/>
      <c r="M103" s="234"/>
      <c r="N103" s="437"/>
      <c r="O103" s="437"/>
      <c r="P103" s="162"/>
    </row>
    <row r="104" spans="1:16" s="33" customFormat="1" ht="150" customHeight="1" hidden="1">
      <c r="A104" s="49" t="s">
        <v>16</v>
      </c>
      <c r="B104" s="119">
        <v>7363</v>
      </c>
      <c r="C104" s="124" t="s">
        <v>268</v>
      </c>
      <c r="D104" s="45" t="s">
        <v>37</v>
      </c>
      <c r="E104" s="125" t="s">
        <v>475</v>
      </c>
      <c r="F104" s="25" t="s">
        <v>568</v>
      </c>
      <c r="G104" s="126">
        <f t="shared" si="6"/>
        <v>0</v>
      </c>
      <c r="H104" s="123"/>
      <c r="I104" s="123"/>
      <c r="J104" s="32">
        <f t="shared" si="5"/>
        <v>0</v>
      </c>
      <c r="K104" s="234"/>
      <c r="L104" s="236"/>
      <c r="M104" s="234"/>
      <c r="N104" s="437"/>
      <c r="O104" s="437"/>
      <c r="P104" s="162"/>
    </row>
    <row r="105" spans="1:16" s="133" customFormat="1" ht="135" customHeight="1" hidden="1">
      <c r="A105" s="128"/>
      <c r="B105" s="129"/>
      <c r="C105" s="129"/>
      <c r="D105" s="96" t="s">
        <v>38</v>
      </c>
      <c r="E105" s="130"/>
      <c r="F105" s="130"/>
      <c r="G105" s="131">
        <f t="shared" si="6"/>
        <v>0</v>
      </c>
      <c r="H105" s="132"/>
      <c r="I105" s="103"/>
      <c r="J105" s="32">
        <f t="shared" si="5"/>
        <v>0</v>
      </c>
      <c r="K105" s="452"/>
      <c r="L105" s="453"/>
      <c r="M105" s="452"/>
      <c r="N105" s="437"/>
      <c r="O105" s="437"/>
      <c r="P105" s="475"/>
    </row>
    <row r="106" spans="1:16" s="133" customFormat="1" ht="116.25" customHeight="1" hidden="1">
      <c r="A106" s="128"/>
      <c r="B106" s="129"/>
      <c r="C106" s="129"/>
      <c r="D106" s="96" t="s">
        <v>607</v>
      </c>
      <c r="E106" s="130"/>
      <c r="F106" s="130"/>
      <c r="G106" s="131">
        <f t="shared" si="6"/>
        <v>0</v>
      </c>
      <c r="H106" s="132"/>
      <c r="I106" s="103"/>
      <c r="J106" s="32">
        <f t="shared" si="5"/>
        <v>0</v>
      </c>
      <c r="K106" s="452"/>
      <c r="L106" s="453"/>
      <c r="M106" s="452"/>
      <c r="N106" s="437"/>
      <c r="O106" s="437"/>
      <c r="P106" s="475"/>
    </row>
    <row r="107" spans="1:16" s="34" customFormat="1" ht="102" customHeight="1" hidden="1">
      <c r="A107" s="116" t="s">
        <v>378</v>
      </c>
      <c r="B107" s="76">
        <v>7670</v>
      </c>
      <c r="C107" s="116" t="s">
        <v>268</v>
      </c>
      <c r="D107" s="134" t="s">
        <v>323</v>
      </c>
      <c r="E107" s="125" t="s">
        <v>640</v>
      </c>
      <c r="F107" s="25" t="s">
        <v>568</v>
      </c>
      <c r="G107" s="30">
        <f t="shared" si="6"/>
        <v>0</v>
      </c>
      <c r="H107" s="36">
        <v>0</v>
      </c>
      <c r="I107" s="31"/>
      <c r="J107" s="31">
        <f t="shared" si="5"/>
        <v>0</v>
      </c>
      <c r="K107" s="234"/>
      <c r="L107" s="235"/>
      <c r="M107" s="234"/>
      <c r="N107" s="437"/>
      <c r="O107" s="437"/>
      <c r="P107" s="161"/>
    </row>
    <row r="108" spans="1:16" s="34" customFormat="1" ht="42" customHeight="1">
      <c r="A108" s="54" t="s">
        <v>355</v>
      </c>
      <c r="B108" s="53"/>
      <c r="C108" s="53"/>
      <c r="D108" s="295" t="s">
        <v>356</v>
      </c>
      <c r="E108" s="296"/>
      <c r="F108" s="55" t="s">
        <v>421</v>
      </c>
      <c r="G108" s="94">
        <f>G109</f>
        <v>252987663.07999998</v>
      </c>
      <c r="H108" s="94">
        <f>H109</f>
        <v>127598987.08</v>
      </c>
      <c r="I108" s="94">
        <f>I109</f>
        <v>125388676</v>
      </c>
      <c r="J108" s="94">
        <f>J109</f>
        <v>125388676</v>
      </c>
      <c r="K108" s="476"/>
      <c r="L108" s="235"/>
      <c r="M108" s="476"/>
      <c r="N108" s="437"/>
      <c r="O108" s="437"/>
      <c r="P108" s="161"/>
    </row>
    <row r="109" spans="1:16" s="42" customFormat="1" ht="43.5" customHeight="1">
      <c r="A109" s="38" t="s">
        <v>328</v>
      </c>
      <c r="B109" s="37"/>
      <c r="C109" s="37"/>
      <c r="D109" s="297" t="s">
        <v>327</v>
      </c>
      <c r="E109" s="298"/>
      <c r="F109" s="39" t="s">
        <v>421</v>
      </c>
      <c r="G109" s="51">
        <f>H109+I109</f>
        <v>252987663.07999998</v>
      </c>
      <c r="H109" s="51">
        <f>SUM(H110+H111+H112+H113+H114+H119+H120+H122+H126+H127+H128+H129+H130+H131+H132+H133+H134+H136+H137+H139+H141+H142)+H117+H118+H125+H135+H123</f>
        <v>127598987.08</v>
      </c>
      <c r="I109" s="51">
        <f>SUM(I110+I111+I112+I113+I114+I119+I120+I122+I126+I127+I128+I129+I130+I131+I132+I133+I134+I136+I137+I139+I141+I142)+I117+I118+I125+I135+I123</f>
        <v>125388676</v>
      </c>
      <c r="J109" s="51">
        <f>SUM(J110+J111+J112+J113+J114+J119+J120+J122+J126+J127+J128+J129+J130+J131+J132+J133+J134+J136+J137+J139+J141+J142)+J117+J118+J125+J135+J123</f>
        <v>125388676</v>
      </c>
      <c r="K109" s="234"/>
      <c r="L109" s="234"/>
      <c r="M109" s="234"/>
      <c r="N109" s="438"/>
      <c r="O109" s="438"/>
      <c r="P109" s="156"/>
    </row>
    <row r="110" spans="1:16" s="34" customFormat="1" ht="93">
      <c r="A110" s="27" t="s">
        <v>415</v>
      </c>
      <c r="B110" s="27" t="s">
        <v>296</v>
      </c>
      <c r="C110" s="27" t="s">
        <v>252</v>
      </c>
      <c r="D110" s="28" t="s">
        <v>605</v>
      </c>
      <c r="E110" s="43" t="s">
        <v>119</v>
      </c>
      <c r="F110" s="43" t="s">
        <v>462</v>
      </c>
      <c r="G110" s="30">
        <f>SUM(H110+I110)</f>
        <v>358600</v>
      </c>
      <c r="H110" s="36">
        <f>619000-358400+49000+49000</f>
        <v>358600</v>
      </c>
      <c r="I110" s="31">
        <v>0</v>
      </c>
      <c r="J110" s="31">
        <v>0</v>
      </c>
      <c r="K110" s="477"/>
      <c r="L110" s="444"/>
      <c r="M110" s="444"/>
      <c r="N110" s="444"/>
      <c r="O110" s="444"/>
      <c r="P110" s="161"/>
    </row>
    <row r="111" spans="1:16" s="34" customFormat="1" ht="51.75" customHeight="1">
      <c r="A111" s="26" t="s">
        <v>329</v>
      </c>
      <c r="B111" s="26">
        <v>2010</v>
      </c>
      <c r="C111" s="26" t="s">
        <v>269</v>
      </c>
      <c r="D111" s="28" t="s">
        <v>316</v>
      </c>
      <c r="E111" s="300" t="s">
        <v>95</v>
      </c>
      <c r="F111" s="301" t="s">
        <v>493</v>
      </c>
      <c r="G111" s="30">
        <f>SUM(H111+I111)</f>
        <v>55185353.94</v>
      </c>
      <c r="H111" s="80">
        <f>46542017+3415400+799508.32+1700000+1788090.62-857211+1159500+49410+48481+40158+500000</f>
        <v>55185353.94</v>
      </c>
      <c r="I111" s="151">
        <f>J111</f>
        <v>0</v>
      </c>
      <c r="J111" s="151">
        <f>1440000-300000+500000-1040002-99998-500000</f>
        <v>0</v>
      </c>
      <c r="K111" s="477"/>
      <c r="L111" s="444"/>
      <c r="M111" s="444"/>
      <c r="N111" s="444"/>
      <c r="O111" s="444"/>
      <c r="P111" s="161"/>
    </row>
    <row r="112" spans="1:16" s="33" customFormat="1" ht="45" customHeight="1" hidden="1">
      <c r="A112" s="49" t="s">
        <v>330</v>
      </c>
      <c r="B112" s="49">
        <v>2020</v>
      </c>
      <c r="C112" s="49" t="s">
        <v>270</v>
      </c>
      <c r="D112" s="45" t="s">
        <v>318</v>
      </c>
      <c r="E112" s="300"/>
      <c r="F112" s="301"/>
      <c r="G112" s="30">
        <f aca="true" t="shared" si="7" ref="G112:G133">SUM(H112+I112)</f>
        <v>0</v>
      </c>
      <c r="H112" s="32"/>
      <c r="I112" s="60"/>
      <c r="J112" s="60">
        <f>I112</f>
        <v>0</v>
      </c>
      <c r="K112" s="478"/>
      <c r="L112" s="444"/>
      <c r="M112" s="231"/>
      <c r="N112" s="231"/>
      <c r="O112" s="231"/>
      <c r="P112" s="162"/>
    </row>
    <row r="113" spans="1:16" s="33" customFormat="1" ht="71.25" customHeight="1">
      <c r="A113" s="44" t="s">
        <v>178</v>
      </c>
      <c r="B113" s="135" t="s">
        <v>179</v>
      </c>
      <c r="C113" s="49" t="s">
        <v>180</v>
      </c>
      <c r="D113" s="120" t="s">
        <v>177</v>
      </c>
      <c r="E113" s="300"/>
      <c r="F113" s="301"/>
      <c r="G113" s="30">
        <f t="shared" si="7"/>
        <v>6545715</v>
      </c>
      <c r="H113" s="32">
        <f>6046115+399800-280000+49900+49900</f>
        <v>6265715</v>
      </c>
      <c r="I113" s="60">
        <f>J113</f>
        <v>280000</v>
      </c>
      <c r="J113" s="60">
        <v>280000</v>
      </c>
      <c r="K113" s="478"/>
      <c r="L113" s="444"/>
      <c r="M113" s="444"/>
      <c r="N113" s="231"/>
      <c r="O113" s="231"/>
      <c r="P113" s="162"/>
    </row>
    <row r="114" spans="1:16" s="33" customFormat="1" ht="59.25" customHeight="1">
      <c r="A114" s="49" t="s">
        <v>331</v>
      </c>
      <c r="B114" s="49">
        <v>2100</v>
      </c>
      <c r="C114" s="49" t="s">
        <v>271</v>
      </c>
      <c r="D114" s="45" t="s">
        <v>332</v>
      </c>
      <c r="E114" s="300"/>
      <c r="F114" s="301"/>
      <c r="G114" s="30">
        <f t="shared" si="7"/>
        <v>3408634.75</v>
      </c>
      <c r="H114" s="32">
        <f>3096328+192306.75+120000</f>
        <v>3408634.75</v>
      </c>
      <c r="I114" s="60">
        <v>0</v>
      </c>
      <c r="J114" s="60">
        <f>I114</f>
        <v>0</v>
      </c>
      <c r="K114" s="478"/>
      <c r="L114" s="444"/>
      <c r="M114" s="231"/>
      <c r="N114" s="231"/>
      <c r="O114" s="231"/>
      <c r="P114" s="162"/>
    </row>
    <row r="115" spans="1:16" s="33" customFormat="1" ht="86.25" customHeight="1" hidden="1">
      <c r="A115" s="49"/>
      <c r="B115" s="49"/>
      <c r="C115" s="49"/>
      <c r="D115" s="102" t="s">
        <v>23</v>
      </c>
      <c r="E115" s="300"/>
      <c r="F115" s="301"/>
      <c r="G115" s="97">
        <f>H115+I115</f>
        <v>0</v>
      </c>
      <c r="H115" s="103"/>
      <c r="I115" s="60">
        <f>J115</f>
        <v>0</v>
      </c>
      <c r="J115" s="132"/>
      <c r="K115" s="478"/>
      <c r="L115" s="444"/>
      <c r="M115" s="231"/>
      <c r="N115" s="231"/>
      <c r="O115" s="231"/>
      <c r="P115" s="162"/>
    </row>
    <row r="116" spans="1:16" s="33" customFormat="1" ht="201.75" customHeight="1" hidden="1">
      <c r="A116" s="49"/>
      <c r="B116" s="49"/>
      <c r="C116" s="49"/>
      <c r="D116" s="136" t="s">
        <v>135</v>
      </c>
      <c r="E116" s="300"/>
      <c r="F116" s="301"/>
      <c r="G116" s="97">
        <f>H116+I116</f>
        <v>0</v>
      </c>
      <c r="H116" s="103">
        <v>0</v>
      </c>
      <c r="I116" s="60">
        <f>J116</f>
        <v>0</v>
      </c>
      <c r="J116" s="132"/>
      <c r="K116" s="478"/>
      <c r="L116" s="444"/>
      <c r="M116" s="231"/>
      <c r="N116" s="231"/>
      <c r="O116" s="231"/>
      <c r="P116" s="162"/>
    </row>
    <row r="117" spans="1:16" s="33" customFormat="1" ht="101.25" customHeight="1" hidden="1">
      <c r="A117" s="44" t="s">
        <v>178</v>
      </c>
      <c r="B117" s="44" t="s">
        <v>179</v>
      </c>
      <c r="C117" s="44" t="s">
        <v>180</v>
      </c>
      <c r="D117" s="45" t="s">
        <v>177</v>
      </c>
      <c r="E117" s="300"/>
      <c r="F117" s="301"/>
      <c r="G117" s="30">
        <f>SUM(H117+I117)</f>
        <v>0</v>
      </c>
      <c r="H117" s="32"/>
      <c r="I117" s="60">
        <v>0</v>
      </c>
      <c r="J117" s="60">
        <v>0</v>
      </c>
      <c r="K117" s="478"/>
      <c r="L117" s="444"/>
      <c r="M117" s="444"/>
      <c r="N117" s="444"/>
      <c r="O117" s="231"/>
      <c r="P117" s="162"/>
    </row>
    <row r="118" spans="1:16" s="33" customFormat="1" ht="101.25" customHeight="1" hidden="1">
      <c r="A118" s="44" t="s">
        <v>331</v>
      </c>
      <c r="B118" s="44" t="s">
        <v>118</v>
      </c>
      <c r="C118" s="44" t="s">
        <v>271</v>
      </c>
      <c r="D118" s="45" t="s">
        <v>332</v>
      </c>
      <c r="E118" s="300"/>
      <c r="F118" s="301"/>
      <c r="G118" s="30">
        <f>SUM(H118+I118)</f>
        <v>0</v>
      </c>
      <c r="H118" s="32"/>
      <c r="I118" s="32">
        <v>0</v>
      </c>
      <c r="J118" s="60">
        <v>0</v>
      </c>
      <c r="K118" s="478"/>
      <c r="L118" s="444"/>
      <c r="M118" s="444"/>
      <c r="N118" s="444"/>
      <c r="O118" s="231"/>
      <c r="P118" s="162"/>
    </row>
    <row r="119" spans="1:16" s="33" customFormat="1" ht="108" customHeight="1">
      <c r="A119" s="44" t="s">
        <v>658</v>
      </c>
      <c r="B119" s="44" t="s">
        <v>655</v>
      </c>
      <c r="C119" s="49" t="s">
        <v>657</v>
      </c>
      <c r="D119" s="45" t="s">
        <v>656</v>
      </c>
      <c r="E119" s="300"/>
      <c r="F119" s="301"/>
      <c r="G119" s="30">
        <f>SUM(H119+I119)</f>
        <v>21101038.43</v>
      </c>
      <c r="H119" s="32">
        <f>19003249+306497.43+199600+391900+1040002+10000+49900+99890</f>
        <v>21101038.43</v>
      </c>
      <c r="I119" s="32">
        <v>0</v>
      </c>
      <c r="J119" s="32">
        <v>0</v>
      </c>
      <c r="K119" s="478"/>
      <c r="L119" s="231"/>
      <c r="M119" s="231"/>
      <c r="N119" s="231"/>
      <c r="O119" s="231"/>
      <c r="P119" s="162"/>
    </row>
    <row r="120" spans="1:16" s="33" customFormat="1" ht="108" customHeight="1">
      <c r="A120" s="44" t="s">
        <v>658</v>
      </c>
      <c r="B120" s="44" t="s">
        <v>655</v>
      </c>
      <c r="C120" s="49" t="s">
        <v>657</v>
      </c>
      <c r="D120" s="45" t="s">
        <v>656</v>
      </c>
      <c r="E120" s="317" t="s">
        <v>505</v>
      </c>
      <c r="F120" s="306" t="s">
        <v>279</v>
      </c>
      <c r="G120" s="30">
        <f>SUM(H120+I120)</f>
        <v>5418724</v>
      </c>
      <c r="H120" s="32"/>
      <c r="I120" s="32">
        <f>0+I121</f>
        <v>5418724</v>
      </c>
      <c r="J120" s="80">
        <f>I120</f>
        <v>5418724</v>
      </c>
      <c r="K120" s="478"/>
      <c r="L120" s="231"/>
      <c r="M120" s="231"/>
      <c r="N120" s="231"/>
      <c r="O120" s="231"/>
      <c r="P120" s="162"/>
    </row>
    <row r="121" spans="1:16" s="559" customFormat="1" ht="116.25" customHeight="1">
      <c r="A121" s="547"/>
      <c r="B121" s="548"/>
      <c r="C121" s="549"/>
      <c r="D121" s="550" t="s">
        <v>443</v>
      </c>
      <c r="E121" s="360"/>
      <c r="F121" s="360"/>
      <c r="G121" s="553">
        <f>H121+I121</f>
        <v>5418724</v>
      </c>
      <c r="H121" s="554"/>
      <c r="I121" s="555">
        <v>5418724</v>
      </c>
      <c r="J121" s="555">
        <f>I121</f>
        <v>5418724</v>
      </c>
      <c r="K121" s="556"/>
      <c r="L121" s="557"/>
      <c r="M121" s="556"/>
      <c r="N121" s="558"/>
      <c r="O121" s="558"/>
      <c r="P121" s="557"/>
    </row>
    <row r="122" spans="1:16" s="568" customFormat="1" ht="49.5" customHeight="1" hidden="1">
      <c r="A122" s="560" t="s">
        <v>83</v>
      </c>
      <c r="B122" s="560" t="s">
        <v>205</v>
      </c>
      <c r="C122" s="560" t="s">
        <v>272</v>
      </c>
      <c r="D122" s="561" t="s">
        <v>206</v>
      </c>
      <c r="E122" s="360"/>
      <c r="F122" s="360"/>
      <c r="G122" s="562">
        <f t="shared" si="7"/>
        <v>0</v>
      </c>
      <c r="H122" s="563"/>
      <c r="I122" s="563">
        <f>J122</f>
        <v>0</v>
      </c>
      <c r="J122" s="563"/>
      <c r="K122" s="564"/>
      <c r="L122" s="565"/>
      <c r="M122" s="566"/>
      <c r="N122" s="566"/>
      <c r="O122" s="543"/>
      <c r="P122" s="567"/>
    </row>
    <row r="123" spans="1:16" s="568" customFormat="1" ht="49.5" customHeight="1">
      <c r="A123" s="569" t="s">
        <v>329</v>
      </c>
      <c r="B123" s="569">
        <v>2010</v>
      </c>
      <c r="C123" s="569" t="s">
        <v>269</v>
      </c>
      <c r="D123" s="561" t="s">
        <v>316</v>
      </c>
      <c r="E123" s="360"/>
      <c r="F123" s="360"/>
      <c r="G123" s="562">
        <f t="shared" si="7"/>
        <v>7000000</v>
      </c>
      <c r="H123" s="563"/>
      <c r="I123" s="563">
        <f>0+I124</f>
        <v>7000000</v>
      </c>
      <c r="J123" s="563">
        <f>I123</f>
        <v>7000000</v>
      </c>
      <c r="K123" s="564"/>
      <c r="L123" s="565"/>
      <c r="M123" s="566"/>
      <c r="N123" s="566"/>
      <c r="O123" s="543"/>
      <c r="P123" s="567"/>
    </row>
    <row r="124" spans="1:16" s="568" customFormat="1" ht="106.5" customHeight="1">
      <c r="A124" s="547"/>
      <c r="B124" s="548"/>
      <c r="C124" s="549"/>
      <c r="D124" s="550" t="s">
        <v>443</v>
      </c>
      <c r="E124" s="361"/>
      <c r="F124" s="361"/>
      <c r="G124" s="570">
        <f>H124+I124</f>
        <v>7000000</v>
      </c>
      <c r="H124" s="571"/>
      <c r="I124" s="571">
        <v>7000000</v>
      </c>
      <c r="J124" s="571">
        <f>I124</f>
        <v>7000000</v>
      </c>
      <c r="K124" s="564"/>
      <c r="L124" s="565"/>
      <c r="M124" s="566"/>
      <c r="N124" s="566"/>
      <c r="O124" s="543"/>
      <c r="P124" s="567"/>
    </row>
    <row r="125" spans="1:16" s="33" customFormat="1" ht="58.5" customHeight="1">
      <c r="A125" s="44" t="s">
        <v>83</v>
      </c>
      <c r="B125" s="44" t="s">
        <v>205</v>
      </c>
      <c r="C125" s="44" t="s">
        <v>272</v>
      </c>
      <c r="D125" s="45" t="s">
        <v>206</v>
      </c>
      <c r="E125" s="300" t="s">
        <v>95</v>
      </c>
      <c r="F125" s="301" t="s">
        <v>493</v>
      </c>
      <c r="G125" s="30">
        <f>SUM(H125+I125)</f>
        <v>8971017.72</v>
      </c>
      <c r="H125" s="32">
        <f>8880980+1511.26+28526.46</f>
        <v>8911017.72</v>
      </c>
      <c r="I125" s="32">
        <f>J125</f>
        <v>60000</v>
      </c>
      <c r="J125" s="32">
        <f>60000</f>
        <v>60000</v>
      </c>
      <c r="K125" s="478"/>
      <c r="L125" s="231"/>
      <c r="M125" s="231"/>
      <c r="N125" s="231"/>
      <c r="O125" s="459"/>
      <c r="P125" s="162"/>
    </row>
    <row r="126" spans="1:16" s="33" customFormat="1" ht="46.5">
      <c r="A126" s="49" t="s">
        <v>130</v>
      </c>
      <c r="B126" s="49">
        <v>2152</v>
      </c>
      <c r="C126" s="49" t="s">
        <v>272</v>
      </c>
      <c r="D126" s="45" t="s">
        <v>196</v>
      </c>
      <c r="E126" s="300"/>
      <c r="F126" s="301"/>
      <c r="G126" s="30">
        <f>SUM(H126+I126)</f>
        <v>31401627.24</v>
      </c>
      <c r="H126" s="32">
        <f>34815563-1299823.76-199600-967000-148281-49900-149790-599541</f>
        <v>31401627.24</v>
      </c>
      <c r="I126" s="32">
        <v>0</v>
      </c>
      <c r="J126" s="32">
        <v>0</v>
      </c>
      <c r="K126" s="478"/>
      <c r="L126" s="231"/>
      <c r="M126" s="231"/>
      <c r="N126" s="231"/>
      <c r="O126" s="231"/>
      <c r="P126" s="162"/>
    </row>
    <row r="127" spans="1:16" s="34" customFormat="1" ht="70.5" customHeight="1" hidden="1">
      <c r="A127" s="26" t="s">
        <v>329</v>
      </c>
      <c r="B127" s="26">
        <v>2010</v>
      </c>
      <c r="C127" s="26" t="s">
        <v>269</v>
      </c>
      <c r="D127" s="28" t="s">
        <v>316</v>
      </c>
      <c r="E127" s="382" t="s">
        <v>480</v>
      </c>
      <c r="F127" s="285" t="s">
        <v>489</v>
      </c>
      <c r="G127" s="30">
        <f t="shared" si="7"/>
        <v>0</v>
      </c>
      <c r="H127" s="80">
        <v>0</v>
      </c>
      <c r="I127" s="32">
        <f aca="true" t="shared" si="8" ref="I127:I133">J127</f>
        <v>0</v>
      </c>
      <c r="J127" s="31">
        <v>0</v>
      </c>
      <c r="K127" s="235"/>
      <c r="L127" s="235"/>
      <c r="M127" s="234"/>
      <c r="N127" s="437"/>
      <c r="O127" s="437"/>
      <c r="P127" s="161"/>
    </row>
    <row r="128" spans="1:16" s="33" customFormat="1" ht="81" customHeight="1" hidden="1">
      <c r="A128" s="49" t="s">
        <v>330</v>
      </c>
      <c r="B128" s="49">
        <v>2020</v>
      </c>
      <c r="C128" s="49" t="s">
        <v>270</v>
      </c>
      <c r="D128" s="45" t="s">
        <v>318</v>
      </c>
      <c r="E128" s="383"/>
      <c r="F128" s="286"/>
      <c r="G128" s="30">
        <f t="shared" si="7"/>
        <v>0</v>
      </c>
      <c r="H128" s="32">
        <v>0</v>
      </c>
      <c r="I128" s="32">
        <f t="shared" si="8"/>
        <v>0</v>
      </c>
      <c r="J128" s="32">
        <v>0</v>
      </c>
      <c r="K128" s="236"/>
      <c r="L128" s="236"/>
      <c r="M128" s="231"/>
      <c r="N128" s="459"/>
      <c r="O128" s="459"/>
      <c r="P128" s="162"/>
    </row>
    <row r="129" spans="1:16" s="34" customFormat="1" ht="60.75" customHeight="1" hidden="1">
      <c r="A129" s="26" t="s">
        <v>331</v>
      </c>
      <c r="B129" s="26">
        <v>2100</v>
      </c>
      <c r="C129" s="26" t="s">
        <v>271</v>
      </c>
      <c r="D129" s="28" t="s">
        <v>332</v>
      </c>
      <c r="E129" s="383"/>
      <c r="F129" s="286"/>
      <c r="G129" s="30">
        <f t="shared" si="7"/>
        <v>0</v>
      </c>
      <c r="H129" s="80">
        <v>0</v>
      </c>
      <c r="I129" s="32">
        <f t="shared" si="8"/>
        <v>0</v>
      </c>
      <c r="J129" s="31">
        <v>0</v>
      </c>
      <c r="K129" s="234"/>
      <c r="L129" s="235"/>
      <c r="M129" s="234"/>
      <c r="N129" s="437"/>
      <c r="O129" s="437"/>
      <c r="P129" s="161"/>
    </row>
    <row r="130" spans="1:16" s="34" customFormat="1" ht="120" customHeight="1">
      <c r="A130" s="49" t="s">
        <v>130</v>
      </c>
      <c r="B130" s="49">
        <v>2152</v>
      </c>
      <c r="C130" s="49" t="s">
        <v>272</v>
      </c>
      <c r="D130" s="45" t="s">
        <v>196</v>
      </c>
      <c r="E130" s="384"/>
      <c r="F130" s="287"/>
      <c r="G130" s="30">
        <f t="shared" si="7"/>
        <v>967000</v>
      </c>
      <c r="H130" s="80">
        <v>967000</v>
      </c>
      <c r="I130" s="32">
        <f t="shared" si="8"/>
        <v>0</v>
      </c>
      <c r="J130" s="31">
        <v>0</v>
      </c>
      <c r="K130" s="234"/>
      <c r="L130" s="235"/>
      <c r="M130" s="234"/>
      <c r="N130" s="437"/>
      <c r="O130" s="437"/>
      <c r="P130" s="161"/>
    </row>
    <row r="131" spans="1:16" s="33" customFormat="1" ht="156" customHeight="1" hidden="1">
      <c r="A131" s="49" t="s">
        <v>658</v>
      </c>
      <c r="B131" s="44" t="s">
        <v>655</v>
      </c>
      <c r="C131" s="49" t="s">
        <v>657</v>
      </c>
      <c r="D131" s="45" t="s">
        <v>156</v>
      </c>
      <c r="E131" s="138" t="s">
        <v>608</v>
      </c>
      <c r="F131" s="43" t="s">
        <v>609</v>
      </c>
      <c r="G131" s="30">
        <f t="shared" si="7"/>
        <v>0</v>
      </c>
      <c r="H131" s="36"/>
      <c r="I131" s="32">
        <f t="shared" si="8"/>
        <v>0</v>
      </c>
      <c r="J131" s="32"/>
      <c r="K131" s="236"/>
      <c r="L131" s="236"/>
      <c r="M131" s="231"/>
      <c r="N131" s="459"/>
      <c r="O131" s="459"/>
      <c r="P131" s="162"/>
    </row>
    <row r="132" spans="1:16" s="34" customFormat="1" ht="99.75" customHeight="1" hidden="1">
      <c r="A132" s="27" t="s">
        <v>329</v>
      </c>
      <c r="B132" s="27" t="s">
        <v>624</v>
      </c>
      <c r="C132" s="27" t="s">
        <v>269</v>
      </c>
      <c r="D132" s="28" t="s">
        <v>316</v>
      </c>
      <c r="E132" s="288" t="s">
        <v>426</v>
      </c>
      <c r="F132" s="283" t="s">
        <v>558</v>
      </c>
      <c r="G132" s="30">
        <f t="shared" si="7"/>
        <v>0</v>
      </c>
      <c r="H132" s="36"/>
      <c r="I132" s="32">
        <f t="shared" si="8"/>
        <v>0</v>
      </c>
      <c r="J132" s="31"/>
      <c r="K132" s="234"/>
      <c r="L132" s="235"/>
      <c r="M132" s="234"/>
      <c r="N132" s="437"/>
      <c r="O132" s="437"/>
      <c r="P132" s="161"/>
    </row>
    <row r="133" spans="1:16" s="34" customFormat="1" ht="152.25" customHeight="1" hidden="1">
      <c r="A133" s="26" t="s">
        <v>658</v>
      </c>
      <c r="B133" s="27" t="s">
        <v>655</v>
      </c>
      <c r="C133" s="26" t="s">
        <v>657</v>
      </c>
      <c r="D133" s="28" t="s">
        <v>156</v>
      </c>
      <c r="E133" s="293"/>
      <c r="F133" s="381"/>
      <c r="G133" s="30">
        <f t="shared" si="7"/>
        <v>0</v>
      </c>
      <c r="H133" s="36"/>
      <c r="I133" s="32">
        <f t="shared" si="8"/>
        <v>0</v>
      </c>
      <c r="J133" s="31"/>
      <c r="K133" s="235"/>
      <c r="L133" s="235"/>
      <c r="M133" s="234"/>
      <c r="N133" s="437"/>
      <c r="O133" s="437"/>
      <c r="P133" s="161"/>
    </row>
    <row r="134" spans="1:16" s="34" customFormat="1" ht="135" customHeight="1" hidden="1">
      <c r="A134" s="44" t="s">
        <v>658</v>
      </c>
      <c r="B134" s="44" t="s">
        <v>655</v>
      </c>
      <c r="C134" s="49" t="s">
        <v>657</v>
      </c>
      <c r="D134" s="45" t="s">
        <v>656</v>
      </c>
      <c r="E134" s="139" t="s">
        <v>494</v>
      </c>
      <c r="F134" s="140" t="s">
        <v>495</v>
      </c>
      <c r="G134" s="30">
        <f>SUM(H134+I134)</f>
        <v>0</v>
      </c>
      <c r="H134" s="36"/>
      <c r="I134" s="32"/>
      <c r="J134" s="31">
        <f aca="true" t="shared" si="9" ref="J134:J141">I134</f>
        <v>0</v>
      </c>
      <c r="K134" s="235"/>
      <c r="L134" s="235"/>
      <c r="M134" s="234"/>
      <c r="N134" s="437"/>
      <c r="O134" s="437"/>
      <c r="P134" s="161"/>
    </row>
    <row r="135" spans="1:16" s="34" customFormat="1" ht="107.25" customHeight="1" hidden="1">
      <c r="A135" s="26" t="s">
        <v>329</v>
      </c>
      <c r="B135" s="26">
        <v>2010</v>
      </c>
      <c r="C135" s="26" t="s">
        <v>269</v>
      </c>
      <c r="D135" s="28" t="s">
        <v>316</v>
      </c>
      <c r="E135" s="106" t="s">
        <v>426</v>
      </c>
      <c r="F135" s="107" t="s">
        <v>558</v>
      </c>
      <c r="G135" s="30">
        <f>SUM(H135+I135)</f>
        <v>0</v>
      </c>
      <c r="H135" s="36">
        <v>0</v>
      </c>
      <c r="I135" s="32">
        <f>J135</f>
        <v>0</v>
      </c>
      <c r="J135" s="31"/>
      <c r="K135" s="235"/>
      <c r="L135" s="235"/>
      <c r="M135" s="234"/>
      <c r="N135" s="437"/>
      <c r="O135" s="437"/>
      <c r="P135" s="161"/>
    </row>
    <row r="136" spans="1:16" s="34" customFormat="1" ht="75" customHeight="1">
      <c r="A136" s="82" t="s">
        <v>652</v>
      </c>
      <c r="B136" s="26" t="s">
        <v>80</v>
      </c>
      <c r="C136" s="27" t="s">
        <v>299</v>
      </c>
      <c r="D136" s="28" t="s">
        <v>589</v>
      </c>
      <c r="E136" s="62" t="s">
        <v>95</v>
      </c>
      <c r="F136" s="140" t="s">
        <v>493</v>
      </c>
      <c r="G136" s="30">
        <f>SUM(H136+I136)</f>
        <v>0</v>
      </c>
      <c r="H136" s="36">
        <v>0</v>
      </c>
      <c r="I136" s="31">
        <f>0+300000-300000</f>
        <v>0</v>
      </c>
      <c r="J136" s="32">
        <f t="shared" si="9"/>
        <v>0</v>
      </c>
      <c r="K136" s="479"/>
      <c r="L136" s="480"/>
      <c r="M136" s="451"/>
      <c r="N136" s="450"/>
      <c r="O136" s="450"/>
      <c r="P136" s="161"/>
    </row>
    <row r="137" spans="1:16" s="34" customFormat="1" ht="93" customHeight="1">
      <c r="A137" s="82" t="s">
        <v>652</v>
      </c>
      <c r="B137" s="26" t="s">
        <v>80</v>
      </c>
      <c r="C137" s="27" t="s">
        <v>299</v>
      </c>
      <c r="D137" s="28" t="s">
        <v>589</v>
      </c>
      <c r="E137" s="43" t="s">
        <v>505</v>
      </c>
      <c r="F137" s="84" t="s">
        <v>279</v>
      </c>
      <c r="G137" s="30">
        <f>SUM(H137+I137)</f>
        <v>110629952</v>
      </c>
      <c r="H137" s="36">
        <v>0</v>
      </c>
      <c r="I137" s="80">
        <f>3800000-1000000+1000000-300000+99998+I138</f>
        <v>110629952</v>
      </c>
      <c r="J137" s="80">
        <f t="shared" si="9"/>
        <v>110629952</v>
      </c>
      <c r="K137" s="481"/>
      <c r="L137" s="481"/>
      <c r="M137" s="451"/>
      <c r="N137" s="450"/>
      <c r="O137" s="450"/>
      <c r="P137" s="161"/>
    </row>
    <row r="138" spans="1:16" s="559" customFormat="1" ht="115.5" customHeight="1">
      <c r="A138" s="547"/>
      <c r="B138" s="548"/>
      <c r="C138" s="549"/>
      <c r="D138" s="550" t="s">
        <v>443</v>
      </c>
      <c r="E138" s="551"/>
      <c r="F138" s="552"/>
      <c r="G138" s="553">
        <f>H138+I138</f>
        <v>107029954</v>
      </c>
      <c r="H138" s="554"/>
      <c r="I138" s="555">
        <v>107029954</v>
      </c>
      <c r="J138" s="555">
        <f>I138</f>
        <v>107029954</v>
      </c>
      <c r="K138" s="556"/>
      <c r="L138" s="557"/>
      <c r="M138" s="556"/>
      <c r="N138" s="558"/>
      <c r="O138" s="558"/>
      <c r="P138" s="557"/>
    </row>
    <row r="139" spans="1:16" s="149" customFormat="1" ht="135" customHeight="1" hidden="1">
      <c r="A139" s="82" t="s">
        <v>2</v>
      </c>
      <c r="B139" s="82">
        <v>7363</v>
      </c>
      <c r="C139" s="81" t="s">
        <v>268</v>
      </c>
      <c r="D139" s="86" t="s">
        <v>37</v>
      </c>
      <c r="E139" s="125" t="s">
        <v>17</v>
      </c>
      <c r="F139" s="139" t="s">
        <v>136</v>
      </c>
      <c r="G139" s="148">
        <f>SUM(H139+I139)</f>
        <v>0</v>
      </c>
      <c r="H139" s="85">
        <v>0</v>
      </c>
      <c r="I139" s="80"/>
      <c r="J139" s="80">
        <f t="shared" si="9"/>
        <v>0</v>
      </c>
      <c r="K139" s="443"/>
      <c r="L139" s="443"/>
      <c r="M139" s="444"/>
      <c r="N139" s="445"/>
      <c r="O139" s="445"/>
      <c r="P139" s="446"/>
    </row>
    <row r="140" spans="1:16" s="147" customFormat="1" ht="107.25" customHeight="1" hidden="1">
      <c r="A140" s="141"/>
      <c r="B140" s="142"/>
      <c r="C140" s="142"/>
      <c r="D140" s="143" t="s">
        <v>3</v>
      </c>
      <c r="E140" s="144"/>
      <c r="F140" s="144"/>
      <c r="G140" s="145">
        <f>H140+I140</f>
        <v>0</v>
      </c>
      <c r="H140" s="146"/>
      <c r="I140" s="99"/>
      <c r="J140" s="99">
        <f t="shared" si="9"/>
        <v>0</v>
      </c>
      <c r="K140" s="482"/>
      <c r="L140" s="482"/>
      <c r="M140" s="482"/>
      <c r="N140" s="483"/>
      <c r="O140" s="483"/>
      <c r="P140" s="484"/>
    </row>
    <row r="141" spans="1:16" s="147" customFormat="1" ht="101.25" customHeight="1">
      <c r="A141" s="81" t="s">
        <v>139</v>
      </c>
      <c r="B141" s="76">
        <v>7670</v>
      </c>
      <c r="C141" s="116" t="s">
        <v>268</v>
      </c>
      <c r="D141" s="134" t="s">
        <v>323</v>
      </c>
      <c r="E141" s="88" t="s">
        <v>103</v>
      </c>
      <c r="F141" s="88" t="s">
        <v>497</v>
      </c>
      <c r="G141" s="150">
        <f>H141+I141</f>
        <v>2000000</v>
      </c>
      <c r="H141" s="151">
        <v>0</v>
      </c>
      <c r="I141" s="80">
        <v>2000000</v>
      </c>
      <c r="J141" s="80">
        <f t="shared" si="9"/>
        <v>2000000</v>
      </c>
      <c r="K141" s="482"/>
      <c r="L141" s="482"/>
      <c r="M141" s="482"/>
      <c r="N141" s="483"/>
      <c r="O141" s="483"/>
      <c r="P141" s="484"/>
    </row>
    <row r="142" spans="1:16" s="34" customFormat="1" ht="358.5" customHeight="1" hidden="1">
      <c r="A142" s="92" t="s">
        <v>452</v>
      </c>
      <c r="B142" s="92">
        <v>7691</v>
      </c>
      <c r="C142" s="27" t="s">
        <v>268</v>
      </c>
      <c r="D142" s="28" t="s">
        <v>440</v>
      </c>
      <c r="E142" s="88" t="s">
        <v>153</v>
      </c>
      <c r="F142" s="127" t="s">
        <v>649</v>
      </c>
      <c r="G142" s="152">
        <f>H142+I142</f>
        <v>0</v>
      </c>
      <c r="H142" s="123"/>
      <c r="I142" s="52"/>
      <c r="J142" s="32"/>
      <c r="K142" s="235"/>
      <c r="L142" s="235"/>
      <c r="M142" s="234"/>
      <c r="N142" s="437"/>
      <c r="O142" s="437"/>
      <c r="P142" s="161"/>
    </row>
    <row r="143" spans="1:16" s="34" customFormat="1" ht="51" customHeight="1">
      <c r="A143" s="54" t="s">
        <v>357</v>
      </c>
      <c r="B143" s="53"/>
      <c r="C143" s="53"/>
      <c r="D143" s="295" t="s">
        <v>283</v>
      </c>
      <c r="E143" s="296"/>
      <c r="F143" s="55" t="s">
        <v>421</v>
      </c>
      <c r="G143" s="58">
        <f>G144+G166</f>
        <v>71941397</v>
      </c>
      <c r="H143" s="58">
        <f>H144+H166</f>
        <v>71357097</v>
      </c>
      <c r="I143" s="58">
        <f>I144+I166</f>
        <v>584300</v>
      </c>
      <c r="J143" s="58">
        <f>J144+J166</f>
        <v>192700</v>
      </c>
      <c r="K143" s="234"/>
      <c r="L143" s="235"/>
      <c r="M143" s="234"/>
      <c r="N143" s="437"/>
      <c r="O143" s="437"/>
      <c r="P143" s="161"/>
    </row>
    <row r="144" spans="1:15" s="48" customFormat="1" ht="50.25" customHeight="1">
      <c r="A144" s="37" t="s">
        <v>358</v>
      </c>
      <c r="B144" s="37"/>
      <c r="C144" s="37"/>
      <c r="D144" s="374" t="s">
        <v>346</v>
      </c>
      <c r="E144" s="375"/>
      <c r="F144" s="47" t="s">
        <v>421</v>
      </c>
      <c r="G144" s="40">
        <f>H144+I144</f>
        <v>71762627</v>
      </c>
      <c r="H144" s="40">
        <f>H145+H146+H147+H148+H149+H150+H151+H152+H153+H154+H155+H156+H157+H158+H159+H160+H161+H162+H163+H165</f>
        <v>71178327</v>
      </c>
      <c r="I144" s="40">
        <f>I145+I146+I147+I148+I149+I150+I151+I152+I153+I154+I155+I156+I157+I158+I159+I160+I161+I162+I163+I165</f>
        <v>584300</v>
      </c>
      <c r="J144" s="40">
        <f>J145+J146+J147+J148+J149+J150+J151+J152+J153+J154+J155+J156+J157+J158+J159+J160+J161+J162+J163+J165</f>
        <v>192700</v>
      </c>
      <c r="K144" s="234"/>
      <c r="L144" s="234"/>
      <c r="M144" s="234"/>
      <c r="N144" s="438"/>
      <c r="O144" s="438"/>
    </row>
    <row r="145" spans="1:16" s="33" customFormat="1" ht="97.5" customHeight="1">
      <c r="A145" s="44" t="s">
        <v>416</v>
      </c>
      <c r="B145" s="44" t="s">
        <v>296</v>
      </c>
      <c r="C145" s="44" t="s">
        <v>252</v>
      </c>
      <c r="D145" s="45" t="s">
        <v>605</v>
      </c>
      <c r="E145" s="43" t="s">
        <v>404</v>
      </c>
      <c r="F145" s="43" t="s">
        <v>462</v>
      </c>
      <c r="G145" s="46">
        <f aca="true" t="shared" si="10" ref="G145:G165">H145+I145</f>
        <v>680927</v>
      </c>
      <c r="H145" s="36">
        <f>610600+21327+49000</f>
        <v>680927</v>
      </c>
      <c r="I145" s="32">
        <v>0</v>
      </c>
      <c r="J145" s="32">
        <v>0</v>
      </c>
      <c r="K145" s="236"/>
      <c r="L145" s="236"/>
      <c r="M145" s="234"/>
      <c r="N145" s="437"/>
      <c r="O145" s="437"/>
      <c r="P145" s="162"/>
    </row>
    <row r="146" spans="1:15" s="154" customFormat="1" ht="75" customHeight="1">
      <c r="A146" s="44" t="s">
        <v>359</v>
      </c>
      <c r="B146" s="44">
        <v>3031</v>
      </c>
      <c r="C146" s="44">
        <v>1030</v>
      </c>
      <c r="D146" s="153" t="s">
        <v>360</v>
      </c>
      <c r="E146" s="302" t="s">
        <v>632</v>
      </c>
      <c r="F146" s="302" t="s">
        <v>648</v>
      </c>
      <c r="G146" s="59">
        <f t="shared" si="10"/>
        <v>467700</v>
      </c>
      <c r="H146" s="80">
        <v>275000</v>
      </c>
      <c r="I146" s="32">
        <v>192700</v>
      </c>
      <c r="J146" s="32">
        <v>192700</v>
      </c>
      <c r="K146" s="231"/>
      <c r="L146" s="232"/>
      <c r="M146" s="231"/>
      <c r="N146" s="459"/>
      <c r="O146" s="459"/>
    </row>
    <row r="147" spans="1:15" s="154" customFormat="1" ht="69.75">
      <c r="A147" s="44" t="s">
        <v>620</v>
      </c>
      <c r="B147" s="44" t="s">
        <v>621</v>
      </c>
      <c r="C147" s="44" t="s">
        <v>623</v>
      </c>
      <c r="D147" s="531" t="s">
        <v>622</v>
      </c>
      <c r="E147" s="302"/>
      <c r="F147" s="302"/>
      <c r="G147" s="59">
        <f t="shared" si="10"/>
        <v>11300</v>
      </c>
      <c r="H147" s="80">
        <v>11300</v>
      </c>
      <c r="I147" s="32">
        <v>0</v>
      </c>
      <c r="J147" s="32">
        <v>0</v>
      </c>
      <c r="K147" s="231"/>
      <c r="L147" s="232"/>
      <c r="M147" s="231"/>
      <c r="N147" s="459"/>
      <c r="O147" s="459"/>
    </row>
    <row r="148" spans="1:15" s="156" customFormat="1" ht="93">
      <c r="A148" s="44" t="s">
        <v>361</v>
      </c>
      <c r="B148" s="44">
        <v>3033</v>
      </c>
      <c r="C148" s="44">
        <v>1070</v>
      </c>
      <c r="D148" s="153" t="s">
        <v>273</v>
      </c>
      <c r="E148" s="379"/>
      <c r="F148" s="302"/>
      <c r="G148" s="59">
        <f t="shared" si="10"/>
        <v>1222000</v>
      </c>
      <c r="H148" s="155">
        <v>1222000</v>
      </c>
      <c r="I148" s="31">
        <v>0</v>
      </c>
      <c r="J148" s="31">
        <v>0</v>
      </c>
      <c r="K148" s="233"/>
      <c r="L148" s="233"/>
      <c r="M148" s="234"/>
      <c r="N148" s="437"/>
      <c r="O148" s="437"/>
    </row>
    <row r="149" spans="1:15" s="156" customFormat="1" ht="93">
      <c r="A149" s="44" t="s">
        <v>362</v>
      </c>
      <c r="B149" s="44">
        <v>3035</v>
      </c>
      <c r="C149" s="44">
        <v>1070</v>
      </c>
      <c r="D149" s="153" t="s">
        <v>274</v>
      </c>
      <c r="E149" s="379"/>
      <c r="F149" s="302"/>
      <c r="G149" s="59">
        <f t="shared" si="10"/>
        <v>757000</v>
      </c>
      <c r="H149" s="155">
        <v>757000</v>
      </c>
      <c r="I149" s="31">
        <v>0</v>
      </c>
      <c r="J149" s="31">
        <v>0</v>
      </c>
      <c r="K149" s="233"/>
      <c r="L149" s="233"/>
      <c r="M149" s="234"/>
      <c r="N149" s="437"/>
      <c r="O149" s="437"/>
    </row>
    <row r="150" spans="1:15" s="154" customFormat="1" ht="93">
      <c r="A150" s="44" t="s">
        <v>363</v>
      </c>
      <c r="B150" s="44">
        <v>3036</v>
      </c>
      <c r="C150" s="44">
        <v>1070</v>
      </c>
      <c r="D150" s="153" t="s">
        <v>275</v>
      </c>
      <c r="E150" s="379"/>
      <c r="F150" s="302"/>
      <c r="G150" s="59">
        <f t="shared" si="10"/>
        <v>10000000</v>
      </c>
      <c r="H150" s="155">
        <v>10000000</v>
      </c>
      <c r="I150" s="32">
        <v>0</v>
      </c>
      <c r="J150" s="32">
        <v>0</v>
      </c>
      <c r="K150" s="232"/>
      <c r="L150" s="232"/>
      <c r="M150" s="231"/>
      <c r="N150" s="459"/>
      <c r="O150" s="459"/>
    </row>
    <row r="151" spans="1:15" s="154" customFormat="1" ht="139.5">
      <c r="A151" s="44" t="s">
        <v>368</v>
      </c>
      <c r="B151" s="157" t="s">
        <v>369</v>
      </c>
      <c r="C151" s="157" t="s">
        <v>284</v>
      </c>
      <c r="D151" s="158" t="s">
        <v>370</v>
      </c>
      <c r="E151" s="107" t="s">
        <v>632</v>
      </c>
      <c r="F151" s="61" t="s">
        <v>159</v>
      </c>
      <c r="G151" s="59">
        <f t="shared" si="10"/>
        <v>29051675</v>
      </c>
      <c r="H151" s="155">
        <f>28038575+195800+405700+20000</f>
        <v>28660075</v>
      </c>
      <c r="I151" s="32">
        <v>391600</v>
      </c>
      <c r="J151" s="32">
        <v>0</v>
      </c>
      <c r="K151" s="232"/>
      <c r="L151" s="232"/>
      <c r="M151" s="231"/>
      <c r="N151" s="459"/>
      <c r="O151" s="459"/>
    </row>
    <row r="152" spans="1:15" s="161" customFormat="1" ht="69.75">
      <c r="A152" s="27" t="s">
        <v>364</v>
      </c>
      <c r="B152" s="27">
        <v>3121</v>
      </c>
      <c r="C152" s="27">
        <v>1040</v>
      </c>
      <c r="D152" s="159" t="s">
        <v>572</v>
      </c>
      <c r="E152" s="290" t="s">
        <v>633</v>
      </c>
      <c r="F152" s="290" t="s">
        <v>342</v>
      </c>
      <c r="G152" s="160">
        <f t="shared" si="10"/>
        <v>2604860</v>
      </c>
      <c r="H152" s="31">
        <f>3010560-405700</f>
        <v>2604860</v>
      </c>
      <c r="I152" s="80">
        <v>0</v>
      </c>
      <c r="J152" s="80">
        <v>0</v>
      </c>
      <c r="K152" s="234"/>
      <c r="L152" s="235"/>
      <c r="M152" s="234"/>
      <c r="N152" s="437"/>
      <c r="O152" s="437"/>
    </row>
    <row r="153" spans="1:15" s="161" customFormat="1" ht="53.25" customHeight="1">
      <c r="A153" s="27" t="s">
        <v>365</v>
      </c>
      <c r="B153" s="27">
        <v>3123</v>
      </c>
      <c r="C153" s="27">
        <v>1040</v>
      </c>
      <c r="D153" s="159" t="s">
        <v>314</v>
      </c>
      <c r="E153" s="291"/>
      <c r="F153" s="291"/>
      <c r="G153" s="160">
        <f t="shared" si="10"/>
        <v>351500</v>
      </c>
      <c r="H153" s="80">
        <v>351500</v>
      </c>
      <c r="I153" s="80">
        <v>0</v>
      </c>
      <c r="J153" s="80">
        <v>0</v>
      </c>
      <c r="K153" s="235"/>
      <c r="L153" s="235"/>
      <c r="M153" s="234"/>
      <c r="N153" s="437"/>
      <c r="O153" s="437"/>
    </row>
    <row r="154" spans="1:15" s="162" customFormat="1" ht="186">
      <c r="A154" s="44" t="s">
        <v>366</v>
      </c>
      <c r="B154" s="44">
        <v>3140</v>
      </c>
      <c r="C154" s="44">
        <v>1040</v>
      </c>
      <c r="D154" s="153" t="s">
        <v>313</v>
      </c>
      <c r="E154" s="292"/>
      <c r="F154" s="292"/>
      <c r="G154" s="160">
        <f t="shared" si="10"/>
        <v>0</v>
      </c>
      <c r="H154" s="155">
        <f>1600000-1600000</f>
        <v>0</v>
      </c>
      <c r="I154" s="32">
        <v>0</v>
      </c>
      <c r="J154" s="32">
        <v>0</v>
      </c>
      <c r="K154" s="236"/>
      <c r="L154" s="236"/>
      <c r="M154" s="234"/>
      <c r="N154" s="437"/>
      <c r="O154" s="437"/>
    </row>
    <row r="155" spans="1:15" s="162" customFormat="1" ht="215.25" customHeight="1">
      <c r="A155" s="44" t="s">
        <v>371</v>
      </c>
      <c r="B155" s="112" t="s">
        <v>76</v>
      </c>
      <c r="C155" s="112">
        <v>1010</v>
      </c>
      <c r="D155" s="158" t="s">
        <v>147</v>
      </c>
      <c r="E155" s="107" t="s">
        <v>634</v>
      </c>
      <c r="F155" s="61" t="s">
        <v>460</v>
      </c>
      <c r="G155" s="59">
        <f t="shared" si="10"/>
        <v>1607100</v>
      </c>
      <c r="H155" s="121">
        <v>1607100</v>
      </c>
      <c r="I155" s="32">
        <v>0</v>
      </c>
      <c r="J155" s="32">
        <v>0</v>
      </c>
      <c r="K155" s="236"/>
      <c r="L155" s="236"/>
      <c r="M155" s="231"/>
      <c r="N155" s="459"/>
      <c r="O155" s="459"/>
    </row>
    <row r="156" spans="1:15" s="162" customFormat="1" ht="69.75">
      <c r="A156" s="357" t="s">
        <v>367</v>
      </c>
      <c r="B156" s="357">
        <v>3180</v>
      </c>
      <c r="C156" s="357">
        <v>1060</v>
      </c>
      <c r="D156" s="365" t="s">
        <v>195</v>
      </c>
      <c r="E156" s="119" t="s">
        <v>632</v>
      </c>
      <c r="F156" s="119" t="s">
        <v>466</v>
      </c>
      <c r="G156" s="160">
        <f t="shared" si="10"/>
        <v>564300</v>
      </c>
      <c r="H156" s="80">
        <v>564300</v>
      </c>
      <c r="I156" s="32">
        <v>0</v>
      </c>
      <c r="J156" s="32">
        <v>0</v>
      </c>
      <c r="K156" s="231"/>
      <c r="L156" s="236"/>
      <c r="M156" s="234"/>
      <c r="N156" s="437"/>
      <c r="O156" s="437"/>
    </row>
    <row r="157" spans="1:15" s="162" customFormat="1" ht="116.25">
      <c r="A157" s="358"/>
      <c r="B157" s="358"/>
      <c r="C157" s="358"/>
      <c r="D157" s="366"/>
      <c r="E157" s="163" t="s">
        <v>480</v>
      </c>
      <c r="F157" s="119" t="s">
        <v>479</v>
      </c>
      <c r="G157" s="59">
        <f t="shared" si="10"/>
        <v>83100</v>
      </c>
      <c r="H157" s="80">
        <v>83100</v>
      </c>
      <c r="I157" s="32">
        <v>0</v>
      </c>
      <c r="J157" s="32">
        <v>0</v>
      </c>
      <c r="K157" s="236"/>
      <c r="L157" s="236"/>
      <c r="M157" s="231"/>
      <c r="N157" s="459"/>
      <c r="O157" s="459"/>
    </row>
    <row r="158" spans="1:15" s="162" customFormat="1" ht="73.5" customHeight="1">
      <c r="A158" s="359"/>
      <c r="B158" s="359"/>
      <c r="C158" s="359"/>
      <c r="D158" s="367"/>
      <c r="E158" s="163" t="s">
        <v>586</v>
      </c>
      <c r="F158" s="25" t="s">
        <v>626</v>
      </c>
      <c r="G158" s="59">
        <f t="shared" si="10"/>
        <v>509400</v>
      </c>
      <c r="H158" s="80">
        <v>509400</v>
      </c>
      <c r="I158" s="32">
        <v>0</v>
      </c>
      <c r="J158" s="32">
        <v>0</v>
      </c>
      <c r="K158" s="236"/>
      <c r="L158" s="236"/>
      <c r="M158" s="231"/>
      <c r="N158" s="459"/>
      <c r="O158" s="459"/>
    </row>
    <row r="159" spans="1:16" s="34" customFormat="1" ht="146.25" customHeight="1">
      <c r="A159" s="27" t="s">
        <v>143</v>
      </c>
      <c r="B159" s="27">
        <v>3192</v>
      </c>
      <c r="C159" s="27">
        <v>1030</v>
      </c>
      <c r="D159" s="159" t="s">
        <v>573</v>
      </c>
      <c r="E159" s="84" t="s">
        <v>634</v>
      </c>
      <c r="F159" s="84" t="s">
        <v>467</v>
      </c>
      <c r="G159" s="46">
        <f t="shared" si="10"/>
        <v>874465</v>
      </c>
      <c r="H159" s="80">
        <v>874465</v>
      </c>
      <c r="I159" s="31">
        <v>0</v>
      </c>
      <c r="J159" s="31">
        <v>0</v>
      </c>
      <c r="K159" s="235"/>
      <c r="L159" s="235"/>
      <c r="M159" s="234"/>
      <c r="N159" s="437"/>
      <c r="O159" s="437"/>
      <c r="P159" s="161"/>
    </row>
    <row r="160" spans="1:16" s="34" customFormat="1" ht="99.75" customHeight="1">
      <c r="A160" s="27" t="s">
        <v>144</v>
      </c>
      <c r="B160" s="27">
        <v>3241</v>
      </c>
      <c r="C160" s="27">
        <v>1090</v>
      </c>
      <c r="D160" s="28" t="s">
        <v>146</v>
      </c>
      <c r="E160" s="164" t="s">
        <v>634</v>
      </c>
      <c r="F160" s="84" t="s">
        <v>468</v>
      </c>
      <c r="G160" s="46">
        <f t="shared" si="10"/>
        <v>3591800</v>
      </c>
      <c r="H160" s="80">
        <v>3591800</v>
      </c>
      <c r="I160" s="31">
        <v>0</v>
      </c>
      <c r="J160" s="31">
        <v>0</v>
      </c>
      <c r="K160" s="235"/>
      <c r="L160" s="235"/>
      <c r="M160" s="234"/>
      <c r="N160" s="437"/>
      <c r="O160" s="437"/>
      <c r="P160" s="161"/>
    </row>
    <row r="161" spans="1:16" s="34" customFormat="1" ht="75" customHeight="1">
      <c r="A161" s="362" t="s">
        <v>145</v>
      </c>
      <c r="B161" s="362" t="s">
        <v>140</v>
      </c>
      <c r="C161" s="325">
        <v>1090</v>
      </c>
      <c r="D161" s="351" t="s">
        <v>141</v>
      </c>
      <c r="E161" s="164" t="s">
        <v>634</v>
      </c>
      <c r="F161" s="84" t="s">
        <v>472</v>
      </c>
      <c r="G161" s="46">
        <f t="shared" si="10"/>
        <v>11802100</v>
      </c>
      <c r="H161" s="32">
        <f>9755600+189000+20000+672500+484000+893000-212000</f>
        <v>11802100</v>
      </c>
      <c r="I161" s="31">
        <v>0</v>
      </c>
      <c r="J161" s="31">
        <v>0</v>
      </c>
      <c r="K161" s="234"/>
      <c r="L161" s="235"/>
      <c r="M161" s="234"/>
      <c r="N161" s="437"/>
      <c r="O161" s="437"/>
      <c r="P161" s="161"/>
    </row>
    <row r="162" spans="1:16" s="34" customFormat="1" ht="120.75" customHeight="1">
      <c r="A162" s="363"/>
      <c r="B162" s="363"/>
      <c r="C162" s="326"/>
      <c r="D162" s="352"/>
      <c r="E162" s="163" t="s">
        <v>480</v>
      </c>
      <c r="F162" s="84" t="s">
        <v>492</v>
      </c>
      <c r="G162" s="46">
        <f t="shared" si="10"/>
        <v>4326000</v>
      </c>
      <c r="H162" s="80">
        <v>4326000</v>
      </c>
      <c r="I162" s="31">
        <v>0</v>
      </c>
      <c r="J162" s="31">
        <v>0</v>
      </c>
      <c r="K162" s="485"/>
      <c r="L162" s="235"/>
      <c r="M162" s="234"/>
      <c r="N162" s="437"/>
      <c r="O162" s="437"/>
      <c r="P162" s="161"/>
    </row>
    <row r="163" spans="1:16" s="34" customFormat="1" ht="69.75">
      <c r="A163" s="364"/>
      <c r="B163" s="364"/>
      <c r="C163" s="327"/>
      <c r="D163" s="353"/>
      <c r="E163" s="164" t="s">
        <v>586</v>
      </c>
      <c r="F163" s="84" t="s">
        <v>124</v>
      </c>
      <c r="G163" s="46">
        <f t="shared" si="10"/>
        <v>3257400</v>
      </c>
      <c r="H163" s="32">
        <f>3009400+248000</f>
        <v>3257400</v>
      </c>
      <c r="I163" s="31">
        <v>0</v>
      </c>
      <c r="J163" s="31">
        <v>0</v>
      </c>
      <c r="K163" s="485"/>
      <c r="L163" s="235"/>
      <c r="M163" s="234"/>
      <c r="N163" s="437"/>
      <c r="O163" s="437"/>
      <c r="P163" s="161"/>
    </row>
    <row r="164" spans="1:16" s="34" customFormat="1" ht="117" customHeight="1" hidden="1">
      <c r="A164" s="166"/>
      <c r="B164" s="79"/>
      <c r="C164" s="79"/>
      <c r="D164" s="167"/>
      <c r="E164" s="164" t="s">
        <v>635</v>
      </c>
      <c r="F164" s="84" t="s">
        <v>343</v>
      </c>
      <c r="G164" s="46">
        <f t="shared" si="10"/>
        <v>0</v>
      </c>
      <c r="H164" s="60"/>
      <c r="I164" s="31"/>
      <c r="J164" s="31"/>
      <c r="K164" s="234"/>
      <c r="L164" s="235"/>
      <c r="M164" s="234"/>
      <c r="N164" s="437"/>
      <c r="O164" s="437"/>
      <c r="P164" s="161"/>
    </row>
    <row r="165" spans="1:16" s="34" customFormat="1" ht="72.75" customHeight="1" hidden="1">
      <c r="A165" s="166" t="s">
        <v>176</v>
      </c>
      <c r="B165" s="79" t="s">
        <v>70</v>
      </c>
      <c r="C165" s="79" t="s">
        <v>68</v>
      </c>
      <c r="D165" s="28" t="s">
        <v>82</v>
      </c>
      <c r="E165" s="164" t="s">
        <v>634</v>
      </c>
      <c r="F165" s="84" t="s">
        <v>472</v>
      </c>
      <c r="G165" s="46">
        <f t="shared" si="10"/>
        <v>0</v>
      </c>
      <c r="H165" s="60">
        <v>0</v>
      </c>
      <c r="I165" s="31">
        <f>4800000-4800000</f>
        <v>0</v>
      </c>
      <c r="J165" s="31">
        <f>4800000-4800000</f>
        <v>0</v>
      </c>
      <c r="K165" s="234"/>
      <c r="L165" s="235"/>
      <c r="M165" s="234"/>
      <c r="N165" s="437"/>
      <c r="O165" s="437"/>
      <c r="P165" s="161"/>
    </row>
    <row r="166" spans="1:15" s="48" customFormat="1" ht="54.75" customHeight="1">
      <c r="A166" s="37" t="s">
        <v>358</v>
      </c>
      <c r="B166" s="37"/>
      <c r="C166" s="37"/>
      <c r="D166" s="374" t="s">
        <v>317</v>
      </c>
      <c r="E166" s="375"/>
      <c r="F166" s="47" t="s">
        <v>421</v>
      </c>
      <c r="G166" s="40">
        <f>H166+I166</f>
        <v>178770</v>
      </c>
      <c r="H166" s="40">
        <f>SUM(H167)</f>
        <v>178770</v>
      </c>
      <c r="I166" s="40">
        <f>SUM(I167)</f>
        <v>0</v>
      </c>
      <c r="J166" s="40">
        <f>SUM(J167)</f>
        <v>0</v>
      </c>
      <c r="K166" s="486"/>
      <c r="L166" s="486"/>
      <c r="M166" s="486"/>
      <c r="N166" s="438"/>
      <c r="O166" s="438"/>
    </row>
    <row r="167" spans="1:16" s="33" customFormat="1" ht="102" customHeight="1">
      <c r="A167" s="44" t="s">
        <v>416</v>
      </c>
      <c r="B167" s="44" t="s">
        <v>296</v>
      </c>
      <c r="C167" s="44" t="s">
        <v>252</v>
      </c>
      <c r="D167" s="45" t="s">
        <v>605</v>
      </c>
      <c r="E167" s="43" t="s">
        <v>96</v>
      </c>
      <c r="F167" s="43" t="s">
        <v>462</v>
      </c>
      <c r="G167" s="46">
        <f>H167+I167</f>
        <v>178770</v>
      </c>
      <c r="H167" s="36">
        <f>265200-144900+58470</f>
        <v>178770</v>
      </c>
      <c r="I167" s="32">
        <v>0</v>
      </c>
      <c r="J167" s="32">
        <v>0</v>
      </c>
      <c r="K167" s="236"/>
      <c r="L167" s="236"/>
      <c r="M167" s="234"/>
      <c r="N167" s="437"/>
      <c r="O167" s="437"/>
      <c r="P167" s="162"/>
    </row>
    <row r="168" spans="1:16" s="34" customFormat="1" ht="39.75" customHeight="1">
      <c r="A168" s="54" t="s">
        <v>372</v>
      </c>
      <c r="B168" s="53"/>
      <c r="C168" s="53"/>
      <c r="D168" s="295" t="s">
        <v>285</v>
      </c>
      <c r="E168" s="296"/>
      <c r="F168" s="55" t="s">
        <v>421</v>
      </c>
      <c r="G168" s="58">
        <f>G169</f>
        <v>7733350</v>
      </c>
      <c r="H168" s="58">
        <f>H169</f>
        <v>7733350</v>
      </c>
      <c r="I168" s="58">
        <f>I169</f>
        <v>0</v>
      </c>
      <c r="J168" s="58">
        <f>J169</f>
        <v>0</v>
      </c>
      <c r="K168" s="234"/>
      <c r="L168" s="235"/>
      <c r="M168" s="234"/>
      <c r="N168" s="437"/>
      <c r="O168" s="437"/>
      <c r="P168" s="161"/>
    </row>
    <row r="169" spans="1:16" s="42" customFormat="1" ht="39" customHeight="1">
      <c r="A169" s="38" t="s">
        <v>373</v>
      </c>
      <c r="B169" s="37"/>
      <c r="C169" s="37"/>
      <c r="D169" s="297" t="s">
        <v>311</v>
      </c>
      <c r="E169" s="298"/>
      <c r="F169" s="39" t="s">
        <v>421</v>
      </c>
      <c r="G169" s="51">
        <f aca="true" t="shared" si="11" ref="G169:G174">H169+I169</f>
        <v>7733350</v>
      </c>
      <c r="H169" s="51">
        <f>SUM(H170+H171+H172+H173+H174)</f>
        <v>7733350</v>
      </c>
      <c r="I169" s="51">
        <f>SUM(I170+I171+I172+I173+I174)</f>
        <v>0</v>
      </c>
      <c r="J169" s="51">
        <f>SUM(J170+J171+J172+J173+J174)</f>
        <v>0</v>
      </c>
      <c r="K169" s="487"/>
      <c r="L169" s="487"/>
      <c r="M169" s="487"/>
      <c r="N169" s="438"/>
      <c r="O169" s="438"/>
      <c r="P169" s="156"/>
    </row>
    <row r="170" spans="1:16" s="33" customFormat="1" ht="93" customHeight="1">
      <c r="A170" s="44" t="s">
        <v>417</v>
      </c>
      <c r="B170" s="44" t="s">
        <v>296</v>
      </c>
      <c r="C170" s="44" t="s">
        <v>252</v>
      </c>
      <c r="D170" s="45" t="s">
        <v>605</v>
      </c>
      <c r="E170" s="43" t="s">
        <v>96</v>
      </c>
      <c r="F170" s="43" t="s">
        <v>462</v>
      </c>
      <c r="G170" s="30">
        <f t="shared" si="11"/>
        <v>152500</v>
      </c>
      <c r="H170" s="36">
        <f>321000-228500+60000</f>
        <v>152500</v>
      </c>
      <c r="I170" s="32">
        <v>0</v>
      </c>
      <c r="J170" s="32">
        <v>0</v>
      </c>
      <c r="K170" s="236"/>
      <c r="L170" s="236"/>
      <c r="M170" s="234"/>
      <c r="N170" s="437"/>
      <c r="O170" s="437"/>
      <c r="P170" s="162"/>
    </row>
    <row r="171" spans="1:16" s="247" customFormat="1" ht="168.75" customHeight="1">
      <c r="A171" s="27" t="s">
        <v>374</v>
      </c>
      <c r="B171" s="26" t="s">
        <v>375</v>
      </c>
      <c r="C171" s="26" t="s">
        <v>261</v>
      </c>
      <c r="D171" s="110" t="s">
        <v>644</v>
      </c>
      <c r="E171" s="354" t="s">
        <v>484</v>
      </c>
      <c r="F171" s="355" t="s">
        <v>485</v>
      </c>
      <c r="G171" s="160">
        <f t="shared" si="11"/>
        <v>7167850</v>
      </c>
      <c r="H171" s="31">
        <f>6842100+325750</f>
        <v>7167850</v>
      </c>
      <c r="I171" s="31">
        <v>0</v>
      </c>
      <c r="J171" s="31">
        <v>0</v>
      </c>
      <c r="K171" s="350"/>
      <c r="L171" s="488"/>
      <c r="M171" s="488"/>
      <c r="N171" s="489"/>
      <c r="O171" s="489"/>
      <c r="P171" s="490"/>
    </row>
    <row r="172" spans="1:16" s="247" customFormat="1" ht="70.5" customHeight="1">
      <c r="A172" s="27" t="s">
        <v>376</v>
      </c>
      <c r="B172" s="26" t="s">
        <v>377</v>
      </c>
      <c r="C172" s="26" t="s">
        <v>261</v>
      </c>
      <c r="D172" s="110" t="s">
        <v>315</v>
      </c>
      <c r="E172" s="354"/>
      <c r="F172" s="355"/>
      <c r="G172" s="160">
        <f t="shared" si="11"/>
        <v>333400</v>
      </c>
      <c r="H172" s="31">
        <v>333400</v>
      </c>
      <c r="I172" s="31">
        <v>0</v>
      </c>
      <c r="J172" s="31">
        <v>0</v>
      </c>
      <c r="K172" s="350"/>
      <c r="L172" s="491"/>
      <c r="M172" s="488"/>
      <c r="N172" s="489"/>
      <c r="O172" s="489"/>
      <c r="P172" s="490"/>
    </row>
    <row r="173" spans="1:16" s="247" customFormat="1" ht="409.5" customHeight="1" hidden="1">
      <c r="A173" s="27" t="s">
        <v>616</v>
      </c>
      <c r="B173" s="27" t="s">
        <v>617</v>
      </c>
      <c r="C173" s="27" t="s">
        <v>261</v>
      </c>
      <c r="D173" s="250" t="s">
        <v>618</v>
      </c>
      <c r="E173" s="354"/>
      <c r="F173" s="355"/>
      <c r="G173" s="160">
        <f t="shared" si="11"/>
        <v>0</v>
      </c>
      <c r="H173" s="31">
        <v>0</v>
      </c>
      <c r="I173" s="31">
        <f>302898-302898</f>
        <v>0</v>
      </c>
      <c r="J173" s="31">
        <f>302898-302898</f>
        <v>0</v>
      </c>
      <c r="K173" s="248"/>
      <c r="L173" s="491"/>
      <c r="M173" s="488"/>
      <c r="N173" s="489"/>
      <c r="O173" s="489"/>
      <c r="P173" s="490"/>
    </row>
    <row r="174" spans="1:16" s="249" customFormat="1" ht="75" customHeight="1">
      <c r="A174" s="44" t="s">
        <v>161</v>
      </c>
      <c r="B174" s="26">
        <v>3242</v>
      </c>
      <c r="C174" s="26">
        <v>1090</v>
      </c>
      <c r="D174" s="28" t="s">
        <v>141</v>
      </c>
      <c r="E174" s="289"/>
      <c r="F174" s="355"/>
      <c r="G174" s="160">
        <f t="shared" si="11"/>
        <v>79600</v>
      </c>
      <c r="H174" s="31">
        <v>79600</v>
      </c>
      <c r="I174" s="32">
        <v>0</v>
      </c>
      <c r="J174" s="32">
        <v>0</v>
      </c>
      <c r="K174" s="492"/>
      <c r="L174" s="492"/>
      <c r="M174" s="488"/>
      <c r="N174" s="489"/>
      <c r="O174" s="489"/>
      <c r="P174" s="493"/>
    </row>
    <row r="175" spans="1:16" s="34" customFormat="1" ht="44.25" customHeight="1">
      <c r="A175" s="53" t="s">
        <v>181</v>
      </c>
      <c r="B175" s="168"/>
      <c r="C175" s="54"/>
      <c r="D175" s="314" t="s">
        <v>21</v>
      </c>
      <c r="E175" s="315"/>
      <c r="F175" s="169" t="s">
        <v>421</v>
      </c>
      <c r="G175" s="56">
        <f>G176</f>
        <v>12257352</v>
      </c>
      <c r="H175" s="56">
        <f>H176</f>
        <v>10757352</v>
      </c>
      <c r="I175" s="56">
        <f>I176</f>
        <v>1500000</v>
      </c>
      <c r="J175" s="56">
        <f>J176</f>
        <v>1500000</v>
      </c>
      <c r="K175" s="234"/>
      <c r="L175" s="235"/>
      <c r="M175" s="234"/>
      <c r="N175" s="437"/>
      <c r="O175" s="437"/>
      <c r="P175" s="161"/>
    </row>
    <row r="176" spans="1:16" s="34" customFormat="1" ht="42" customHeight="1">
      <c r="A176" s="37" t="s">
        <v>182</v>
      </c>
      <c r="B176" s="170"/>
      <c r="C176" s="38"/>
      <c r="D176" s="372" t="s">
        <v>665</v>
      </c>
      <c r="E176" s="373"/>
      <c r="F176" s="39" t="s">
        <v>421</v>
      </c>
      <c r="G176" s="171">
        <f>H176+I176</f>
        <v>12257352</v>
      </c>
      <c r="H176" s="171">
        <f>SUM(H177+H178+H179+H180+H181+H182+H183+H184+H185+H186+H187+H188+H189)</f>
        <v>10757352</v>
      </c>
      <c r="I176" s="171">
        <f>SUM(I177+I178+I179+I180+I181+I182+I183+I184+I185+I186+I187+I188+I189)</f>
        <v>1500000</v>
      </c>
      <c r="J176" s="171">
        <f>SUM(J177+J178+J179+J180+J181+J182+J183+J184+J185+J186+J187+J188+J189)</f>
        <v>1500000</v>
      </c>
      <c r="K176" s="234"/>
      <c r="L176" s="234"/>
      <c r="M176" s="234"/>
      <c r="N176" s="438"/>
      <c r="O176" s="438"/>
      <c r="P176" s="161"/>
    </row>
    <row r="177" spans="1:16" s="34" customFormat="1" ht="97.5" customHeight="1">
      <c r="A177" s="27" t="s">
        <v>309</v>
      </c>
      <c r="B177" s="27" t="s">
        <v>296</v>
      </c>
      <c r="C177" s="27" t="s">
        <v>252</v>
      </c>
      <c r="D177" s="45" t="s">
        <v>605</v>
      </c>
      <c r="E177" s="43" t="s">
        <v>96</v>
      </c>
      <c r="F177" s="43" t="s">
        <v>462</v>
      </c>
      <c r="G177" s="30">
        <f>H177+I177</f>
        <v>724100</v>
      </c>
      <c r="H177" s="36">
        <f>675100+49000</f>
        <v>724100</v>
      </c>
      <c r="I177" s="32">
        <v>0</v>
      </c>
      <c r="J177" s="32">
        <v>0</v>
      </c>
      <c r="K177" s="235"/>
      <c r="L177" s="235"/>
      <c r="M177" s="234"/>
      <c r="N177" s="437"/>
      <c r="O177" s="437"/>
      <c r="P177" s="161"/>
    </row>
    <row r="178" spans="1:16" s="34" customFormat="1" ht="116.25">
      <c r="A178" s="26" t="s">
        <v>183</v>
      </c>
      <c r="B178" s="92" t="s">
        <v>352</v>
      </c>
      <c r="C178" s="26" t="s">
        <v>261</v>
      </c>
      <c r="D178" s="93" t="s">
        <v>312</v>
      </c>
      <c r="E178" s="303" t="s">
        <v>526</v>
      </c>
      <c r="F178" s="283" t="s">
        <v>339</v>
      </c>
      <c r="G178" s="152">
        <f aca="true" t="shared" si="12" ref="G178:G189">H178+I178</f>
        <v>650204</v>
      </c>
      <c r="H178" s="60">
        <f>650204</f>
        <v>650204</v>
      </c>
      <c r="I178" s="31">
        <v>0</v>
      </c>
      <c r="J178" s="31">
        <v>0</v>
      </c>
      <c r="K178" s="235"/>
      <c r="L178" s="235"/>
      <c r="M178" s="234"/>
      <c r="N178" s="437"/>
      <c r="O178" s="437"/>
      <c r="P178" s="161"/>
    </row>
    <row r="179" spans="1:16" s="34" customFormat="1" ht="69.75">
      <c r="A179" s="26" t="s">
        <v>184</v>
      </c>
      <c r="B179" s="92">
        <v>3242</v>
      </c>
      <c r="C179" s="26" t="s">
        <v>185</v>
      </c>
      <c r="D179" s="172" t="s">
        <v>141</v>
      </c>
      <c r="E179" s="304"/>
      <c r="F179" s="283"/>
      <c r="G179" s="152">
        <f t="shared" si="12"/>
        <v>336391</v>
      </c>
      <c r="H179" s="60">
        <f>336391</f>
        <v>336391</v>
      </c>
      <c r="I179" s="31">
        <v>0</v>
      </c>
      <c r="J179" s="31">
        <v>0</v>
      </c>
      <c r="K179" s="235"/>
      <c r="L179" s="235"/>
      <c r="M179" s="234"/>
      <c r="N179" s="437"/>
      <c r="O179" s="437"/>
      <c r="P179" s="161"/>
    </row>
    <row r="180" spans="1:16" s="34" customFormat="1" ht="102" customHeight="1" hidden="1">
      <c r="A180" s="27" t="s">
        <v>9</v>
      </c>
      <c r="B180" s="92">
        <v>5011</v>
      </c>
      <c r="C180" s="27" t="s">
        <v>262</v>
      </c>
      <c r="D180" s="172" t="s">
        <v>319</v>
      </c>
      <c r="E180" s="173"/>
      <c r="F180" s="61"/>
      <c r="G180" s="152">
        <f t="shared" si="12"/>
        <v>0</v>
      </c>
      <c r="H180" s="60">
        <f>45790-45790</f>
        <v>0</v>
      </c>
      <c r="I180" s="31"/>
      <c r="J180" s="31"/>
      <c r="K180" s="234"/>
      <c r="L180" s="235"/>
      <c r="M180" s="234"/>
      <c r="N180" s="437"/>
      <c r="O180" s="437"/>
      <c r="P180" s="161"/>
    </row>
    <row r="181" spans="1:16" s="34" customFormat="1" ht="104.25" customHeight="1" hidden="1">
      <c r="A181" s="27" t="s">
        <v>10</v>
      </c>
      <c r="B181" s="92">
        <v>5012</v>
      </c>
      <c r="C181" s="27" t="s">
        <v>262</v>
      </c>
      <c r="D181" s="172" t="s">
        <v>263</v>
      </c>
      <c r="E181" s="253"/>
      <c r="F181" s="61"/>
      <c r="G181" s="152">
        <f t="shared" si="12"/>
        <v>0</v>
      </c>
      <c r="H181" s="60">
        <f>8900-8900</f>
        <v>0</v>
      </c>
      <c r="I181" s="31"/>
      <c r="J181" s="31"/>
      <c r="K181" s="235"/>
      <c r="L181" s="235"/>
      <c r="M181" s="234"/>
      <c r="N181" s="437"/>
      <c r="O181" s="437"/>
      <c r="P181" s="161"/>
    </row>
    <row r="182" spans="1:16" s="34" customFormat="1" ht="94.5" customHeight="1">
      <c r="A182" s="26" t="s">
        <v>186</v>
      </c>
      <c r="B182" s="92" t="s">
        <v>441</v>
      </c>
      <c r="C182" s="26" t="s">
        <v>262</v>
      </c>
      <c r="D182" s="93" t="s">
        <v>444</v>
      </c>
      <c r="E182" s="291" t="s">
        <v>27</v>
      </c>
      <c r="F182" s="303" t="s">
        <v>26</v>
      </c>
      <c r="G182" s="152">
        <f t="shared" si="12"/>
        <v>15246</v>
      </c>
      <c r="H182" s="52">
        <f>684958-658254-10810-648</f>
        <v>15246</v>
      </c>
      <c r="I182" s="31">
        <v>0</v>
      </c>
      <c r="J182" s="31">
        <v>0</v>
      </c>
      <c r="K182" s="235"/>
      <c r="L182" s="235"/>
      <c r="M182" s="234"/>
      <c r="N182" s="437"/>
      <c r="O182" s="437"/>
      <c r="P182" s="161"/>
    </row>
    <row r="183" spans="1:16" s="34" customFormat="1" ht="93" customHeight="1">
      <c r="A183" s="26" t="s">
        <v>187</v>
      </c>
      <c r="B183" s="92" t="s">
        <v>188</v>
      </c>
      <c r="C183" s="26" t="s">
        <v>262</v>
      </c>
      <c r="D183" s="93" t="s">
        <v>129</v>
      </c>
      <c r="E183" s="291"/>
      <c r="F183" s="380"/>
      <c r="G183" s="152">
        <f t="shared" si="12"/>
        <v>59372</v>
      </c>
      <c r="H183" s="52">
        <f>59372</f>
        <v>59372</v>
      </c>
      <c r="I183" s="31">
        <v>0</v>
      </c>
      <c r="J183" s="31">
        <v>0</v>
      </c>
      <c r="K183" s="235"/>
      <c r="L183" s="235"/>
      <c r="M183" s="234"/>
      <c r="N183" s="437"/>
      <c r="O183" s="437"/>
      <c r="P183" s="161"/>
    </row>
    <row r="184" spans="1:16" s="34" customFormat="1" ht="91.5" customHeight="1">
      <c r="A184" s="26" t="s">
        <v>189</v>
      </c>
      <c r="B184" s="92" t="s">
        <v>229</v>
      </c>
      <c r="C184" s="26" t="s">
        <v>262</v>
      </c>
      <c r="D184" s="93" t="s">
        <v>230</v>
      </c>
      <c r="E184" s="291"/>
      <c r="F184" s="380"/>
      <c r="G184" s="152">
        <f t="shared" si="12"/>
        <v>1801091</v>
      </c>
      <c r="H184" s="52">
        <f>28360922-24027971-3684756-2026+49922</f>
        <v>696091</v>
      </c>
      <c r="I184" s="31">
        <f>1105000</f>
        <v>1105000</v>
      </c>
      <c r="J184" s="31">
        <f>I184</f>
        <v>1105000</v>
      </c>
      <c r="K184" s="235"/>
      <c r="L184" s="235"/>
      <c r="M184" s="234"/>
      <c r="N184" s="437"/>
      <c r="O184" s="437"/>
      <c r="P184" s="161"/>
    </row>
    <row r="185" spans="1:16" s="34" customFormat="1" ht="97.5" customHeight="1">
      <c r="A185" s="26" t="s">
        <v>190</v>
      </c>
      <c r="B185" s="92" t="s">
        <v>449</v>
      </c>
      <c r="C185" s="26" t="s">
        <v>262</v>
      </c>
      <c r="D185" s="93" t="s">
        <v>450</v>
      </c>
      <c r="E185" s="292"/>
      <c r="F185" s="304"/>
      <c r="G185" s="152">
        <f t="shared" si="12"/>
        <v>4734000</v>
      </c>
      <c r="H185" s="52">
        <f>4734000</f>
        <v>4734000</v>
      </c>
      <c r="I185" s="31">
        <v>0</v>
      </c>
      <c r="J185" s="31">
        <v>0</v>
      </c>
      <c r="K185" s="235"/>
      <c r="L185" s="235"/>
      <c r="M185" s="234"/>
      <c r="N185" s="437"/>
      <c r="O185" s="437"/>
      <c r="P185" s="161"/>
    </row>
    <row r="186" spans="1:16" s="34" customFormat="1" ht="116.25" customHeight="1">
      <c r="A186" s="325" t="s">
        <v>191</v>
      </c>
      <c r="B186" s="368" t="s">
        <v>192</v>
      </c>
      <c r="C186" s="325" t="s">
        <v>262</v>
      </c>
      <c r="D186" s="376" t="s">
        <v>321</v>
      </c>
      <c r="E186" s="288" t="s">
        <v>27</v>
      </c>
      <c r="F186" s="303" t="s">
        <v>26</v>
      </c>
      <c r="G186" s="370">
        <f t="shared" si="12"/>
        <v>1700894</v>
      </c>
      <c r="H186" s="309">
        <f>2421269-682646-33434-4295</f>
        <v>1700894</v>
      </c>
      <c r="I186" s="309">
        <v>0</v>
      </c>
      <c r="J186" s="309">
        <v>0</v>
      </c>
      <c r="K186" s="235"/>
      <c r="L186" s="235"/>
      <c r="M186" s="234"/>
      <c r="N186" s="437"/>
      <c r="O186" s="437"/>
      <c r="P186" s="161"/>
    </row>
    <row r="187" spans="1:16" s="34" customFormat="1" ht="33.75" customHeight="1">
      <c r="A187" s="327"/>
      <c r="B187" s="369"/>
      <c r="C187" s="327"/>
      <c r="D187" s="377"/>
      <c r="E187" s="289"/>
      <c r="F187" s="304"/>
      <c r="G187" s="371"/>
      <c r="H187" s="310"/>
      <c r="I187" s="310"/>
      <c r="J187" s="310"/>
      <c r="K187" s="235"/>
      <c r="L187" s="235"/>
      <c r="M187" s="234"/>
      <c r="N187" s="437"/>
      <c r="O187" s="437"/>
      <c r="P187" s="161"/>
    </row>
    <row r="188" spans="1:16" s="34" customFormat="1" ht="100.5" customHeight="1">
      <c r="A188" s="26" t="s">
        <v>193</v>
      </c>
      <c r="B188" s="92" t="s">
        <v>194</v>
      </c>
      <c r="C188" s="26" t="s">
        <v>262</v>
      </c>
      <c r="D188" s="93" t="s">
        <v>447</v>
      </c>
      <c r="E188" s="88" t="s">
        <v>27</v>
      </c>
      <c r="F188" s="61" t="s">
        <v>26</v>
      </c>
      <c r="G188" s="152">
        <f t="shared" si="12"/>
        <v>2236054</v>
      </c>
      <c r="H188" s="52">
        <f>1841054</f>
        <v>1841054</v>
      </c>
      <c r="I188" s="31">
        <f>395000</f>
        <v>395000</v>
      </c>
      <c r="J188" s="31">
        <f>395000</f>
        <v>395000</v>
      </c>
      <c r="K188" s="235"/>
      <c r="L188" s="235"/>
      <c r="M188" s="234"/>
      <c r="N188" s="437"/>
      <c r="O188" s="437"/>
      <c r="P188" s="161"/>
    </row>
    <row r="189" spans="1:16" s="34" customFormat="1" ht="105" customHeight="1" hidden="1">
      <c r="A189" s="26" t="s">
        <v>24</v>
      </c>
      <c r="B189" s="92" t="s">
        <v>25</v>
      </c>
      <c r="C189" s="26" t="s">
        <v>299</v>
      </c>
      <c r="D189" s="93" t="s">
        <v>114</v>
      </c>
      <c r="E189" s="88" t="s">
        <v>27</v>
      </c>
      <c r="F189" s="61" t="s">
        <v>26</v>
      </c>
      <c r="G189" s="152">
        <f t="shared" si="12"/>
        <v>0</v>
      </c>
      <c r="H189" s="52"/>
      <c r="I189" s="31"/>
      <c r="J189" s="31">
        <f>I189</f>
        <v>0</v>
      </c>
      <c r="K189" s="234"/>
      <c r="L189" s="235"/>
      <c r="M189" s="234"/>
      <c r="N189" s="437"/>
      <c r="O189" s="437"/>
      <c r="P189" s="161"/>
    </row>
    <row r="190" spans="1:16" s="34" customFormat="1" ht="42" customHeight="1">
      <c r="A190" s="54" t="s">
        <v>379</v>
      </c>
      <c r="B190" s="53"/>
      <c r="C190" s="53"/>
      <c r="D190" s="295" t="s">
        <v>293</v>
      </c>
      <c r="E190" s="296"/>
      <c r="F190" s="55" t="s">
        <v>421</v>
      </c>
      <c r="G190" s="58">
        <f>G191</f>
        <v>677658967.6</v>
      </c>
      <c r="H190" s="58">
        <f>H191</f>
        <v>314697925.6</v>
      </c>
      <c r="I190" s="58">
        <f>I191</f>
        <v>362961042</v>
      </c>
      <c r="J190" s="58">
        <f>J191</f>
        <v>336961042</v>
      </c>
      <c r="K190" s="234"/>
      <c r="L190" s="235"/>
      <c r="M190" s="234"/>
      <c r="N190" s="437"/>
      <c r="O190" s="437"/>
      <c r="P190" s="161"/>
    </row>
    <row r="191" spans="1:16" s="34" customFormat="1" ht="67.5" customHeight="1">
      <c r="A191" s="38" t="s">
        <v>380</v>
      </c>
      <c r="B191" s="37"/>
      <c r="C191" s="37"/>
      <c r="D191" s="297" t="s">
        <v>294</v>
      </c>
      <c r="E191" s="298"/>
      <c r="F191" s="39" t="s">
        <v>421</v>
      </c>
      <c r="G191" s="174">
        <f>G192+G193+G194+G195+G196+G198+G202+G207+G208+G211+G213+G214+G215+G216+G218+G219+G220+G221+G222+G223+G224+G225+G227+G229+G231+G232+G234+G235+G239+G240+G242+G243+G246+G247+G248+G249+G250+G251+G252+G253+G257+G258+G259+G260</f>
        <v>677658967.6</v>
      </c>
      <c r="H191" s="174">
        <f>H192+H193+H194+H195+H196+H198+H202+H207+H208+H211+H213+H214+H215+H216+H218+H219+H220+H221+H222+H223+H224+H225+H227+H229+H231+H232+H234+H235+H239+H240+H242+H243+H246+H247+H248+H249+H250+H251+H252+H253+H257+H258+H259+H260</f>
        <v>314697925.6</v>
      </c>
      <c r="I191" s="174">
        <f>I192+I193+I194+I195+I196+I198+I202+I207+I208+I211+I213+I214+I215+I216+I218+I219+I220+I221+I222+I223+I224+I225+I227+I229+I231+I232+I234+I235+I239+I240+I242+I243+I246+I247+I248+I249+I250+I251+I252+I253+I257+I258+I259+I260</f>
        <v>362961042</v>
      </c>
      <c r="J191" s="174">
        <f>J192+J193+J194+J195+J196+J198+J202+J207+J208+J211+J213+J214+J215+J216+J218+J219+J220+J221+J222+J223+J224+J225+J227+J229+J231+J232+J234+J235+J239+J240+J242+J243+J246+J247+J248+J249+J250+J251+J252+J253+J257+J258+J259+J260</f>
        <v>336961042</v>
      </c>
      <c r="K191" s="234"/>
      <c r="L191" s="234"/>
      <c r="M191" s="234"/>
      <c r="N191" s="438"/>
      <c r="O191" s="438"/>
      <c r="P191" s="161"/>
    </row>
    <row r="192" spans="1:16" s="34" customFormat="1" ht="97.5" customHeight="1">
      <c r="A192" s="49">
        <v>1510180</v>
      </c>
      <c r="B192" s="44" t="s">
        <v>296</v>
      </c>
      <c r="C192" s="44" t="s">
        <v>252</v>
      </c>
      <c r="D192" s="28" t="s">
        <v>605</v>
      </c>
      <c r="E192" s="43" t="s">
        <v>97</v>
      </c>
      <c r="F192" s="43" t="s">
        <v>462</v>
      </c>
      <c r="G192" s="50">
        <f>H192+I192</f>
        <v>490400</v>
      </c>
      <c r="H192" s="36">
        <f>729700-416300+49000+79000+49000</f>
        <v>490400</v>
      </c>
      <c r="I192" s="32">
        <v>0</v>
      </c>
      <c r="J192" s="32">
        <v>0</v>
      </c>
      <c r="K192" s="234"/>
      <c r="L192" s="234"/>
      <c r="M192" s="234"/>
      <c r="N192" s="437"/>
      <c r="O192" s="437"/>
      <c r="P192" s="161"/>
    </row>
    <row r="193" spans="1:16" s="34" customFormat="1" ht="56.25" customHeight="1">
      <c r="A193" s="26">
        <v>1513210</v>
      </c>
      <c r="B193" s="26">
        <v>3210</v>
      </c>
      <c r="C193" s="26" t="s">
        <v>253</v>
      </c>
      <c r="D193" s="28" t="s">
        <v>254</v>
      </c>
      <c r="E193" s="529" t="s">
        <v>606</v>
      </c>
      <c r="F193" s="25" t="s">
        <v>30</v>
      </c>
      <c r="G193" s="50">
        <f>H193+I193</f>
        <v>320000</v>
      </c>
      <c r="H193" s="32">
        <v>320000</v>
      </c>
      <c r="I193" s="31">
        <v>0</v>
      </c>
      <c r="J193" s="32">
        <f>I193</f>
        <v>0</v>
      </c>
      <c r="K193" s="235"/>
      <c r="L193" s="235"/>
      <c r="M193" s="235"/>
      <c r="N193" s="437"/>
      <c r="O193" s="437"/>
      <c r="P193" s="161"/>
    </row>
    <row r="194" spans="1:16" s="34" customFormat="1" ht="76.5" customHeight="1">
      <c r="A194" s="27" t="s">
        <v>564</v>
      </c>
      <c r="B194" s="27" t="s">
        <v>140</v>
      </c>
      <c r="C194" s="27" t="s">
        <v>185</v>
      </c>
      <c r="D194" s="28" t="s">
        <v>141</v>
      </c>
      <c r="E194" s="81" t="s">
        <v>606</v>
      </c>
      <c r="F194" s="25" t="s">
        <v>18</v>
      </c>
      <c r="G194" s="152">
        <f>H194+I194</f>
        <v>7500000</v>
      </c>
      <c r="H194" s="32">
        <v>7500000</v>
      </c>
      <c r="I194" s="60">
        <v>0</v>
      </c>
      <c r="J194" s="32">
        <f>I194</f>
        <v>0</v>
      </c>
      <c r="K194" s="234"/>
      <c r="L194" s="234"/>
      <c r="M194" s="234"/>
      <c r="N194" s="437"/>
      <c r="O194" s="437"/>
      <c r="P194" s="161"/>
    </row>
    <row r="195" spans="1:16" s="34" customFormat="1" ht="96.75" customHeight="1">
      <c r="A195" s="27" t="s">
        <v>451</v>
      </c>
      <c r="B195" s="27" t="s">
        <v>442</v>
      </c>
      <c r="C195" s="44" t="s">
        <v>262</v>
      </c>
      <c r="D195" s="86" t="s">
        <v>445</v>
      </c>
      <c r="E195" s="84" t="s">
        <v>598</v>
      </c>
      <c r="F195" s="84" t="s">
        <v>344</v>
      </c>
      <c r="G195" s="50">
        <f aca="true" t="shared" si="13" ref="G195:G201">H195+I195</f>
        <v>8200000</v>
      </c>
      <c r="H195" s="32">
        <v>8200000</v>
      </c>
      <c r="I195" s="31">
        <v>0</v>
      </c>
      <c r="J195" s="32">
        <f aca="true" t="shared" si="14" ref="J195:J258">I195</f>
        <v>0</v>
      </c>
      <c r="K195" s="234"/>
      <c r="L195" s="235"/>
      <c r="M195" s="234"/>
      <c r="N195" s="437"/>
      <c r="O195" s="437"/>
      <c r="P195" s="161"/>
    </row>
    <row r="196" spans="1:16" s="34" customFormat="1" ht="177" customHeight="1" hidden="1">
      <c r="A196" s="27" t="s">
        <v>225</v>
      </c>
      <c r="B196" s="27" t="s">
        <v>226</v>
      </c>
      <c r="C196" s="44" t="s">
        <v>262</v>
      </c>
      <c r="D196" s="175" t="s">
        <v>227</v>
      </c>
      <c r="E196" s="111" t="s">
        <v>559</v>
      </c>
      <c r="F196" s="84" t="s">
        <v>34</v>
      </c>
      <c r="G196" s="50">
        <f t="shared" si="13"/>
        <v>0</v>
      </c>
      <c r="H196" s="32">
        <v>0</v>
      </c>
      <c r="I196" s="31"/>
      <c r="J196" s="32">
        <f t="shared" si="14"/>
        <v>0</v>
      </c>
      <c r="K196" s="234"/>
      <c r="L196" s="235"/>
      <c r="M196" s="235"/>
      <c r="N196" s="437"/>
      <c r="O196" s="437"/>
      <c r="P196" s="161"/>
    </row>
    <row r="197" spans="1:16" s="147" customFormat="1" ht="95.25" customHeight="1" hidden="1">
      <c r="A197" s="141"/>
      <c r="B197" s="142"/>
      <c r="C197" s="142"/>
      <c r="D197" s="143" t="s">
        <v>443</v>
      </c>
      <c r="E197" s="144"/>
      <c r="F197" s="144"/>
      <c r="G197" s="145">
        <f>H197+I197</f>
        <v>0</v>
      </c>
      <c r="H197" s="146"/>
      <c r="I197" s="99"/>
      <c r="J197" s="99">
        <f>I197</f>
        <v>0</v>
      </c>
      <c r="K197" s="482"/>
      <c r="L197" s="482"/>
      <c r="M197" s="482"/>
      <c r="N197" s="483"/>
      <c r="O197" s="483"/>
      <c r="P197" s="484"/>
    </row>
    <row r="198" spans="1:16" s="34" customFormat="1" ht="105" customHeight="1">
      <c r="A198" s="81" t="s">
        <v>554</v>
      </c>
      <c r="B198" s="27" t="s">
        <v>555</v>
      </c>
      <c r="C198" s="44" t="s">
        <v>262</v>
      </c>
      <c r="D198" s="175" t="s">
        <v>556</v>
      </c>
      <c r="E198" s="43" t="s">
        <v>505</v>
      </c>
      <c r="F198" s="84" t="s">
        <v>279</v>
      </c>
      <c r="G198" s="50">
        <f t="shared" si="13"/>
        <v>78038803</v>
      </c>
      <c r="H198" s="32">
        <v>0</v>
      </c>
      <c r="I198" s="31">
        <f>470000+I199</f>
        <v>78038803</v>
      </c>
      <c r="J198" s="32">
        <f t="shared" si="14"/>
        <v>78038803</v>
      </c>
      <c r="K198" s="234"/>
      <c r="L198" s="235"/>
      <c r="M198" s="235"/>
      <c r="N198" s="437"/>
      <c r="O198" s="437"/>
      <c r="P198" s="161"/>
    </row>
    <row r="199" spans="1:16" s="545" customFormat="1" ht="95.25" customHeight="1">
      <c r="A199" s="534"/>
      <c r="B199" s="535"/>
      <c r="C199" s="535"/>
      <c r="D199" s="536" t="s">
        <v>443</v>
      </c>
      <c r="E199" s="537"/>
      <c r="F199" s="537"/>
      <c r="G199" s="538">
        <f>H199+I199</f>
        <v>77568803</v>
      </c>
      <c r="H199" s="539"/>
      <c r="I199" s="540">
        <v>77568803</v>
      </c>
      <c r="J199" s="540">
        <f>I199</f>
        <v>77568803</v>
      </c>
      <c r="K199" s="544"/>
      <c r="L199" s="544"/>
      <c r="M199" s="544"/>
      <c r="N199" s="546"/>
      <c r="O199" s="546"/>
      <c r="P199" s="544"/>
    </row>
    <row r="200" spans="1:16" s="263" customFormat="1" ht="87.75" customHeight="1" hidden="1">
      <c r="A200" s="256">
        <v>1516011</v>
      </c>
      <c r="B200" s="257">
        <v>6011</v>
      </c>
      <c r="C200" s="257" t="s">
        <v>68</v>
      </c>
      <c r="D200" s="258" t="s">
        <v>397</v>
      </c>
      <c r="E200" s="259" t="s">
        <v>216</v>
      </c>
      <c r="F200" s="259" t="s">
        <v>0</v>
      </c>
      <c r="G200" s="260">
        <f t="shared" si="13"/>
        <v>0</v>
      </c>
      <c r="H200" s="261">
        <v>0</v>
      </c>
      <c r="I200" s="262">
        <f>1000000-1000000</f>
        <v>0</v>
      </c>
      <c r="J200" s="262">
        <f t="shared" si="14"/>
        <v>0</v>
      </c>
      <c r="K200" s="495"/>
      <c r="L200" s="495"/>
      <c r="M200" s="495"/>
      <c r="N200" s="496"/>
      <c r="O200" s="496"/>
      <c r="P200" s="497"/>
    </row>
    <row r="201" spans="1:16" s="271" customFormat="1" ht="76.5" customHeight="1" hidden="1">
      <c r="A201" s="264"/>
      <c r="B201" s="265"/>
      <c r="C201" s="265"/>
      <c r="D201" s="266" t="s">
        <v>162</v>
      </c>
      <c r="E201" s="267"/>
      <c r="F201" s="267"/>
      <c r="G201" s="268">
        <f t="shared" si="13"/>
        <v>0</v>
      </c>
      <c r="H201" s="269"/>
      <c r="I201" s="270"/>
      <c r="J201" s="262">
        <f t="shared" si="14"/>
        <v>0</v>
      </c>
      <c r="K201" s="498"/>
      <c r="L201" s="498"/>
      <c r="M201" s="498"/>
      <c r="N201" s="496"/>
      <c r="O201" s="496"/>
      <c r="P201" s="498"/>
    </row>
    <row r="202" spans="1:16" s="263" customFormat="1" ht="88.5" customHeight="1" hidden="1">
      <c r="A202" s="256">
        <v>1516011</v>
      </c>
      <c r="B202" s="257">
        <v>6011</v>
      </c>
      <c r="C202" s="257" t="s">
        <v>68</v>
      </c>
      <c r="D202" s="272" t="s">
        <v>397</v>
      </c>
      <c r="E202" s="273" t="s">
        <v>215</v>
      </c>
      <c r="F202" s="273" t="s">
        <v>4</v>
      </c>
      <c r="G202" s="260">
        <f aca="true" t="shared" si="15" ref="G202:G231">H202+I202</f>
        <v>0</v>
      </c>
      <c r="H202" s="261">
        <v>0</v>
      </c>
      <c r="I202" s="262"/>
      <c r="J202" s="262">
        <f t="shared" si="14"/>
        <v>0</v>
      </c>
      <c r="K202" s="499"/>
      <c r="L202" s="499"/>
      <c r="M202" s="499"/>
      <c r="N202" s="496"/>
      <c r="O202" s="496"/>
      <c r="P202" s="497"/>
    </row>
    <row r="203" spans="1:16" s="263" customFormat="1" ht="117" customHeight="1" hidden="1">
      <c r="A203" s="257" t="s">
        <v>636</v>
      </c>
      <c r="B203" s="257" t="s">
        <v>637</v>
      </c>
      <c r="C203" s="257" t="s">
        <v>255</v>
      </c>
      <c r="D203" s="274" t="s">
        <v>638</v>
      </c>
      <c r="E203" s="273" t="s">
        <v>216</v>
      </c>
      <c r="F203" s="273" t="s">
        <v>1</v>
      </c>
      <c r="G203" s="260">
        <f t="shared" si="15"/>
        <v>0</v>
      </c>
      <c r="H203" s="261"/>
      <c r="I203" s="262"/>
      <c r="J203" s="262">
        <f t="shared" si="14"/>
        <v>0</v>
      </c>
      <c r="K203" s="499"/>
      <c r="L203" s="499"/>
      <c r="M203" s="499"/>
      <c r="N203" s="496"/>
      <c r="O203" s="496"/>
      <c r="P203" s="500"/>
    </row>
    <row r="204" spans="1:16" s="271" customFormat="1" ht="75" customHeight="1" hidden="1">
      <c r="A204" s="264"/>
      <c r="B204" s="265"/>
      <c r="C204" s="265"/>
      <c r="D204" s="266" t="s">
        <v>162</v>
      </c>
      <c r="E204" s="267"/>
      <c r="F204" s="267"/>
      <c r="G204" s="268">
        <f>H204+I204</f>
        <v>0</v>
      </c>
      <c r="H204" s="269"/>
      <c r="I204" s="270"/>
      <c r="J204" s="262">
        <f t="shared" si="14"/>
        <v>0</v>
      </c>
      <c r="K204" s="498"/>
      <c r="L204" s="498"/>
      <c r="M204" s="498"/>
      <c r="N204" s="496"/>
      <c r="O204" s="496"/>
      <c r="P204" s="498"/>
    </row>
    <row r="205" spans="1:16" s="263" customFormat="1" ht="103.5" customHeight="1" hidden="1">
      <c r="A205" s="256">
        <v>1516015</v>
      </c>
      <c r="B205" s="257">
        <v>6015</v>
      </c>
      <c r="C205" s="257" t="s">
        <v>255</v>
      </c>
      <c r="D205" s="274" t="s">
        <v>246</v>
      </c>
      <c r="E205" s="273" t="s">
        <v>216</v>
      </c>
      <c r="F205" s="273" t="s">
        <v>345</v>
      </c>
      <c r="G205" s="260">
        <f t="shared" si="15"/>
        <v>0</v>
      </c>
      <c r="H205" s="261"/>
      <c r="I205" s="262"/>
      <c r="J205" s="262">
        <f t="shared" si="14"/>
        <v>0</v>
      </c>
      <c r="K205" s="499"/>
      <c r="L205" s="499"/>
      <c r="M205" s="499"/>
      <c r="N205" s="496"/>
      <c r="O205" s="496"/>
      <c r="P205" s="500"/>
    </row>
    <row r="206" spans="1:16" s="271" customFormat="1" ht="78" customHeight="1" hidden="1">
      <c r="A206" s="264"/>
      <c r="B206" s="265"/>
      <c r="C206" s="265"/>
      <c r="D206" s="266" t="s">
        <v>162</v>
      </c>
      <c r="E206" s="267"/>
      <c r="F206" s="267"/>
      <c r="G206" s="268">
        <f t="shared" si="15"/>
        <v>0</v>
      </c>
      <c r="H206" s="269"/>
      <c r="I206" s="270"/>
      <c r="J206" s="262">
        <f t="shared" si="14"/>
        <v>0</v>
      </c>
      <c r="K206" s="498"/>
      <c r="L206" s="498"/>
      <c r="M206" s="498"/>
      <c r="N206" s="496"/>
      <c r="O206" s="496"/>
      <c r="P206" s="498"/>
    </row>
    <row r="207" spans="1:16" s="271" customFormat="1" ht="108" customHeight="1" hidden="1">
      <c r="A207" s="275" t="s">
        <v>109</v>
      </c>
      <c r="B207" s="275" t="s">
        <v>110</v>
      </c>
      <c r="C207" s="275" t="s">
        <v>255</v>
      </c>
      <c r="D207" s="274" t="s">
        <v>111</v>
      </c>
      <c r="E207" s="276" t="s">
        <v>112</v>
      </c>
      <c r="F207" s="273" t="s">
        <v>113</v>
      </c>
      <c r="G207" s="260">
        <f>H207+I207</f>
        <v>0</v>
      </c>
      <c r="H207" s="261">
        <v>0</v>
      </c>
      <c r="I207" s="277"/>
      <c r="J207" s="262">
        <f>I207</f>
        <v>0</v>
      </c>
      <c r="K207" s="501"/>
      <c r="L207" s="498"/>
      <c r="M207" s="498"/>
      <c r="N207" s="496"/>
      <c r="O207" s="496"/>
      <c r="P207" s="498"/>
    </row>
    <row r="208" spans="1:18" s="34" customFormat="1" ht="80.25" customHeight="1">
      <c r="A208" s="26">
        <v>1516017</v>
      </c>
      <c r="B208" s="27" t="s">
        <v>501</v>
      </c>
      <c r="C208" s="27" t="s">
        <v>255</v>
      </c>
      <c r="D208" s="28" t="s">
        <v>125</v>
      </c>
      <c r="E208" s="61" t="s">
        <v>603</v>
      </c>
      <c r="F208" s="61" t="s">
        <v>281</v>
      </c>
      <c r="G208" s="152">
        <f t="shared" si="15"/>
        <v>63340963.260000005</v>
      </c>
      <c r="H208" s="151">
        <f>85700000-20000000-20000000+20000000+89250-184094.33-89250+275600-4000000-1500000+49457.59</f>
        <v>60340963.260000005</v>
      </c>
      <c r="I208" s="31">
        <v>3000000</v>
      </c>
      <c r="J208" s="32">
        <f t="shared" si="14"/>
        <v>3000000</v>
      </c>
      <c r="K208" s="502"/>
      <c r="L208" s="234"/>
      <c r="M208" s="234"/>
      <c r="N208" s="234"/>
      <c r="O208" s="437"/>
      <c r="P208" s="503"/>
      <c r="R208" s="35"/>
    </row>
    <row r="209" spans="1:16" s="101" customFormat="1" ht="88.5" customHeight="1" hidden="1">
      <c r="A209" s="100"/>
      <c r="B209" s="100"/>
      <c r="C209" s="176"/>
      <c r="D209" s="177" t="s">
        <v>23</v>
      </c>
      <c r="E209" s="178"/>
      <c r="F209" s="179"/>
      <c r="G209" s="131">
        <f t="shared" si="15"/>
        <v>0</v>
      </c>
      <c r="H209" s="132"/>
      <c r="I209" s="132"/>
      <c r="J209" s="105">
        <f t="shared" si="14"/>
        <v>0</v>
      </c>
      <c r="K209" s="452"/>
      <c r="L209" s="452"/>
      <c r="M209" s="452"/>
      <c r="N209" s="437"/>
      <c r="O209" s="437"/>
      <c r="P209" s="455"/>
    </row>
    <row r="210" spans="1:16" s="133" customFormat="1" ht="78" customHeight="1" hidden="1">
      <c r="A210" s="180"/>
      <c r="B210" s="180"/>
      <c r="C210" s="181"/>
      <c r="D210" s="96" t="s">
        <v>162</v>
      </c>
      <c r="E210" s="182"/>
      <c r="F210" s="183"/>
      <c r="G210" s="131">
        <f>H210+I210</f>
        <v>0</v>
      </c>
      <c r="H210" s="103"/>
      <c r="I210" s="98"/>
      <c r="J210" s="32">
        <f t="shared" si="14"/>
        <v>0</v>
      </c>
      <c r="K210" s="452"/>
      <c r="L210" s="453"/>
      <c r="M210" s="453"/>
      <c r="N210" s="437"/>
      <c r="O210" s="437"/>
      <c r="P210" s="475"/>
    </row>
    <row r="211" spans="1:16" s="133" customFormat="1" ht="93" customHeight="1">
      <c r="A211" s="26">
        <v>1516017</v>
      </c>
      <c r="B211" s="26">
        <v>6017</v>
      </c>
      <c r="C211" s="27" t="s">
        <v>255</v>
      </c>
      <c r="D211" s="28" t="s">
        <v>125</v>
      </c>
      <c r="E211" s="88" t="s">
        <v>215</v>
      </c>
      <c r="F211" s="61" t="s">
        <v>4</v>
      </c>
      <c r="G211" s="152">
        <f>H211+I211</f>
        <v>384094.32999999996</v>
      </c>
      <c r="H211" s="60">
        <f>184094.33+200000</f>
        <v>384094.32999999996</v>
      </c>
      <c r="I211" s="32">
        <v>0</v>
      </c>
      <c r="J211" s="32">
        <f>I211</f>
        <v>0</v>
      </c>
      <c r="K211" s="452"/>
      <c r="L211" s="453"/>
      <c r="M211" s="453"/>
      <c r="N211" s="437"/>
      <c r="O211" s="437"/>
      <c r="P211" s="475"/>
    </row>
    <row r="212" spans="1:16" s="34" customFormat="1" ht="121.5" customHeight="1" hidden="1">
      <c r="A212" s="26">
        <v>1516017</v>
      </c>
      <c r="B212" s="26">
        <v>6017</v>
      </c>
      <c r="C212" s="27" t="s">
        <v>255</v>
      </c>
      <c r="D212" s="28" t="s">
        <v>125</v>
      </c>
      <c r="E212" s="88" t="s">
        <v>217</v>
      </c>
      <c r="F212" s="61" t="s">
        <v>562</v>
      </c>
      <c r="G212" s="152">
        <f t="shared" si="15"/>
        <v>0</v>
      </c>
      <c r="H212" s="60">
        <f>8072600-8072600</f>
        <v>0</v>
      </c>
      <c r="I212" s="60">
        <v>0</v>
      </c>
      <c r="J212" s="32">
        <f t="shared" si="14"/>
        <v>0</v>
      </c>
      <c r="K212" s="235"/>
      <c r="L212" s="235"/>
      <c r="M212" s="235"/>
      <c r="N212" s="437"/>
      <c r="O212" s="437"/>
      <c r="P212" s="161"/>
    </row>
    <row r="213" spans="1:16" s="34" customFormat="1" ht="102.75" customHeight="1">
      <c r="A213" s="26">
        <v>1516017</v>
      </c>
      <c r="B213" s="26">
        <v>6017</v>
      </c>
      <c r="C213" s="27" t="s">
        <v>255</v>
      </c>
      <c r="D213" s="28" t="s">
        <v>125</v>
      </c>
      <c r="E213" s="88" t="s">
        <v>625</v>
      </c>
      <c r="F213" s="61" t="s">
        <v>558</v>
      </c>
      <c r="G213" s="152">
        <f t="shared" si="15"/>
        <v>579000</v>
      </c>
      <c r="H213" s="60">
        <f>541000+38000</f>
        <v>579000</v>
      </c>
      <c r="I213" s="60">
        <f>38000-38000</f>
        <v>0</v>
      </c>
      <c r="J213" s="32">
        <f t="shared" si="14"/>
        <v>0</v>
      </c>
      <c r="K213" s="234"/>
      <c r="L213" s="235"/>
      <c r="M213" s="235"/>
      <c r="N213" s="437"/>
      <c r="O213" s="437"/>
      <c r="P213" s="161"/>
    </row>
    <row r="214" spans="1:16" s="34" customFormat="1" ht="124.5" customHeight="1">
      <c r="A214" s="26">
        <v>1516020</v>
      </c>
      <c r="B214" s="26">
        <v>6020</v>
      </c>
      <c r="C214" s="26" t="s">
        <v>255</v>
      </c>
      <c r="D214" s="28" t="s">
        <v>398</v>
      </c>
      <c r="E214" s="61" t="s">
        <v>104</v>
      </c>
      <c r="F214" s="61" t="s">
        <v>531</v>
      </c>
      <c r="G214" s="152">
        <f t="shared" si="15"/>
        <v>7500000</v>
      </c>
      <c r="H214" s="60">
        <f>5000000+2500000</f>
        <v>7500000</v>
      </c>
      <c r="I214" s="60">
        <v>0</v>
      </c>
      <c r="J214" s="32">
        <v>0</v>
      </c>
      <c r="K214" s="234"/>
      <c r="L214" s="235"/>
      <c r="M214" s="235"/>
      <c r="N214" s="437"/>
      <c r="O214" s="437"/>
      <c r="P214" s="161"/>
    </row>
    <row r="215" spans="1:16" s="34" customFormat="1" ht="74.25" customHeight="1">
      <c r="A215" s="26">
        <v>1516030</v>
      </c>
      <c r="B215" s="26">
        <v>6030</v>
      </c>
      <c r="C215" s="26" t="s">
        <v>255</v>
      </c>
      <c r="D215" s="28" t="s">
        <v>473</v>
      </c>
      <c r="E215" s="81" t="s">
        <v>606</v>
      </c>
      <c r="F215" s="25" t="s">
        <v>30</v>
      </c>
      <c r="G215" s="152">
        <f t="shared" si="15"/>
        <v>206501613.54</v>
      </c>
      <c r="H215" s="32">
        <f>227462910+5000000-17000000-49000-6000000+5000000-2071200+241370.54+1500000+2000000-16000000-200000-199000-500000+700000</f>
        <v>199885080.54</v>
      </c>
      <c r="I215" s="151">
        <f>15273199-25000-49000-56000-500000-1000000-400000-216666-160000-2800000-500000-200000-2500000-200000-50000</f>
        <v>6616533</v>
      </c>
      <c r="J215" s="80">
        <f t="shared" si="14"/>
        <v>6616533</v>
      </c>
      <c r="K215" s="502"/>
      <c r="L215" s="234"/>
      <c r="M215" s="234"/>
      <c r="N215" s="234"/>
      <c r="O215" s="437"/>
      <c r="P215" s="161"/>
    </row>
    <row r="216" spans="1:16" s="34" customFormat="1" ht="102" customHeight="1" hidden="1">
      <c r="A216" s="26">
        <v>1516030</v>
      </c>
      <c r="B216" s="26">
        <v>6030</v>
      </c>
      <c r="C216" s="26" t="s">
        <v>255</v>
      </c>
      <c r="D216" s="28" t="s">
        <v>473</v>
      </c>
      <c r="E216" s="43"/>
      <c r="F216" s="84"/>
      <c r="G216" s="152">
        <f>H216+I216</f>
        <v>0</v>
      </c>
      <c r="H216" s="32"/>
      <c r="I216" s="151">
        <f>0+I217</f>
        <v>0</v>
      </c>
      <c r="J216" s="80">
        <f>I216</f>
        <v>0</v>
      </c>
      <c r="K216" s="502"/>
      <c r="L216" s="234"/>
      <c r="M216" s="234"/>
      <c r="N216" s="234"/>
      <c r="O216" s="437"/>
      <c r="P216" s="161"/>
    </row>
    <row r="217" spans="1:16" s="255" customFormat="1" ht="95.25" customHeight="1" hidden="1">
      <c r="A217" s="141"/>
      <c r="B217" s="142"/>
      <c r="C217" s="142"/>
      <c r="D217" s="143"/>
      <c r="E217" s="144"/>
      <c r="F217" s="144"/>
      <c r="G217" s="145"/>
      <c r="H217" s="146"/>
      <c r="I217" s="99"/>
      <c r="J217" s="99"/>
      <c r="K217" s="504"/>
      <c r="L217" s="505"/>
      <c r="M217" s="505"/>
      <c r="N217" s="506"/>
      <c r="O217" s="506"/>
      <c r="P217" s="494"/>
    </row>
    <row r="218" spans="1:16" s="263" customFormat="1" ht="93" customHeight="1" hidden="1">
      <c r="A218" s="278">
        <v>1516030</v>
      </c>
      <c r="B218" s="278">
        <v>6030</v>
      </c>
      <c r="C218" s="278" t="s">
        <v>255</v>
      </c>
      <c r="D218" s="274" t="s">
        <v>473</v>
      </c>
      <c r="E218" s="273" t="s">
        <v>507</v>
      </c>
      <c r="F218" s="259"/>
      <c r="G218" s="260">
        <f t="shared" si="15"/>
        <v>0</v>
      </c>
      <c r="H218" s="261">
        <v>0</v>
      </c>
      <c r="I218" s="261">
        <v>0</v>
      </c>
      <c r="J218" s="262">
        <f t="shared" si="14"/>
        <v>0</v>
      </c>
      <c r="K218" s="499"/>
      <c r="L218" s="499"/>
      <c r="M218" s="499"/>
      <c r="N218" s="496"/>
      <c r="O218" s="496"/>
      <c r="P218" s="500"/>
    </row>
    <row r="219" spans="1:16" s="263" customFormat="1" ht="87" customHeight="1" hidden="1">
      <c r="A219" s="278">
        <v>1516030</v>
      </c>
      <c r="B219" s="278">
        <v>6030</v>
      </c>
      <c r="C219" s="278" t="s">
        <v>255</v>
      </c>
      <c r="D219" s="274" t="s">
        <v>473</v>
      </c>
      <c r="E219" s="276" t="s">
        <v>613</v>
      </c>
      <c r="F219" s="259" t="s">
        <v>614</v>
      </c>
      <c r="G219" s="260">
        <f t="shared" si="15"/>
        <v>0</v>
      </c>
      <c r="H219" s="261">
        <v>0</v>
      </c>
      <c r="I219" s="261">
        <f>500000-500000</f>
        <v>0</v>
      </c>
      <c r="J219" s="262">
        <f t="shared" si="14"/>
        <v>0</v>
      </c>
      <c r="K219" s="499"/>
      <c r="L219" s="499"/>
      <c r="M219" s="499"/>
      <c r="N219" s="496"/>
      <c r="O219" s="496"/>
      <c r="P219" s="500"/>
    </row>
    <row r="220" spans="1:16" s="34" customFormat="1" ht="104.25" customHeight="1">
      <c r="A220" s="26">
        <v>1516030</v>
      </c>
      <c r="B220" s="26">
        <v>6030</v>
      </c>
      <c r="C220" s="26" t="s">
        <v>255</v>
      </c>
      <c r="D220" s="28" t="s">
        <v>473</v>
      </c>
      <c r="E220" s="88" t="s">
        <v>625</v>
      </c>
      <c r="F220" s="61" t="s">
        <v>558</v>
      </c>
      <c r="G220" s="152">
        <f t="shared" si="15"/>
        <v>398387.47</v>
      </c>
      <c r="H220" s="60">
        <v>398387.47</v>
      </c>
      <c r="I220" s="151">
        <v>0</v>
      </c>
      <c r="J220" s="32">
        <f t="shared" si="14"/>
        <v>0</v>
      </c>
      <c r="K220" s="235"/>
      <c r="L220" s="235"/>
      <c r="M220" s="235"/>
      <c r="N220" s="437"/>
      <c r="O220" s="437"/>
      <c r="P220" s="161"/>
    </row>
    <row r="221" spans="1:16" s="34" customFormat="1" ht="73.5" customHeight="1">
      <c r="A221" s="82" t="s">
        <v>81</v>
      </c>
      <c r="B221" s="82" t="s">
        <v>70</v>
      </c>
      <c r="C221" s="81" t="s">
        <v>68</v>
      </c>
      <c r="D221" s="184" t="s">
        <v>82</v>
      </c>
      <c r="E221" s="88" t="s">
        <v>420</v>
      </c>
      <c r="F221" s="88" t="s">
        <v>645</v>
      </c>
      <c r="G221" s="152">
        <f t="shared" si="15"/>
        <v>1750000</v>
      </c>
      <c r="H221" s="60">
        <v>1750000</v>
      </c>
      <c r="I221" s="31">
        <v>0</v>
      </c>
      <c r="J221" s="32">
        <f t="shared" si="14"/>
        <v>0</v>
      </c>
      <c r="K221" s="485"/>
      <c r="L221" s="235"/>
      <c r="M221" s="235"/>
      <c r="N221" s="437"/>
      <c r="O221" s="437"/>
      <c r="P221" s="161"/>
    </row>
    <row r="222" spans="1:16" s="34" customFormat="1" ht="99.75" customHeight="1" hidden="1">
      <c r="A222" s="81" t="s">
        <v>650</v>
      </c>
      <c r="B222" s="81" t="s">
        <v>651</v>
      </c>
      <c r="C222" s="81" t="s">
        <v>292</v>
      </c>
      <c r="D222" s="184" t="s">
        <v>386</v>
      </c>
      <c r="E222" s="106" t="s">
        <v>603</v>
      </c>
      <c r="F222" s="88" t="s">
        <v>502</v>
      </c>
      <c r="G222" s="152">
        <f t="shared" si="15"/>
        <v>0</v>
      </c>
      <c r="H222" s="60"/>
      <c r="I222" s="31">
        <v>0</v>
      </c>
      <c r="J222" s="32">
        <f t="shared" si="14"/>
        <v>0</v>
      </c>
      <c r="K222" s="234"/>
      <c r="L222" s="235"/>
      <c r="M222" s="235"/>
      <c r="N222" s="437"/>
      <c r="O222" s="437"/>
      <c r="P222" s="161"/>
    </row>
    <row r="223" spans="1:16" s="34" customFormat="1" ht="68.25" customHeight="1" hidden="1">
      <c r="A223" s="82">
        <v>1517310</v>
      </c>
      <c r="B223" s="82">
        <v>7310</v>
      </c>
      <c r="C223" s="81" t="s">
        <v>299</v>
      </c>
      <c r="D223" s="184" t="s">
        <v>108</v>
      </c>
      <c r="E223" s="81" t="s">
        <v>606</v>
      </c>
      <c r="F223" s="25" t="s">
        <v>18</v>
      </c>
      <c r="G223" s="152">
        <f>H223+I223</f>
        <v>0</v>
      </c>
      <c r="H223" s="36"/>
      <c r="I223" s="31"/>
      <c r="J223" s="32">
        <f>I223</f>
        <v>0</v>
      </c>
      <c r="K223" s="234"/>
      <c r="L223" s="234"/>
      <c r="M223" s="234"/>
      <c r="N223" s="437"/>
      <c r="O223" s="437"/>
      <c r="P223" s="161"/>
    </row>
    <row r="224" spans="1:16" s="34" customFormat="1" ht="81" customHeight="1">
      <c r="A224" s="82">
        <v>1517310</v>
      </c>
      <c r="B224" s="82">
        <v>7310</v>
      </c>
      <c r="C224" s="81" t="s">
        <v>299</v>
      </c>
      <c r="D224" s="184" t="s">
        <v>590</v>
      </c>
      <c r="E224" s="61" t="s">
        <v>603</v>
      </c>
      <c r="F224" s="61" t="s">
        <v>281</v>
      </c>
      <c r="G224" s="152">
        <f t="shared" si="15"/>
        <v>525000</v>
      </c>
      <c r="H224" s="36">
        <v>0</v>
      </c>
      <c r="I224" s="31">
        <f>25000+500000</f>
        <v>525000</v>
      </c>
      <c r="J224" s="32">
        <f t="shared" si="14"/>
        <v>525000</v>
      </c>
      <c r="K224" s="468"/>
      <c r="L224" s="438"/>
      <c r="M224" s="234"/>
      <c r="N224" s="437"/>
      <c r="O224" s="437"/>
      <c r="P224" s="161"/>
    </row>
    <row r="225" spans="1:16" s="34" customFormat="1" ht="76.5" customHeight="1">
      <c r="A225" s="82">
        <v>1517310</v>
      </c>
      <c r="B225" s="82">
        <v>7310</v>
      </c>
      <c r="C225" s="81" t="s">
        <v>299</v>
      </c>
      <c r="D225" s="184" t="s">
        <v>590</v>
      </c>
      <c r="E225" s="43" t="s">
        <v>505</v>
      </c>
      <c r="F225" s="84" t="s">
        <v>279</v>
      </c>
      <c r="G225" s="152">
        <f aca="true" t="shared" si="16" ref="G225:G230">H225+I225</f>
        <v>51847238</v>
      </c>
      <c r="H225" s="36">
        <v>0</v>
      </c>
      <c r="I225" s="31">
        <f>1822307+56000-200000+188333+188333+199000+200000+200000+1400000+I226</f>
        <v>51847238</v>
      </c>
      <c r="J225" s="32">
        <f>I225</f>
        <v>51847238</v>
      </c>
      <c r="K225" s="470"/>
      <c r="L225" s="234"/>
      <c r="M225" s="234"/>
      <c r="N225" s="437"/>
      <c r="O225" s="437"/>
      <c r="P225" s="161"/>
    </row>
    <row r="226" spans="1:16" s="545" customFormat="1" ht="95.25" customHeight="1">
      <c r="A226" s="534"/>
      <c r="B226" s="535"/>
      <c r="C226" s="535"/>
      <c r="D226" s="536" t="s">
        <v>443</v>
      </c>
      <c r="E226" s="537"/>
      <c r="F226" s="537"/>
      <c r="G226" s="538">
        <f t="shared" si="16"/>
        <v>47793265</v>
      </c>
      <c r="H226" s="539"/>
      <c r="I226" s="540">
        <v>47793265</v>
      </c>
      <c r="J226" s="540">
        <f>I226</f>
        <v>47793265</v>
      </c>
      <c r="K226" s="541"/>
      <c r="L226" s="542"/>
      <c r="M226" s="542"/>
      <c r="N226" s="543"/>
      <c r="O226" s="543"/>
      <c r="P226" s="544"/>
    </row>
    <row r="227" spans="1:16" s="34" customFormat="1" ht="72.75" customHeight="1">
      <c r="A227" s="82" t="s">
        <v>163</v>
      </c>
      <c r="B227" s="82" t="s">
        <v>164</v>
      </c>
      <c r="C227" s="81" t="s">
        <v>299</v>
      </c>
      <c r="D227" s="185" t="s">
        <v>587</v>
      </c>
      <c r="E227" s="43" t="s">
        <v>505</v>
      </c>
      <c r="F227" s="84" t="s">
        <v>279</v>
      </c>
      <c r="G227" s="152">
        <f t="shared" si="16"/>
        <v>8875379</v>
      </c>
      <c r="H227" s="36">
        <v>0</v>
      </c>
      <c r="I227" s="31">
        <f>410000+200000+50000+I228</f>
        <v>8875379</v>
      </c>
      <c r="J227" s="32">
        <f t="shared" si="14"/>
        <v>8875379</v>
      </c>
      <c r="K227" s="234"/>
      <c r="L227" s="235"/>
      <c r="M227" s="235"/>
      <c r="N227" s="437"/>
      <c r="O227" s="437"/>
      <c r="P227" s="161"/>
    </row>
    <row r="228" spans="1:16" s="545" customFormat="1" ht="95.25" customHeight="1">
      <c r="A228" s="534"/>
      <c r="B228" s="535"/>
      <c r="C228" s="535"/>
      <c r="D228" s="536" t="s">
        <v>443</v>
      </c>
      <c r="E228" s="537"/>
      <c r="F228" s="537"/>
      <c r="G228" s="538">
        <f>H228+I228</f>
        <v>8215379</v>
      </c>
      <c r="H228" s="539"/>
      <c r="I228" s="540">
        <v>8215379</v>
      </c>
      <c r="J228" s="540">
        <f>I228</f>
        <v>8215379</v>
      </c>
      <c r="K228" s="541"/>
      <c r="L228" s="542"/>
      <c r="M228" s="542"/>
      <c r="N228" s="543"/>
      <c r="O228" s="543"/>
      <c r="P228" s="544"/>
    </row>
    <row r="229" spans="1:16" s="34" customFormat="1" ht="78.75" customHeight="1">
      <c r="A229" s="82" t="s">
        <v>79</v>
      </c>
      <c r="B229" s="82" t="s">
        <v>80</v>
      </c>
      <c r="C229" s="81" t="s">
        <v>299</v>
      </c>
      <c r="D229" s="185" t="s">
        <v>589</v>
      </c>
      <c r="E229" s="43" t="s">
        <v>505</v>
      </c>
      <c r="F229" s="84" t="s">
        <v>279</v>
      </c>
      <c r="G229" s="152">
        <f t="shared" si="16"/>
        <v>3439826</v>
      </c>
      <c r="H229" s="36">
        <v>0</v>
      </c>
      <c r="I229" s="31">
        <f>0+49000+1400000+I230</f>
        <v>3439826</v>
      </c>
      <c r="J229" s="32">
        <f t="shared" si="14"/>
        <v>3439826</v>
      </c>
      <c r="K229" s="234"/>
      <c r="L229" s="235"/>
      <c r="M229" s="235"/>
      <c r="N229" s="437"/>
      <c r="O229" s="437"/>
      <c r="P229" s="161"/>
    </row>
    <row r="230" spans="1:16" s="545" customFormat="1" ht="95.25" customHeight="1">
      <c r="A230" s="534"/>
      <c r="B230" s="535"/>
      <c r="C230" s="535"/>
      <c r="D230" s="536" t="s">
        <v>443</v>
      </c>
      <c r="E230" s="537"/>
      <c r="F230" s="537"/>
      <c r="G230" s="538">
        <f t="shared" si="16"/>
        <v>1990826</v>
      </c>
      <c r="H230" s="539"/>
      <c r="I230" s="540">
        <v>1990826</v>
      </c>
      <c r="J230" s="540">
        <f>I230</f>
        <v>1990826</v>
      </c>
      <c r="K230" s="541"/>
      <c r="L230" s="542"/>
      <c r="M230" s="542"/>
      <c r="N230" s="543"/>
      <c r="O230" s="543"/>
      <c r="P230" s="544"/>
    </row>
    <row r="231" spans="1:16" s="34" customFormat="1" ht="81" customHeight="1">
      <c r="A231" s="82">
        <v>1517323</v>
      </c>
      <c r="B231" s="82">
        <v>7323</v>
      </c>
      <c r="C231" s="81" t="s">
        <v>299</v>
      </c>
      <c r="D231" s="184" t="s">
        <v>100</v>
      </c>
      <c r="E231" s="43" t="s">
        <v>505</v>
      </c>
      <c r="F231" s="84" t="s">
        <v>279</v>
      </c>
      <c r="G231" s="152">
        <f t="shared" si="15"/>
        <v>500000</v>
      </c>
      <c r="H231" s="36">
        <v>0</v>
      </c>
      <c r="I231" s="31">
        <v>500000</v>
      </c>
      <c r="J231" s="32">
        <f t="shared" si="14"/>
        <v>500000</v>
      </c>
      <c r="K231" s="235"/>
      <c r="L231" s="235"/>
      <c r="M231" s="235"/>
      <c r="N231" s="437"/>
      <c r="O231" s="437"/>
      <c r="P231" s="161"/>
    </row>
    <row r="232" spans="1:16" s="34" customFormat="1" ht="87" customHeight="1">
      <c r="A232" s="81" t="s">
        <v>653</v>
      </c>
      <c r="B232" s="81" t="s">
        <v>654</v>
      </c>
      <c r="C232" s="81" t="s">
        <v>299</v>
      </c>
      <c r="D232" s="184" t="s">
        <v>101</v>
      </c>
      <c r="E232" s="43" t="s">
        <v>505</v>
      </c>
      <c r="F232" s="84" t="s">
        <v>279</v>
      </c>
      <c r="G232" s="152">
        <f aca="true" t="shared" si="17" ref="G232:G238">H232+I232</f>
        <v>66763049</v>
      </c>
      <c r="H232" s="36">
        <v>0</v>
      </c>
      <c r="I232" s="31">
        <f>0+I233</f>
        <v>66763049</v>
      </c>
      <c r="J232" s="32">
        <f t="shared" si="14"/>
        <v>66763049</v>
      </c>
      <c r="K232" s="234"/>
      <c r="L232" s="235"/>
      <c r="M232" s="235"/>
      <c r="N232" s="437"/>
      <c r="O232" s="437"/>
      <c r="P232" s="161"/>
    </row>
    <row r="233" spans="1:16" s="545" customFormat="1" ht="95.25" customHeight="1">
      <c r="A233" s="534"/>
      <c r="B233" s="535"/>
      <c r="C233" s="535"/>
      <c r="D233" s="536" t="s">
        <v>443</v>
      </c>
      <c r="E233" s="537"/>
      <c r="F233" s="537"/>
      <c r="G233" s="538">
        <f t="shared" si="17"/>
        <v>66763049</v>
      </c>
      <c r="H233" s="539"/>
      <c r="I233" s="540">
        <v>66763049</v>
      </c>
      <c r="J233" s="540">
        <f>I233</f>
        <v>66763049</v>
      </c>
      <c r="K233" s="541"/>
      <c r="L233" s="542"/>
      <c r="M233" s="542"/>
      <c r="N233" s="543"/>
      <c r="O233" s="543"/>
      <c r="P233" s="544"/>
    </row>
    <row r="234" spans="1:16" s="186" customFormat="1" ht="84" customHeight="1">
      <c r="A234" s="82">
        <v>1517325</v>
      </c>
      <c r="B234" s="82">
        <v>7325</v>
      </c>
      <c r="C234" s="81" t="s">
        <v>299</v>
      </c>
      <c r="D234" s="184" t="s">
        <v>591</v>
      </c>
      <c r="E234" s="43" t="s">
        <v>505</v>
      </c>
      <c r="F234" s="84" t="s">
        <v>279</v>
      </c>
      <c r="G234" s="152">
        <f t="shared" si="17"/>
        <v>200000</v>
      </c>
      <c r="H234" s="36">
        <v>0</v>
      </c>
      <c r="I234" s="32">
        <v>200000</v>
      </c>
      <c r="J234" s="32">
        <f t="shared" si="14"/>
        <v>200000</v>
      </c>
      <c r="K234" s="507"/>
      <c r="L234" s="508"/>
      <c r="M234" s="508"/>
      <c r="N234" s="437"/>
      <c r="O234" s="437"/>
      <c r="P234" s="509"/>
    </row>
    <row r="235" spans="1:16" s="149" customFormat="1" ht="97.5" customHeight="1">
      <c r="A235" s="82" t="s">
        <v>121</v>
      </c>
      <c r="B235" s="139">
        <v>7366</v>
      </c>
      <c r="C235" s="187" t="s">
        <v>268</v>
      </c>
      <c r="D235" s="86" t="s">
        <v>122</v>
      </c>
      <c r="E235" s="43" t="s">
        <v>505</v>
      </c>
      <c r="F235" s="84" t="s">
        <v>279</v>
      </c>
      <c r="G235" s="188">
        <f t="shared" si="17"/>
        <v>31200000</v>
      </c>
      <c r="H235" s="189">
        <v>0</v>
      </c>
      <c r="I235" s="189">
        <f>5200000+26000000</f>
        <v>31200000</v>
      </c>
      <c r="J235" s="32">
        <v>5200000</v>
      </c>
      <c r="K235" s="510"/>
      <c r="L235" s="444"/>
      <c r="M235" s="443"/>
      <c r="N235" s="445"/>
      <c r="O235" s="445"/>
      <c r="P235" s="446"/>
    </row>
    <row r="236" spans="1:16" s="133" customFormat="1" ht="96" customHeight="1">
      <c r="A236" s="141"/>
      <c r="B236" s="142"/>
      <c r="C236" s="142"/>
      <c r="D236" s="143" t="s">
        <v>123</v>
      </c>
      <c r="E236" s="144"/>
      <c r="F236" s="130"/>
      <c r="G236" s="131">
        <f t="shared" si="17"/>
        <v>26000000</v>
      </c>
      <c r="H236" s="132"/>
      <c r="I236" s="103">
        <f>0+26000000</f>
        <v>26000000</v>
      </c>
      <c r="J236" s="32"/>
      <c r="K236" s="453"/>
      <c r="L236" s="453"/>
      <c r="M236" s="453"/>
      <c r="N236" s="437"/>
      <c r="O236" s="437"/>
      <c r="P236" s="475"/>
    </row>
    <row r="237" spans="1:16" s="33" customFormat="1" ht="96" customHeight="1" hidden="1">
      <c r="A237" s="82" t="s">
        <v>165</v>
      </c>
      <c r="B237" s="139">
        <v>7368</v>
      </c>
      <c r="C237" s="187" t="s">
        <v>268</v>
      </c>
      <c r="D237" s="86" t="s">
        <v>166</v>
      </c>
      <c r="E237" s="190" t="s">
        <v>559</v>
      </c>
      <c r="F237" s="127" t="s">
        <v>561</v>
      </c>
      <c r="G237" s="126">
        <f t="shared" si="17"/>
        <v>0</v>
      </c>
      <c r="H237" s="123"/>
      <c r="I237" s="123"/>
      <c r="J237" s="32">
        <f t="shared" si="14"/>
        <v>0</v>
      </c>
      <c r="K237" s="231"/>
      <c r="L237" s="236"/>
      <c r="M237" s="236"/>
      <c r="N237" s="437"/>
      <c r="O237" s="437"/>
      <c r="P237" s="162"/>
    </row>
    <row r="238" spans="1:16" s="133" customFormat="1" ht="192.75" customHeight="1" hidden="1">
      <c r="A238" s="141"/>
      <c r="B238" s="142"/>
      <c r="C238" s="142"/>
      <c r="D238" s="143" t="s">
        <v>175</v>
      </c>
      <c r="E238" s="144"/>
      <c r="F238" s="130"/>
      <c r="G238" s="131">
        <f t="shared" si="17"/>
        <v>0</v>
      </c>
      <c r="H238" s="132"/>
      <c r="I238" s="103"/>
      <c r="J238" s="32">
        <f t="shared" si="14"/>
        <v>0</v>
      </c>
      <c r="K238" s="453"/>
      <c r="L238" s="453"/>
      <c r="M238" s="453"/>
      <c r="N238" s="437"/>
      <c r="O238" s="437"/>
      <c r="P238" s="475"/>
    </row>
    <row r="239" spans="1:16" s="34" customFormat="1" ht="116.25">
      <c r="A239" s="82">
        <v>1517461</v>
      </c>
      <c r="B239" s="82">
        <v>7461</v>
      </c>
      <c r="C239" s="81" t="s">
        <v>295</v>
      </c>
      <c r="D239" s="86" t="s">
        <v>207</v>
      </c>
      <c r="E239" s="532" t="s">
        <v>606</v>
      </c>
      <c r="F239" s="25" t="s">
        <v>31</v>
      </c>
      <c r="G239" s="152">
        <f aca="true" t="shared" si="18" ref="G239:G251">H239+I239</f>
        <v>20330000</v>
      </c>
      <c r="H239" s="80">
        <f>15000000-10000000+21330000-1000000-5000000</f>
        <v>20330000</v>
      </c>
      <c r="I239" s="31">
        <v>0</v>
      </c>
      <c r="J239" s="32">
        <f t="shared" si="14"/>
        <v>0</v>
      </c>
      <c r="K239" s="234"/>
      <c r="L239" s="235"/>
      <c r="M239" s="235"/>
      <c r="N239" s="437"/>
      <c r="O239" s="437"/>
      <c r="P239" s="161"/>
    </row>
    <row r="240" spans="1:16" s="34" customFormat="1" ht="133.5" customHeight="1" hidden="1">
      <c r="A240" s="27" t="s">
        <v>149</v>
      </c>
      <c r="B240" s="27" t="s">
        <v>150</v>
      </c>
      <c r="C240" s="27" t="s">
        <v>295</v>
      </c>
      <c r="D240" s="110" t="s">
        <v>151</v>
      </c>
      <c r="E240" s="25" t="s">
        <v>560</v>
      </c>
      <c r="F240" s="25" t="s">
        <v>31</v>
      </c>
      <c r="G240" s="152">
        <f>H240+I240</f>
        <v>0</v>
      </c>
      <c r="H240" s="32"/>
      <c r="I240" s="31"/>
      <c r="J240" s="32">
        <f t="shared" si="14"/>
        <v>0</v>
      </c>
      <c r="K240" s="234"/>
      <c r="L240" s="235"/>
      <c r="M240" s="235"/>
      <c r="N240" s="437"/>
      <c r="O240" s="437"/>
      <c r="P240" s="161"/>
    </row>
    <row r="241" spans="1:16" s="133" customFormat="1" ht="153.75" customHeight="1" hidden="1">
      <c r="A241" s="128"/>
      <c r="B241" s="129"/>
      <c r="C241" s="129"/>
      <c r="D241" s="96" t="s">
        <v>454</v>
      </c>
      <c r="E241" s="130"/>
      <c r="F241" s="130"/>
      <c r="G241" s="131">
        <f>H241+I241</f>
        <v>0</v>
      </c>
      <c r="H241" s="132"/>
      <c r="I241" s="103"/>
      <c r="J241" s="32">
        <f t="shared" si="14"/>
        <v>0</v>
      </c>
      <c r="K241" s="453"/>
      <c r="L241" s="453"/>
      <c r="M241" s="453"/>
      <c r="N241" s="437"/>
      <c r="O241" s="437"/>
      <c r="P241" s="475"/>
    </row>
    <row r="242" spans="1:16" s="34" customFormat="1" ht="98.25" customHeight="1">
      <c r="A242" s="26" t="s">
        <v>242</v>
      </c>
      <c r="B242" s="26" t="s">
        <v>243</v>
      </c>
      <c r="C242" s="27" t="s">
        <v>244</v>
      </c>
      <c r="D242" s="28" t="s">
        <v>245</v>
      </c>
      <c r="E242" s="61" t="s">
        <v>512</v>
      </c>
      <c r="F242" s="61" t="s">
        <v>628</v>
      </c>
      <c r="G242" s="152">
        <f t="shared" si="18"/>
        <v>7000000</v>
      </c>
      <c r="H242" s="60">
        <v>7000000</v>
      </c>
      <c r="I242" s="32">
        <v>0</v>
      </c>
      <c r="J242" s="32">
        <f t="shared" si="14"/>
        <v>0</v>
      </c>
      <c r="K242" s="235"/>
      <c r="L242" s="235"/>
      <c r="M242" s="235"/>
      <c r="N242" s="437"/>
      <c r="O242" s="437"/>
      <c r="P242" s="161"/>
    </row>
    <row r="243" spans="1:16" s="34" customFormat="1" ht="42" customHeight="1">
      <c r="A243" s="26" t="s">
        <v>232</v>
      </c>
      <c r="B243" s="26" t="s">
        <v>89</v>
      </c>
      <c r="C243" s="27" t="s">
        <v>307</v>
      </c>
      <c r="D243" s="28" t="s">
        <v>324</v>
      </c>
      <c r="E243" s="303" t="s">
        <v>510</v>
      </c>
      <c r="F243" s="294" t="s">
        <v>574</v>
      </c>
      <c r="G243" s="152">
        <f t="shared" si="18"/>
        <v>1404494</v>
      </c>
      <c r="H243" s="60">
        <v>0</v>
      </c>
      <c r="I243" s="32">
        <f>1180000+224494</f>
        <v>1404494</v>
      </c>
      <c r="J243" s="32">
        <f t="shared" si="14"/>
        <v>1404494</v>
      </c>
      <c r="K243" s="235"/>
      <c r="L243" s="234"/>
      <c r="M243" s="235"/>
      <c r="N243" s="437"/>
      <c r="O243" s="437"/>
      <c r="P243" s="161"/>
    </row>
    <row r="244" spans="1:16" s="192" customFormat="1" ht="96" customHeight="1">
      <c r="A244" s="128"/>
      <c r="B244" s="129"/>
      <c r="C244" s="128"/>
      <c r="D244" s="191" t="s">
        <v>428</v>
      </c>
      <c r="E244" s="304"/>
      <c r="F244" s="294"/>
      <c r="G244" s="131">
        <f t="shared" si="18"/>
        <v>1180000</v>
      </c>
      <c r="H244" s="132">
        <v>0</v>
      </c>
      <c r="I244" s="103">
        <v>1180000</v>
      </c>
      <c r="J244" s="103">
        <f t="shared" si="14"/>
        <v>1180000</v>
      </c>
      <c r="K244" s="457"/>
      <c r="L244" s="456"/>
      <c r="M244" s="457"/>
      <c r="N244" s="437"/>
      <c r="O244" s="437"/>
      <c r="P244" s="511"/>
    </row>
    <row r="245" spans="1:16" s="137" customFormat="1" ht="111" customHeight="1" hidden="1">
      <c r="A245" s="44" t="s">
        <v>232</v>
      </c>
      <c r="B245" s="44" t="s">
        <v>89</v>
      </c>
      <c r="C245" s="44" t="s">
        <v>307</v>
      </c>
      <c r="D245" s="28" t="s">
        <v>324</v>
      </c>
      <c r="E245" s="61" t="s">
        <v>423</v>
      </c>
      <c r="F245" s="41" t="s">
        <v>619</v>
      </c>
      <c r="G245" s="152">
        <f t="shared" si="18"/>
        <v>0</v>
      </c>
      <c r="H245" s="60"/>
      <c r="I245" s="32"/>
      <c r="J245" s="32">
        <f t="shared" si="14"/>
        <v>0</v>
      </c>
      <c r="K245" s="236"/>
      <c r="L245" s="236"/>
      <c r="M245" s="236"/>
      <c r="N245" s="437"/>
      <c r="O245" s="437"/>
      <c r="P245" s="474"/>
    </row>
    <row r="246" spans="1:16" s="34" customFormat="1" ht="137.25" customHeight="1" hidden="1">
      <c r="A246" s="26">
        <v>1517670</v>
      </c>
      <c r="B246" s="26">
        <v>7670</v>
      </c>
      <c r="C246" s="26" t="s">
        <v>268</v>
      </c>
      <c r="D246" s="165" t="s">
        <v>323</v>
      </c>
      <c r="E246" s="88" t="s">
        <v>639</v>
      </c>
      <c r="F246" s="61" t="s">
        <v>627</v>
      </c>
      <c r="G246" s="152">
        <f t="shared" si="18"/>
        <v>0</v>
      </c>
      <c r="H246" s="60">
        <v>0</v>
      </c>
      <c r="I246" s="32"/>
      <c r="J246" s="32">
        <f t="shared" si="14"/>
        <v>0</v>
      </c>
      <c r="K246" s="234"/>
      <c r="L246" s="234"/>
      <c r="M246" s="234"/>
      <c r="N246" s="437"/>
      <c r="O246" s="437"/>
      <c r="P246" s="161"/>
    </row>
    <row r="247" spans="1:16" s="34" customFormat="1" ht="120" customHeight="1">
      <c r="A247" s="26">
        <v>1517670</v>
      </c>
      <c r="B247" s="26">
        <v>7670</v>
      </c>
      <c r="C247" s="26" t="s">
        <v>268</v>
      </c>
      <c r="D247" s="28" t="s">
        <v>323</v>
      </c>
      <c r="E247" s="62" t="s">
        <v>522</v>
      </c>
      <c r="F247" s="43" t="s">
        <v>171</v>
      </c>
      <c r="G247" s="152">
        <f t="shared" si="18"/>
        <v>3047720</v>
      </c>
      <c r="H247" s="60">
        <v>0</v>
      </c>
      <c r="I247" s="32">
        <f>4000000-1000000+47720</f>
        <v>3047720</v>
      </c>
      <c r="J247" s="32">
        <f t="shared" si="14"/>
        <v>3047720</v>
      </c>
      <c r="K247" s="502"/>
      <c r="L247" s="438"/>
      <c r="M247" s="235"/>
      <c r="N247" s="437"/>
      <c r="O247" s="437"/>
      <c r="P247" s="161"/>
    </row>
    <row r="248" spans="1:16" s="34" customFormat="1" ht="116.25">
      <c r="A248" s="26">
        <v>1517670</v>
      </c>
      <c r="B248" s="26">
        <v>7670</v>
      </c>
      <c r="C248" s="26" t="s">
        <v>268</v>
      </c>
      <c r="D248" s="28" t="s">
        <v>323</v>
      </c>
      <c r="E248" s="190" t="s">
        <v>521</v>
      </c>
      <c r="F248" s="43" t="s">
        <v>487</v>
      </c>
      <c r="G248" s="152">
        <f t="shared" si="18"/>
        <v>43003000</v>
      </c>
      <c r="H248" s="60">
        <v>0</v>
      </c>
      <c r="I248" s="32">
        <f>12000000+12000000+23003000-12000000-5000000+5000000+8000000</f>
        <v>43003000</v>
      </c>
      <c r="J248" s="32">
        <f t="shared" si="14"/>
        <v>43003000</v>
      </c>
      <c r="K248" s="235"/>
      <c r="L248" s="234"/>
      <c r="M248" s="235"/>
      <c r="N248" s="437"/>
      <c r="O248" s="437"/>
      <c r="P248" s="161"/>
    </row>
    <row r="249" spans="1:16" s="34" customFormat="1" ht="133.5" customHeight="1">
      <c r="A249" s="26">
        <v>1517670</v>
      </c>
      <c r="B249" s="26">
        <v>7670</v>
      </c>
      <c r="C249" s="26" t="s">
        <v>268</v>
      </c>
      <c r="D249" s="28" t="s">
        <v>323</v>
      </c>
      <c r="E249" s="88" t="s">
        <v>496</v>
      </c>
      <c r="F249" s="61" t="s">
        <v>167</v>
      </c>
      <c r="G249" s="152">
        <f>H249+I249</f>
        <v>35000000</v>
      </c>
      <c r="H249" s="60">
        <v>0</v>
      </c>
      <c r="I249" s="32">
        <f>40000000-5000000</f>
        <v>35000000</v>
      </c>
      <c r="J249" s="32">
        <f t="shared" si="14"/>
        <v>35000000</v>
      </c>
      <c r="K249" s="512"/>
      <c r="L249" s="235"/>
      <c r="M249" s="235"/>
      <c r="N249" s="437"/>
      <c r="O249" s="437"/>
      <c r="P249" s="161"/>
    </row>
    <row r="250" spans="1:16" s="34" customFormat="1" ht="139.5" hidden="1">
      <c r="A250" s="26">
        <v>1517670</v>
      </c>
      <c r="B250" s="26">
        <v>7670</v>
      </c>
      <c r="C250" s="26" t="s">
        <v>268</v>
      </c>
      <c r="D250" s="28" t="s">
        <v>323</v>
      </c>
      <c r="E250" s="61" t="s">
        <v>499</v>
      </c>
      <c r="F250" s="43" t="s">
        <v>500</v>
      </c>
      <c r="G250" s="152">
        <f t="shared" si="18"/>
        <v>0</v>
      </c>
      <c r="H250" s="251">
        <v>0</v>
      </c>
      <c r="I250" s="252">
        <f>11000000-11000000</f>
        <v>0</v>
      </c>
      <c r="J250" s="252">
        <f t="shared" si="14"/>
        <v>0</v>
      </c>
      <c r="K250" s="235"/>
      <c r="L250" s="235"/>
      <c r="M250" s="235"/>
      <c r="N250" s="437"/>
      <c r="O250" s="437"/>
      <c r="P250" s="161"/>
    </row>
    <row r="251" spans="1:16" s="34" customFormat="1" ht="117.75" customHeight="1" hidden="1">
      <c r="A251" s="27" t="s">
        <v>40</v>
      </c>
      <c r="B251" s="27" t="s">
        <v>41</v>
      </c>
      <c r="C251" s="27" t="s">
        <v>268</v>
      </c>
      <c r="D251" s="28" t="s">
        <v>323</v>
      </c>
      <c r="E251" s="61" t="s">
        <v>596</v>
      </c>
      <c r="F251" s="43" t="s">
        <v>597</v>
      </c>
      <c r="G251" s="152">
        <f t="shared" si="18"/>
        <v>0</v>
      </c>
      <c r="H251" s="60">
        <v>0</v>
      </c>
      <c r="I251" s="32">
        <f>2000000-2000000</f>
        <v>0</v>
      </c>
      <c r="J251" s="32">
        <f t="shared" si="14"/>
        <v>0</v>
      </c>
      <c r="K251" s="235"/>
      <c r="L251" s="235"/>
      <c r="M251" s="235"/>
      <c r="N251" s="437"/>
      <c r="O251" s="437"/>
      <c r="P251" s="161"/>
    </row>
    <row r="252" spans="1:16" s="34" customFormat="1" ht="103.5" customHeight="1" hidden="1">
      <c r="A252" s="81" t="s">
        <v>40</v>
      </c>
      <c r="B252" s="81" t="s">
        <v>41</v>
      </c>
      <c r="C252" s="81" t="s">
        <v>268</v>
      </c>
      <c r="D252" s="86" t="s">
        <v>323</v>
      </c>
      <c r="E252" s="190" t="s">
        <v>520</v>
      </c>
      <c r="F252" s="125" t="s">
        <v>498</v>
      </c>
      <c r="G252" s="150">
        <f>H252+I252</f>
        <v>0</v>
      </c>
      <c r="H252" s="251">
        <v>0</v>
      </c>
      <c r="I252" s="252">
        <f>1500000-1500000</f>
        <v>0</v>
      </c>
      <c r="J252" s="252">
        <f t="shared" si="14"/>
        <v>0</v>
      </c>
      <c r="K252" s="235"/>
      <c r="L252" s="235"/>
      <c r="M252" s="235"/>
      <c r="N252" s="437"/>
      <c r="O252" s="437"/>
      <c r="P252" s="161"/>
    </row>
    <row r="253" spans="1:16" s="34" customFormat="1" ht="105" customHeight="1">
      <c r="A253" s="26">
        <v>1517670</v>
      </c>
      <c r="B253" s="26">
        <v>7670</v>
      </c>
      <c r="C253" s="26" t="s">
        <v>268</v>
      </c>
      <c r="D253" s="28" t="s">
        <v>323</v>
      </c>
      <c r="E253" s="88" t="s">
        <v>483</v>
      </c>
      <c r="F253" s="88" t="s">
        <v>486</v>
      </c>
      <c r="G253" s="152">
        <f>H253+I253</f>
        <v>29500000</v>
      </c>
      <c r="H253" s="60">
        <v>0</v>
      </c>
      <c r="I253" s="32">
        <f>17000000+20000000+1500000-3000000-6000000</f>
        <v>29500000</v>
      </c>
      <c r="J253" s="32">
        <f t="shared" si="14"/>
        <v>29500000</v>
      </c>
      <c r="K253" s="235"/>
      <c r="L253" s="235"/>
      <c r="M253" s="235"/>
      <c r="N253" s="437"/>
      <c r="O253" s="437"/>
      <c r="P253" s="161"/>
    </row>
    <row r="254" spans="1:16" s="34" customFormat="1" ht="324" customHeight="1" hidden="1">
      <c r="A254" s="92" t="s">
        <v>439</v>
      </c>
      <c r="B254" s="92">
        <v>7691</v>
      </c>
      <c r="C254" s="27" t="s">
        <v>268</v>
      </c>
      <c r="D254" s="28" t="s">
        <v>440</v>
      </c>
      <c r="E254" s="61" t="s">
        <v>160</v>
      </c>
      <c r="F254" s="87" t="s">
        <v>152</v>
      </c>
      <c r="G254" s="152">
        <f aca="true" t="shared" si="19" ref="G254:G259">H254+I254</f>
        <v>0</v>
      </c>
      <c r="H254" s="123"/>
      <c r="I254" s="189"/>
      <c r="J254" s="32">
        <f t="shared" si="14"/>
        <v>0</v>
      </c>
      <c r="K254" s="235"/>
      <c r="L254" s="235"/>
      <c r="M254" s="235"/>
      <c r="N254" s="437"/>
      <c r="O254" s="437"/>
      <c r="P254" s="161"/>
    </row>
    <row r="255" spans="1:16" s="34" customFormat="1" ht="330.75" customHeight="1" hidden="1">
      <c r="A255" s="92" t="s">
        <v>439</v>
      </c>
      <c r="B255" s="92">
        <v>7691</v>
      </c>
      <c r="C255" s="27" t="s">
        <v>268</v>
      </c>
      <c r="D255" s="28" t="s">
        <v>440</v>
      </c>
      <c r="E255" s="61" t="s">
        <v>215</v>
      </c>
      <c r="F255" s="87" t="s">
        <v>4</v>
      </c>
      <c r="G255" s="152">
        <f>H255+I255</f>
        <v>0</v>
      </c>
      <c r="H255" s="123"/>
      <c r="I255" s="189"/>
      <c r="J255" s="32">
        <f t="shared" si="14"/>
        <v>0</v>
      </c>
      <c r="K255" s="234"/>
      <c r="L255" s="235"/>
      <c r="M255" s="235"/>
      <c r="N255" s="437"/>
      <c r="O255" s="437"/>
      <c r="P255" s="161"/>
    </row>
    <row r="256" spans="1:16" s="34" customFormat="1" ht="333" customHeight="1" hidden="1">
      <c r="A256" s="92" t="s">
        <v>439</v>
      </c>
      <c r="B256" s="92">
        <v>7691</v>
      </c>
      <c r="C256" s="27" t="s">
        <v>268</v>
      </c>
      <c r="D256" s="28" t="s">
        <v>440</v>
      </c>
      <c r="E256" s="61" t="s">
        <v>425</v>
      </c>
      <c r="F256" s="87" t="s">
        <v>629</v>
      </c>
      <c r="G256" s="152">
        <f t="shared" si="19"/>
        <v>0</v>
      </c>
      <c r="H256" s="123"/>
      <c r="I256" s="189"/>
      <c r="J256" s="32"/>
      <c r="K256" s="235"/>
      <c r="L256" s="235"/>
      <c r="M256" s="235"/>
      <c r="N256" s="437"/>
      <c r="O256" s="437"/>
      <c r="P256" s="161"/>
    </row>
    <row r="257" spans="1:16" s="34" customFormat="1" ht="87" customHeight="1">
      <c r="A257" s="92" t="s">
        <v>422</v>
      </c>
      <c r="B257" s="92">
        <v>7693</v>
      </c>
      <c r="C257" s="27" t="s">
        <v>268</v>
      </c>
      <c r="D257" s="28" t="s">
        <v>74</v>
      </c>
      <c r="E257" s="61" t="s">
        <v>603</v>
      </c>
      <c r="F257" s="125" t="s">
        <v>170</v>
      </c>
      <c r="G257" s="152">
        <f t="shared" si="19"/>
        <v>20000</v>
      </c>
      <c r="H257" s="123">
        <v>20000</v>
      </c>
      <c r="I257" s="52">
        <v>0</v>
      </c>
      <c r="J257" s="32">
        <f t="shared" si="14"/>
        <v>0</v>
      </c>
      <c r="K257" s="235"/>
      <c r="L257" s="235"/>
      <c r="M257" s="235"/>
      <c r="N257" s="437"/>
      <c r="O257" s="437"/>
      <c r="P257" s="161"/>
    </row>
    <row r="258" spans="1:16" s="186" customFormat="1" ht="81.75" customHeight="1" hidden="1">
      <c r="A258" s="194" t="s">
        <v>238</v>
      </c>
      <c r="B258" s="92" t="s">
        <v>239</v>
      </c>
      <c r="C258" s="27" t="s">
        <v>240</v>
      </c>
      <c r="D258" s="159" t="s">
        <v>241</v>
      </c>
      <c r="E258" s="87" t="s">
        <v>424</v>
      </c>
      <c r="F258" s="88" t="s">
        <v>568</v>
      </c>
      <c r="G258" s="152">
        <f t="shared" si="19"/>
        <v>0</v>
      </c>
      <c r="H258" s="123"/>
      <c r="I258" s="52">
        <v>0</v>
      </c>
      <c r="J258" s="32">
        <f t="shared" si="14"/>
        <v>0</v>
      </c>
      <c r="K258" s="508"/>
      <c r="L258" s="508"/>
      <c r="M258" s="508"/>
      <c r="N258" s="437"/>
      <c r="O258" s="437"/>
      <c r="P258" s="509"/>
    </row>
    <row r="259" spans="1:16" s="186" customFormat="1" ht="84" customHeight="1" hidden="1">
      <c r="A259" s="194">
        <v>1518340</v>
      </c>
      <c r="B259" s="92">
        <v>8340</v>
      </c>
      <c r="C259" s="27" t="s">
        <v>302</v>
      </c>
      <c r="D259" s="28" t="s">
        <v>390</v>
      </c>
      <c r="E259" s="242" t="s">
        <v>563</v>
      </c>
      <c r="F259" s="61" t="s">
        <v>568</v>
      </c>
      <c r="G259" s="152">
        <f t="shared" si="19"/>
        <v>0</v>
      </c>
      <c r="H259" s="123">
        <v>0</v>
      </c>
      <c r="I259" s="52"/>
      <c r="J259" s="32">
        <f>I259</f>
        <v>0</v>
      </c>
      <c r="K259" s="508"/>
      <c r="L259" s="507"/>
      <c r="M259" s="508"/>
      <c r="N259" s="437"/>
      <c r="O259" s="437"/>
      <c r="P259" s="509"/>
    </row>
    <row r="260" spans="1:16" s="186" customFormat="1" ht="84" customHeight="1" hidden="1">
      <c r="A260" s="194">
        <v>1519750</v>
      </c>
      <c r="B260" s="92">
        <v>9750</v>
      </c>
      <c r="C260" s="27" t="s">
        <v>296</v>
      </c>
      <c r="D260" s="28" t="s">
        <v>666</v>
      </c>
      <c r="E260" s="43" t="s">
        <v>505</v>
      </c>
      <c r="F260" s="84" t="s">
        <v>279</v>
      </c>
      <c r="G260" s="152">
        <f>H260+I260</f>
        <v>0</v>
      </c>
      <c r="H260" s="123"/>
      <c r="I260" s="52"/>
      <c r="J260" s="32">
        <f>I260</f>
        <v>0</v>
      </c>
      <c r="K260" s="513"/>
      <c r="L260" s="514"/>
      <c r="M260" s="513"/>
      <c r="N260" s="450"/>
      <c r="O260" s="450"/>
      <c r="P260" s="509"/>
    </row>
    <row r="261" spans="1:16" s="34" customFormat="1" ht="49.5" customHeight="1">
      <c r="A261" s="54">
        <v>1600000</v>
      </c>
      <c r="B261" s="53"/>
      <c r="C261" s="53"/>
      <c r="D261" s="295" t="s">
        <v>297</v>
      </c>
      <c r="E261" s="296"/>
      <c r="F261" s="55" t="s">
        <v>421</v>
      </c>
      <c r="G261" s="58">
        <f>G262</f>
        <v>1219900</v>
      </c>
      <c r="H261" s="58">
        <f>H262</f>
        <v>906200</v>
      </c>
      <c r="I261" s="58">
        <f>I262</f>
        <v>313700</v>
      </c>
      <c r="J261" s="58">
        <f>J262</f>
        <v>313700</v>
      </c>
      <c r="K261" s="235"/>
      <c r="L261" s="235"/>
      <c r="M261" s="235"/>
      <c r="N261" s="437"/>
      <c r="O261" s="437"/>
      <c r="P261" s="161"/>
    </row>
    <row r="262" spans="1:16" s="42" customFormat="1" ht="60.75" customHeight="1">
      <c r="A262" s="38">
        <v>1610000</v>
      </c>
      <c r="B262" s="37"/>
      <c r="C262" s="37"/>
      <c r="D262" s="297" t="s">
        <v>298</v>
      </c>
      <c r="E262" s="298"/>
      <c r="F262" s="39" t="s">
        <v>421</v>
      </c>
      <c r="G262" s="51">
        <f>H262+I262</f>
        <v>1219900</v>
      </c>
      <c r="H262" s="51">
        <f>H263+H264</f>
        <v>906200</v>
      </c>
      <c r="I262" s="51">
        <f>I263+I264</f>
        <v>313700</v>
      </c>
      <c r="J262" s="51">
        <f>J263+J264</f>
        <v>313700</v>
      </c>
      <c r="K262" s="234"/>
      <c r="L262" s="234"/>
      <c r="M262" s="234"/>
      <c r="N262" s="438"/>
      <c r="O262" s="438"/>
      <c r="P262" s="156"/>
    </row>
    <row r="263" spans="1:16" s="34" customFormat="1" ht="102" customHeight="1">
      <c r="A263" s="44" t="s">
        <v>44</v>
      </c>
      <c r="B263" s="44" t="s">
        <v>296</v>
      </c>
      <c r="C263" s="44" t="s">
        <v>252</v>
      </c>
      <c r="D263" s="28" t="s">
        <v>605</v>
      </c>
      <c r="E263" s="43" t="s">
        <v>518</v>
      </c>
      <c r="F263" s="43" t="s">
        <v>462</v>
      </c>
      <c r="G263" s="30">
        <f>SUM(H263+I263)</f>
        <v>219900</v>
      </c>
      <c r="H263" s="36">
        <v>219900</v>
      </c>
      <c r="I263" s="32">
        <v>0</v>
      </c>
      <c r="J263" s="32">
        <v>0</v>
      </c>
      <c r="K263" s="235"/>
      <c r="L263" s="235"/>
      <c r="M263" s="235"/>
      <c r="N263" s="437"/>
      <c r="O263" s="437"/>
      <c r="P263" s="161"/>
    </row>
    <row r="264" spans="1:16" s="34" customFormat="1" ht="149.25" customHeight="1">
      <c r="A264" s="44" t="s">
        <v>569</v>
      </c>
      <c r="B264" s="44" t="s">
        <v>243</v>
      </c>
      <c r="C264" s="44" t="s">
        <v>244</v>
      </c>
      <c r="D264" s="28" t="s">
        <v>245</v>
      </c>
      <c r="E264" s="43" t="s">
        <v>519</v>
      </c>
      <c r="F264" s="88" t="s">
        <v>529</v>
      </c>
      <c r="G264" s="30">
        <f>SUM(H264+I264)</f>
        <v>1000000</v>
      </c>
      <c r="H264" s="36">
        <v>686300</v>
      </c>
      <c r="I264" s="32">
        <v>313700</v>
      </c>
      <c r="J264" s="32">
        <f>I264</f>
        <v>313700</v>
      </c>
      <c r="K264" s="235"/>
      <c r="L264" s="235"/>
      <c r="M264" s="235"/>
      <c r="N264" s="437"/>
      <c r="O264" s="437"/>
      <c r="P264" s="161"/>
    </row>
    <row r="265" spans="1:16" s="57" customFormat="1" ht="60.75" customHeight="1">
      <c r="A265" s="53" t="s">
        <v>45</v>
      </c>
      <c r="B265" s="54"/>
      <c r="C265" s="54"/>
      <c r="D265" s="314" t="s">
        <v>46</v>
      </c>
      <c r="E265" s="315"/>
      <c r="F265" s="55" t="s">
        <v>421</v>
      </c>
      <c r="G265" s="56">
        <f>G266</f>
        <v>114000</v>
      </c>
      <c r="H265" s="56">
        <f>H266</f>
        <v>114000</v>
      </c>
      <c r="I265" s="56">
        <f>I266</f>
        <v>0</v>
      </c>
      <c r="J265" s="56">
        <f>J266</f>
        <v>0</v>
      </c>
      <c r="K265" s="235"/>
      <c r="L265" s="235"/>
      <c r="M265" s="235"/>
      <c r="N265" s="437"/>
      <c r="O265" s="437"/>
      <c r="P265" s="481"/>
    </row>
    <row r="266" spans="1:16" s="57" customFormat="1" ht="61.5" customHeight="1">
      <c r="A266" s="37" t="s">
        <v>47</v>
      </c>
      <c r="B266" s="38"/>
      <c r="C266" s="38"/>
      <c r="D266" s="319" t="s">
        <v>534</v>
      </c>
      <c r="E266" s="320"/>
      <c r="F266" s="39" t="s">
        <v>421</v>
      </c>
      <c r="G266" s="40">
        <f>H266+I266</f>
        <v>114000</v>
      </c>
      <c r="H266" s="40">
        <f>H267</f>
        <v>114000</v>
      </c>
      <c r="I266" s="40">
        <f>I267</f>
        <v>0</v>
      </c>
      <c r="J266" s="40">
        <f>J267</f>
        <v>0</v>
      </c>
      <c r="K266" s="234"/>
      <c r="L266" s="234"/>
      <c r="M266" s="234"/>
      <c r="N266" s="438"/>
      <c r="O266" s="438"/>
      <c r="P266" s="481"/>
    </row>
    <row r="267" spans="1:16" s="57" customFormat="1" ht="93">
      <c r="A267" s="27" t="s">
        <v>48</v>
      </c>
      <c r="B267" s="27" t="s">
        <v>296</v>
      </c>
      <c r="C267" s="27" t="s">
        <v>252</v>
      </c>
      <c r="D267" s="28" t="s">
        <v>605</v>
      </c>
      <c r="E267" s="43" t="s">
        <v>518</v>
      </c>
      <c r="F267" s="43" t="s">
        <v>462</v>
      </c>
      <c r="G267" s="30">
        <f>SUM(H267+I267)</f>
        <v>114000</v>
      </c>
      <c r="H267" s="36">
        <v>114000</v>
      </c>
      <c r="I267" s="31">
        <v>0</v>
      </c>
      <c r="J267" s="32">
        <v>0</v>
      </c>
      <c r="K267" s="235"/>
      <c r="L267" s="235"/>
      <c r="M267" s="235"/>
      <c r="N267" s="437"/>
      <c r="O267" s="437"/>
      <c r="P267" s="481"/>
    </row>
    <row r="268" spans="1:16" s="34" customFormat="1" ht="88.5" customHeight="1">
      <c r="A268" s="54" t="s">
        <v>383</v>
      </c>
      <c r="B268" s="53"/>
      <c r="C268" s="53"/>
      <c r="D268" s="295" t="s">
        <v>132</v>
      </c>
      <c r="E268" s="296"/>
      <c r="F268" s="55" t="s">
        <v>421</v>
      </c>
      <c r="G268" s="58">
        <f>G269</f>
        <v>115397440</v>
      </c>
      <c r="H268" s="58">
        <f>H269</f>
        <v>76671940</v>
      </c>
      <c r="I268" s="58">
        <f>I269</f>
        <v>38725500</v>
      </c>
      <c r="J268" s="58">
        <f>J269</f>
        <v>38720000</v>
      </c>
      <c r="K268" s="235"/>
      <c r="L268" s="235"/>
      <c r="M268" s="235"/>
      <c r="N268" s="437"/>
      <c r="O268" s="437"/>
      <c r="P268" s="161"/>
    </row>
    <row r="269" spans="1:16" s="34" customFormat="1" ht="63.75" customHeight="1">
      <c r="A269" s="38" t="s">
        <v>384</v>
      </c>
      <c r="B269" s="37"/>
      <c r="C269" s="37"/>
      <c r="D269" s="297" t="s">
        <v>303</v>
      </c>
      <c r="E269" s="298"/>
      <c r="F269" s="39" t="s">
        <v>421</v>
      </c>
      <c r="G269" s="51">
        <f>H269+I269</f>
        <v>115397440</v>
      </c>
      <c r="H269" s="51">
        <f>SUM(H270+H271+H274+H275+H276+H272)</f>
        <v>76671940</v>
      </c>
      <c r="I269" s="51">
        <f>SUM(I270+I271+I274+I275+I276+I272)</f>
        <v>38725500</v>
      </c>
      <c r="J269" s="51">
        <f>SUM(J270+J271+J274+J275+J276+J272)</f>
        <v>38720000</v>
      </c>
      <c r="K269" s="234"/>
      <c r="L269" s="234"/>
      <c r="M269" s="234"/>
      <c r="N269" s="438"/>
      <c r="O269" s="438"/>
      <c r="P269" s="161"/>
    </row>
    <row r="270" spans="1:16" s="34" customFormat="1" ht="93">
      <c r="A270" s="44" t="s">
        <v>49</v>
      </c>
      <c r="B270" s="44" t="s">
        <v>296</v>
      </c>
      <c r="C270" s="44" t="s">
        <v>252</v>
      </c>
      <c r="D270" s="28" t="s">
        <v>605</v>
      </c>
      <c r="E270" s="43" t="s">
        <v>518</v>
      </c>
      <c r="F270" s="43" t="s">
        <v>462</v>
      </c>
      <c r="G270" s="30">
        <f>SUM(H270+I270)</f>
        <v>278740</v>
      </c>
      <c r="H270" s="36">
        <f>442200-268300+55840+49000</f>
        <v>278740</v>
      </c>
      <c r="I270" s="32">
        <v>0</v>
      </c>
      <c r="J270" s="32">
        <v>0</v>
      </c>
      <c r="K270" s="234"/>
      <c r="L270" s="235"/>
      <c r="M270" s="235"/>
      <c r="N270" s="437"/>
      <c r="O270" s="437"/>
      <c r="P270" s="161"/>
    </row>
    <row r="271" spans="1:16" s="34" customFormat="1" ht="90.75" customHeight="1">
      <c r="A271" s="26">
        <v>1917413</v>
      </c>
      <c r="B271" s="26">
        <v>7413</v>
      </c>
      <c r="C271" s="26" t="s">
        <v>305</v>
      </c>
      <c r="D271" s="28" t="s">
        <v>75</v>
      </c>
      <c r="E271" s="61" t="s">
        <v>107</v>
      </c>
      <c r="F271" s="61" t="s">
        <v>612</v>
      </c>
      <c r="G271" s="30">
        <f>SUM(H271+I271)</f>
        <v>5500</v>
      </c>
      <c r="H271" s="60">
        <f>107300-103815-3485</f>
        <v>0</v>
      </c>
      <c r="I271" s="31">
        <f>5500</f>
        <v>5500</v>
      </c>
      <c r="J271" s="31"/>
      <c r="K271" s="234"/>
      <c r="L271" s="235"/>
      <c r="M271" s="235"/>
      <c r="N271" s="437"/>
      <c r="O271" s="437"/>
      <c r="P271" s="161"/>
    </row>
    <row r="272" spans="1:16" s="34" customFormat="1" ht="90.75" customHeight="1">
      <c r="A272" s="26">
        <v>1917413</v>
      </c>
      <c r="B272" s="26">
        <v>7413</v>
      </c>
      <c r="C272" s="26" t="s">
        <v>305</v>
      </c>
      <c r="D272" s="28" t="s">
        <v>75</v>
      </c>
      <c r="E272" s="43" t="s">
        <v>505</v>
      </c>
      <c r="F272" s="84" t="s">
        <v>279</v>
      </c>
      <c r="G272" s="30">
        <f>SUM(H272+I272)</f>
        <v>25720000</v>
      </c>
      <c r="H272" s="60"/>
      <c r="I272" s="31">
        <v>25720000</v>
      </c>
      <c r="J272" s="31">
        <v>25720000</v>
      </c>
      <c r="K272" s="235"/>
      <c r="L272" s="235"/>
      <c r="M272" s="235"/>
      <c r="N272" s="437"/>
      <c r="O272" s="437"/>
      <c r="P272" s="161"/>
    </row>
    <row r="273" spans="1:16" s="545" customFormat="1" ht="95.25" customHeight="1">
      <c r="A273" s="534"/>
      <c r="B273" s="535"/>
      <c r="C273" s="535"/>
      <c r="D273" s="536" t="s">
        <v>443</v>
      </c>
      <c r="E273" s="537"/>
      <c r="F273" s="537"/>
      <c r="G273" s="538">
        <f>H273+I273</f>
        <v>25720000</v>
      </c>
      <c r="H273" s="539"/>
      <c r="I273" s="540">
        <v>25720000</v>
      </c>
      <c r="J273" s="540">
        <v>25720000</v>
      </c>
      <c r="K273" s="541"/>
      <c r="L273" s="542"/>
      <c r="M273" s="542"/>
      <c r="N273" s="543"/>
      <c r="O273" s="543"/>
      <c r="P273" s="544"/>
    </row>
    <row r="274" spans="1:16" s="34" customFormat="1" ht="80.25" customHeight="1">
      <c r="A274" s="26" t="s">
        <v>84</v>
      </c>
      <c r="B274" s="26" t="s">
        <v>85</v>
      </c>
      <c r="C274" s="26" t="s">
        <v>593</v>
      </c>
      <c r="D274" s="28" t="s">
        <v>304</v>
      </c>
      <c r="E274" s="61" t="s">
        <v>117</v>
      </c>
      <c r="F274" s="61" t="s">
        <v>32</v>
      </c>
      <c r="G274" s="30">
        <f>SUM(H274+I274)</f>
        <v>76393200</v>
      </c>
      <c r="H274" s="60">
        <v>76393200</v>
      </c>
      <c r="I274" s="31">
        <v>0</v>
      </c>
      <c r="J274" s="32">
        <f>I274</f>
        <v>0</v>
      </c>
      <c r="K274" s="235"/>
      <c r="L274" s="235"/>
      <c r="M274" s="235"/>
      <c r="N274" s="437"/>
      <c r="O274" s="437"/>
      <c r="P274" s="161"/>
    </row>
    <row r="275" spans="1:16" s="34" customFormat="1" ht="119.25" customHeight="1" hidden="1">
      <c r="A275" s="195">
        <v>1917670</v>
      </c>
      <c r="B275" s="195">
        <v>7670</v>
      </c>
      <c r="C275" s="195" t="s">
        <v>268</v>
      </c>
      <c r="D275" s="196" t="s">
        <v>323</v>
      </c>
      <c r="E275" s="197" t="s">
        <v>433</v>
      </c>
      <c r="F275" s="197" t="s">
        <v>611</v>
      </c>
      <c r="G275" s="198">
        <f>SUM(H275+I275)</f>
        <v>0</v>
      </c>
      <c r="H275" s="60"/>
      <c r="I275" s="31"/>
      <c r="J275" s="32">
        <f>I275</f>
        <v>0</v>
      </c>
      <c r="K275" s="234"/>
      <c r="L275" s="235"/>
      <c r="M275" s="235"/>
      <c r="N275" s="437"/>
      <c r="O275" s="437"/>
      <c r="P275" s="503"/>
    </row>
    <row r="276" spans="1:16" s="34" customFormat="1" ht="81.75" customHeight="1">
      <c r="A276" s="26">
        <v>1917670</v>
      </c>
      <c r="B276" s="26">
        <v>7670</v>
      </c>
      <c r="C276" s="26" t="s">
        <v>268</v>
      </c>
      <c r="D276" s="28" t="s">
        <v>323</v>
      </c>
      <c r="E276" s="61" t="s">
        <v>117</v>
      </c>
      <c r="F276" s="61" t="s">
        <v>33</v>
      </c>
      <c r="G276" s="148">
        <f>SUM(H276+I276)</f>
        <v>13000000</v>
      </c>
      <c r="H276" s="60">
        <v>0</v>
      </c>
      <c r="I276" s="31">
        <f>21000000-8000000</f>
        <v>13000000</v>
      </c>
      <c r="J276" s="31">
        <f>I276</f>
        <v>13000000</v>
      </c>
      <c r="K276" s="235"/>
      <c r="L276" s="444"/>
      <c r="M276" s="235"/>
      <c r="N276" s="437"/>
      <c r="O276" s="437"/>
      <c r="P276" s="503"/>
    </row>
    <row r="277" spans="1:16" s="34" customFormat="1" ht="58.5" customHeight="1">
      <c r="A277" s="54">
        <v>2700000</v>
      </c>
      <c r="B277" s="53"/>
      <c r="C277" s="53"/>
      <c r="D277" s="295" t="s">
        <v>50</v>
      </c>
      <c r="E277" s="296"/>
      <c r="F277" s="55" t="s">
        <v>421</v>
      </c>
      <c r="G277" s="58">
        <f>G278</f>
        <v>3663751.46</v>
      </c>
      <c r="H277" s="58">
        <f>H278</f>
        <v>3663751.46</v>
      </c>
      <c r="I277" s="58">
        <f>I278</f>
        <v>0</v>
      </c>
      <c r="J277" s="58">
        <f>J278</f>
        <v>0</v>
      </c>
      <c r="K277" s="234"/>
      <c r="L277" s="235"/>
      <c r="M277" s="235"/>
      <c r="N277" s="437"/>
      <c r="O277" s="437"/>
      <c r="P277" s="161"/>
    </row>
    <row r="278" spans="1:16" s="34" customFormat="1" ht="48" customHeight="1">
      <c r="A278" s="38">
        <v>2710000</v>
      </c>
      <c r="B278" s="37"/>
      <c r="C278" s="37"/>
      <c r="D278" s="297" t="s">
        <v>222</v>
      </c>
      <c r="E278" s="298"/>
      <c r="F278" s="39" t="s">
        <v>421</v>
      </c>
      <c r="G278" s="51">
        <f>H278+I278</f>
        <v>3663751.46</v>
      </c>
      <c r="H278" s="51">
        <f>SUM(H279+H280+H281+H282)</f>
        <v>3663751.46</v>
      </c>
      <c r="I278" s="51">
        <f>SUM(I279+I280+I281+I282)</f>
        <v>0</v>
      </c>
      <c r="J278" s="51">
        <f>SUM(J279+J280+J281+J282)</f>
        <v>0</v>
      </c>
      <c r="K278" s="234"/>
      <c r="L278" s="234"/>
      <c r="M278" s="234"/>
      <c r="N278" s="438"/>
      <c r="O278" s="438"/>
      <c r="P278" s="161"/>
    </row>
    <row r="279" spans="1:16" s="34" customFormat="1" ht="93">
      <c r="A279" s="44" t="s">
        <v>51</v>
      </c>
      <c r="B279" s="44" t="s">
        <v>296</v>
      </c>
      <c r="C279" s="44" t="s">
        <v>252</v>
      </c>
      <c r="D279" s="28" t="s">
        <v>605</v>
      </c>
      <c r="E279" s="43" t="s">
        <v>404</v>
      </c>
      <c r="F279" s="43" t="s">
        <v>462</v>
      </c>
      <c r="G279" s="30">
        <f>SUM(H279+I279)</f>
        <v>359749</v>
      </c>
      <c r="H279" s="36">
        <f>520900-261800+51649+49000</f>
        <v>359749</v>
      </c>
      <c r="I279" s="32">
        <v>0</v>
      </c>
      <c r="J279" s="32">
        <v>0</v>
      </c>
      <c r="K279" s="235"/>
      <c r="L279" s="235"/>
      <c r="M279" s="235"/>
      <c r="N279" s="437"/>
      <c r="O279" s="437"/>
      <c r="P279" s="161"/>
    </row>
    <row r="280" spans="1:16" s="34" customFormat="1" ht="102.75" customHeight="1" hidden="1">
      <c r="A280" s="26" t="s">
        <v>86</v>
      </c>
      <c r="B280" s="26" t="s">
        <v>87</v>
      </c>
      <c r="C280" s="27" t="s">
        <v>307</v>
      </c>
      <c r="D280" s="533" t="s">
        <v>72</v>
      </c>
      <c r="E280" s="61" t="s">
        <v>434</v>
      </c>
      <c r="F280" s="61" t="s">
        <v>453</v>
      </c>
      <c r="G280" s="30">
        <f>SUM(H280+I280)</f>
        <v>0</v>
      </c>
      <c r="H280" s="60"/>
      <c r="I280" s="31"/>
      <c r="J280" s="31">
        <f>I280</f>
        <v>0</v>
      </c>
      <c r="K280" s="235"/>
      <c r="L280" s="235"/>
      <c r="M280" s="235"/>
      <c r="N280" s="437"/>
      <c r="O280" s="437"/>
      <c r="P280" s="161"/>
    </row>
    <row r="281" spans="1:16" s="34" customFormat="1" ht="97.5" customHeight="1">
      <c r="A281" s="26" t="s">
        <v>88</v>
      </c>
      <c r="B281" s="26" t="s">
        <v>89</v>
      </c>
      <c r="C281" s="26" t="s">
        <v>307</v>
      </c>
      <c r="D281" s="28" t="s">
        <v>324</v>
      </c>
      <c r="E281" s="61" t="s">
        <v>509</v>
      </c>
      <c r="F281" s="88" t="s">
        <v>574</v>
      </c>
      <c r="G281" s="30">
        <f>SUM(H281+I281)</f>
        <v>118030</v>
      </c>
      <c r="H281" s="60">
        <v>118030</v>
      </c>
      <c r="I281" s="31">
        <v>0</v>
      </c>
      <c r="J281" s="31">
        <f>I281</f>
        <v>0</v>
      </c>
      <c r="K281" s="235"/>
      <c r="L281" s="235"/>
      <c r="M281" s="235"/>
      <c r="N281" s="437"/>
      <c r="O281" s="437"/>
      <c r="P281" s="161"/>
    </row>
    <row r="282" spans="1:16" s="57" customFormat="1" ht="93" customHeight="1">
      <c r="A282" s="49">
        <v>2717693</v>
      </c>
      <c r="B282" s="44" t="s">
        <v>73</v>
      </c>
      <c r="C282" s="44" t="s">
        <v>268</v>
      </c>
      <c r="D282" s="199" t="s">
        <v>74</v>
      </c>
      <c r="E282" s="88" t="s">
        <v>513</v>
      </c>
      <c r="F282" s="61" t="s">
        <v>558</v>
      </c>
      <c r="G282" s="30">
        <f>SUM(H282+I282)</f>
        <v>3185972.46</v>
      </c>
      <c r="H282" s="60">
        <f>5000000-1814027.54</f>
        <v>3185972.46</v>
      </c>
      <c r="I282" s="31">
        <v>0</v>
      </c>
      <c r="J282" s="31">
        <f>I282</f>
        <v>0</v>
      </c>
      <c r="K282" s="235"/>
      <c r="L282" s="235"/>
      <c r="M282" s="235"/>
      <c r="N282" s="437"/>
      <c r="O282" s="437"/>
      <c r="P282" s="481"/>
    </row>
    <row r="283" spans="1:16" s="57" customFormat="1" ht="70.5" customHeight="1">
      <c r="A283" s="54" t="s">
        <v>381</v>
      </c>
      <c r="B283" s="53"/>
      <c r="C283" s="53"/>
      <c r="D283" s="295" t="s">
        <v>300</v>
      </c>
      <c r="E283" s="296"/>
      <c r="F283" s="55" t="s">
        <v>421</v>
      </c>
      <c r="G283" s="58">
        <f>G284</f>
        <v>9524429.18</v>
      </c>
      <c r="H283" s="58">
        <f>H284</f>
        <v>409410</v>
      </c>
      <c r="I283" s="58">
        <f>I284</f>
        <v>9115019.18</v>
      </c>
      <c r="J283" s="58">
        <f>J284</f>
        <v>85000</v>
      </c>
      <c r="K283" s="235"/>
      <c r="L283" s="235"/>
      <c r="M283" s="235"/>
      <c r="N283" s="437"/>
      <c r="O283" s="437"/>
      <c r="P283" s="481"/>
    </row>
    <row r="284" spans="1:16" s="57" customFormat="1" ht="63" customHeight="1">
      <c r="A284" s="38" t="s">
        <v>382</v>
      </c>
      <c r="B284" s="37"/>
      <c r="C284" s="37"/>
      <c r="D284" s="319" t="s">
        <v>429</v>
      </c>
      <c r="E284" s="298"/>
      <c r="F284" s="39" t="s">
        <v>421</v>
      </c>
      <c r="G284" s="51">
        <f>H284+I284</f>
        <v>9524429.18</v>
      </c>
      <c r="H284" s="51">
        <f>SUM(H285+H286+H287+H288)</f>
        <v>409410</v>
      </c>
      <c r="I284" s="51">
        <f>SUM(I285+I286+I287+I288)</f>
        <v>9115019.18</v>
      </c>
      <c r="J284" s="51">
        <f>SUM(J285+J286+J287+J288)</f>
        <v>85000</v>
      </c>
      <c r="K284" s="234"/>
      <c r="L284" s="234"/>
      <c r="M284" s="234"/>
      <c r="N284" s="438"/>
      <c r="O284" s="438"/>
      <c r="P284" s="481"/>
    </row>
    <row r="285" spans="1:16" s="57" customFormat="1" ht="98.25" customHeight="1">
      <c r="A285" s="44" t="s">
        <v>52</v>
      </c>
      <c r="B285" s="44" t="s">
        <v>296</v>
      </c>
      <c r="C285" s="44" t="s">
        <v>252</v>
      </c>
      <c r="D285" s="28" t="s">
        <v>605</v>
      </c>
      <c r="E285" s="43" t="s">
        <v>98</v>
      </c>
      <c r="F285" s="43" t="s">
        <v>462</v>
      </c>
      <c r="G285" s="30">
        <f>SUM(H285+I285)</f>
        <v>274420</v>
      </c>
      <c r="H285" s="36">
        <f>391800-217800+51420+49000</f>
        <v>274420</v>
      </c>
      <c r="I285" s="32">
        <v>0</v>
      </c>
      <c r="J285" s="32">
        <v>0</v>
      </c>
      <c r="K285" s="235"/>
      <c r="L285" s="235"/>
      <c r="M285" s="235"/>
      <c r="N285" s="437"/>
      <c r="O285" s="437"/>
      <c r="P285" s="481"/>
    </row>
    <row r="286" spans="1:16" s="57" customFormat="1" ht="101.25" customHeight="1">
      <c r="A286" s="44" t="s">
        <v>42</v>
      </c>
      <c r="B286" s="44" t="s">
        <v>41</v>
      </c>
      <c r="C286" s="26" t="s">
        <v>268</v>
      </c>
      <c r="D286" s="28" t="s">
        <v>323</v>
      </c>
      <c r="E286" s="125" t="s">
        <v>105</v>
      </c>
      <c r="F286" s="88" t="s">
        <v>106</v>
      </c>
      <c r="G286" s="30">
        <f>SUM(H286+I286)</f>
        <v>85000</v>
      </c>
      <c r="H286" s="36">
        <v>0</v>
      </c>
      <c r="I286" s="32">
        <f>85000</f>
        <v>85000</v>
      </c>
      <c r="J286" s="31">
        <f>I286</f>
        <v>85000</v>
      </c>
      <c r="K286" s="235"/>
      <c r="L286" s="235"/>
      <c r="M286" s="235"/>
      <c r="N286" s="437"/>
      <c r="O286" s="437"/>
      <c r="P286" s="481"/>
    </row>
    <row r="287" spans="1:16" s="57" customFormat="1" ht="101.25" customHeight="1">
      <c r="A287" s="26">
        <v>2818330</v>
      </c>
      <c r="B287" s="26">
        <v>8330</v>
      </c>
      <c r="C287" s="26" t="s">
        <v>302</v>
      </c>
      <c r="D287" s="86" t="s">
        <v>231</v>
      </c>
      <c r="E287" s="88" t="s">
        <v>280</v>
      </c>
      <c r="F287" s="88" t="s">
        <v>558</v>
      </c>
      <c r="G287" s="148">
        <f>SUM(H287+I287)</f>
        <v>134990</v>
      </c>
      <c r="H287" s="151">
        <v>134990</v>
      </c>
      <c r="I287" s="80">
        <v>0</v>
      </c>
      <c r="J287" s="80">
        <f>I287</f>
        <v>0</v>
      </c>
      <c r="K287" s="235"/>
      <c r="L287" s="235"/>
      <c r="M287" s="235"/>
      <c r="N287" s="437"/>
      <c r="O287" s="437"/>
      <c r="P287" s="481"/>
    </row>
    <row r="288" spans="1:16" s="57" customFormat="1" ht="70.5" customHeight="1">
      <c r="A288" s="26">
        <v>2818340</v>
      </c>
      <c r="B288" s="26">
        <v>8340</v>
      </c>
      <c r="C288" s="26" t="s">
        <v>302</v>
      </c>
      <c r="D288" s="86" t="s">
        <v>390</v>
      </c>
      <c r="E288" s="241" t="s">
        <v>563</v>
      </c>
      <c r="F288" s="88" t="s">
        <v>172</v>
      </c>
      <c r="G288" s="148">
        <f>SUM(H288+I288)</f>
        <v>9030019.18</v>
      </c>
      <c r="H288" s="151">
        <v>0</v>
      </c>
      <c r="I288" s="151">
        <f>8450000+580019.18-600000+600000</f>
        <v>9030019.18</v>
      </c>
      <c r="J288" s="80">
        <v>0</v>
      </c>
      <c r="K288" s="515"/>
      <c r="L288" s="235"/>
      <c r="M288" s="235"/>
      <c r="N288" s="437"/>
      <c r="O288" s="437"/>
      <c r="P288" s="481"/>
    </row>
    <row r="289" spans="1:16" s="57" customFormat="1" ht="72" customHeight="1">
      <c r="A289" s="54" t="s">
        <v>53</v>
      </c>
      <c r="B289" s="53"/>
      <c r="C289" s="53"/>
      <c r="D289" s="295" t="s">
        <v>133</v>
      </c>
      <c r="E289" s="296"/>
      <c r="F289" s="55" t="s">
        <v>421</v>
      </c>
      <c r="G289" s="58">
        <f>G290</f>
        <v>723700</v>
      </c>
      <c r="H289" s="58">
        <f>H290</f>
        <v>223700</v>
      </c>
      <c r="I289" s="58">
        <f>I290</f>
        <v>500000</v>
      </c>
      <c r="J289" s="58">
        <f>J290</f>
        <v>500000</v>
      </c>
      <c r="K289" s="235"/>
      <c r="L289" s="235"/>
      <c r="M289" s="235"/>
      <c r="N289" s="437"/>
      <c r="O289" s="437"/>
      <c r="P289" s="481"/>
    </row>
    <row r="290" spans="1:16" s="57" customFormat="1" ht="63" customHeight="1">
      <c r="A290" s="38">
        <v>2910000</v>
      </c>
      <c r="B290" s="37"/>
      <c r="C290" s="37"/>
      <c r="D290" s="297" t="s">
        <v>306</v>
      </c>
      <c r="E290" s="298"/>
      <c r="F290" s="39" t="s">
        <v>421</v>
      </c>
      <c r="G290" s="51">
        <f>H290+I290</f>
        <v>723700</v>
      </c>
      <c r="H290" s="51">
        <f>SUM(H291+H292+H293+H294)</f>
        <v>223700</v>
      </c>
      <c r="I290" s="51">
        <f>SUM(I291+I292+I293+I294)</f>
        <v>500000</v>
      </c>
      <c r="J290" s="51">
        <f>SUM(J291+J292+J293+J294)</f>
        <v>500000</v>
      </c>
      <c r="K290" s="234"/>
      <c r="L290" s="234"/>
      <c r="M290" s="234"/>
      <c r="N290" s="438"/>
      <c r="O290" s="438"/>
      <c r="P290" s="516"/>
    </row>
    <row r="291" spans="1:16" s="57" customFormat="1" ht="99.75" customHeight="1">
      <c r="A291" s="44" t="s">
        <v>54</v>
      </c>
      <c r="B291" s="44" t="s">
        <v>296</v>
      </c>
      <c r="C291" s="44" t="s">
        <v>252</v>
      </c>
      <c r="D291" s="28" t="s">
        <v>605</v>
      </c>
      <c r="E291" s="43" t="s">
        <v>404</v>
      </c>
      <c r="F291" s="43" t="s">
        <v>462</v>
      </c>
      <c r="G291" s="30">
        <f>SUM(H291+I291)</f>
        <v>223700</v>
      </c>
      <c r="H291" s="36">
        <f>338200-212500+49000+49000</f>
        <v>223700</v>
      </c>
      <c r="I291" s="32">
        <v>0</v>
      </c>
      <c r="J291" s="32">
        <v>0</v>
      </c>
      <c r="K291" s="234"/>
      <c r="L291" s="235"/>
      <c r="M291" s="235"/>
      <c r="N291" s="437"/>
      <c r="O291" s="437"/>
      <c r="P291" s="481"/>
    </row>
    <row r="292" spans="1:16" s="57" customFormat="1" ht="120" customHeight="1" hidden="1">
      <c r="A292" s="44" t="s">
        <v>138</v>
      </c>
      <c r="B292" s="26">
        <v>7130</v>
      </c>
      <c r="C292" s="26" t="s">
        <v>292</v>
      </c>
      <c r="D292" s="28" t="s">
        <v>386</v>
      </c>
      <c r="E292" s="193" t="s">
        <v>570</v>
      </c>
      <c r="F292" s="43" t="s">
        <v>601</v>
      </c>
      <c r="G292" s="30">
        <f>SUM(H292+I292)</f>
        <v>0</v>
      </c>
      <c r="H292" s="36"/>
      <c r="I292" s="32">
        <v>0</v>
      </c>
      <c r="J292" s="32">
        <v>0</v>
      </c>
      <c r="K292" s="234"/>
      <c r="L292" s="235"/>
      <c r="M292" s="235"/>
      <c r="N292" s="437"/>
      <c r="O292" s="437"/>
      <c r="P292" s="481"/>
    </row>
    <row r="293" spans="1:16" s="224" customFormat="1" ht="100.5" customHeight="1">
      <c r="A293" s="44" t="s">
        <v>565</v>
      </c>
      <c r="B293" s="27" t="s">
        <v>566</v>
      </c>
      <c r="C293" s="26" t="s">
        <v>299</v>
      </c>
      <c r="D293" s="28" t="s">
        <v>592</v>
      </c>
      <c r="E293" s="190" t="s">
        <v>599</v>
      </c>
      <c r="F293" s="43" t="s">
        <v>508</v>
      </c>
      <c r="G293" s="30">
        <f>SUM(H293+I293)</f>
        <v>500000</v>
      </c>
      <c r="H293" s="36">
        <v>0</v>
      </c>
      <c r="I293" s="32">
        <v>500000</v>
      </c>
      <c r="J293" s="32">
        <f>I293</f>
        <v>500000</v>
      </c>
      <c r="K293" s="234"/>
      <c r="L293" s="235"/>
      <c r="M293" s="235"/>
      <c r="N293" s="437"/>
      <c r="O293" s="437"/>
      <c r="P293" s="517"/>
    </row>
    <row r="294" spans="1:16" s="57" customFormat="1" ht="63.75" customHeight="1" hidden="1">
      <c r="A294" s="26" t="s">
        <v>63</v>
      </c>
      <c r="B294" s="26">
        <v>9770</v>
      </c>
      <c r="C294" s="26" t="s">
        <v>296</v>
      </c>
      <c r="D294" s="110" t="s">
        <v>64</v>
      </c>
      <c r="E294" s="303" t="s">
        <v>660</v>
      </c>
      <c r="F294" s="283" t="s">
        <v>557</v>
      </c>
      <c r="G294" s="30">
        <f>SUM(H294+I294)</f>
        <v>0</v>
      </c>
      <c r="H294" s="60"/>
      <c r="I294" s="31"/>
      <c r="J294" s="31">
        <f>I294</f>
        <v>0</v>
      </c>
      <c r="K294" s="235"/>
      <c r="L294" s="235"/>
      <c r="M294" s="235"/>
      <c r="N294" s="437"/>
      <c r="O294" s="437"/>
      <c r="P294" s="481"/>
    </row>
    <row r="295" spans="1:16" s="133" customFormat="1" ht="114.75" customHeight="1" hidden="1">
      <c r="A295" s="180"/>
      <c r="B295" s="180"/>
      <c r="C295" s="181"/>
      <c r="D295" s="96" t="s">
        <v>663</v>
      </c>
      <c r="E295" s="304"/>
      <c r="F295" s="283"/>
      <c r="G295" s="131">
        <f>H295+I295</f>
        <v>0</v>
      </c>
      <c r="H295" s="103"/>
      <c r="I295" s="98"/>
      <c r="J295" s="31">
        <f>I295</f>
        <v>0</v>
      </c>
      <c r="K295" s="452"/>
      <c r="L295" s="453"/>
      <c r="M295" s="453"/>
      <c r="N295" s="437"/>
      <c r="O295" s="437"/>
      <c r="P295" s="475"/>
    </row>
    <row r="296" spans="1:16" s="57" customFormat="1" ht="50.25" customHeight="1">
      <c r="A296" s="54" t="s">
        <v>286</v>
      </c>
      <c r="B296" s="53"/>
      <c r="C296" s="53"/>
      <c r="D296" s="295" t="s">
        <v>385</v>
      </c>
      <c r="E296" s="296"/>
      <c r="F296" s="55" t="s">
        <v>421</v>
      </c>
      <c r="G296" s="58">
        <f>G297</f>
        <v>1638200</v>
      </c>
      <c r="H296" s="58">
        <f>H297</f>
        <v>339500</v>
      </c>
      <c r="I296" s="58">
        <f>I297</f>
        <v>1298700</v>
      </c>
      <c r="J296" s="58">
        <f>J297</f>
        <v>1298700</v>
      </c>
      <c r="K296" s="235"/>
      <c r="L296" s="235"/>
      <c r="M296" s="235"/>
      <c r="N296" s="437"/>
      <c r="O296" s="437"/>
      <c r="P296" s="481"/>
    </row>
    <row r="297" spans="1:16" s="57" customFormat="1" ht="67.5" customHeight="1">
      <c r="A297" s="38" t="s">
        <v>287</v>
      </c>
      <c r="B297" s="37"/>
      <c r="C297" s="37"/>
      <c r="D297" s="297" t="s">
        <v>291</v>
      </c>
      <c r="E297" s="298"/>
      <c r="F297" s="39" t="s">
        <v>421</v>
      </c>
      <c r="G297" s="51">
        <f>H297+I297</f>
        <v>1638200</v>
      </c>
      <c r="H297" s="51">
        <f>SUM(H298+H299+H300+H301+H302+H303+H304+H305+H306+H307+H308)</f>
        <v>339500</v>
      </c>
      <c r="I297" s="51">
        <f>SUM(I298+I299+I300+I301+I302+I303+I304+I305+I306+I307+I308)</f>
        <v>1298700</v>
      </c>
      <c r="J297" s="51">
        <f>SUM(J298+J299+J300+J301+J302+J303+J304+J305+J306+J307+J308)</f>
        <v>1298700</v>
      </c>
      <c r="K297" s="234"/>
      <c r="L297" s="234"/>
      <c r="M297" s="234"/>
      <c r="N297" s="438"/>
      <c r="O297" s="438"/>
      <c r="P297" s="481"/>
    </row>
    <row r="298" spans="1:16" s="57" customFormat="1" ht="98.25" customHeight="1">
      <c r="A298" s="44" t="s">
        <v>55</v>
      </c>
      <c r="B298" s="44" t="s">
        <v>296</v>
      </c>
      <c r="C298" s="44" t="s">
        <v>252</v>
      </c>
      <c r="D298" s="28" t="s">
        <v>605</v>
      </c>
      <c r="E298" s="43" t="s">
        <v>514</v>
      </c>
      <c r="F298" s="43" t="s">
        <v>462</v>
      </c>
      <c r="G298" s="30">
        <f>SUM(H298+I298)</f>
        <v>251700</v>
      </c>
      <c r="H298" s="36">
        <v>251700</v>
      </c>
      <c r="I298" s="32">
        <v>0</v>
      </c>
      <c r="J298" s="32">
        <v>0</v>
      </c>
      <c r="K298" s="234"/>
      <c r="L298" s="235"/>
      <c r="M298" s="235"/>
      <c r="N298" s="437"/>
      <c r="O298" s="437"/>
      <c r="P298" s="481"/>
    </row>
    <row r="299" spans="1:16" s="57" customFormat="1" ht="212.25" customHeight="1" hidden="1">
      <c r="A299" s="44" t="s">
        <v>65</v>
      </c>
      <c r="B299" s="44" t="s">
        <v>66</v>
      </c>
      <c r="C299" s="44" t="s">
        <v>68</v>
      </c>
      <c r="D299" s="199" t="s">
        <v>67</v>
      </c>
      <c r="E299" s="140" t="s">
        <v>646</v>
      </c>
      <c r="F299" s="140" t="s">
        <v>553</v>
      </c>
      <c r="G299" s="30">
        <f aca="true" t="shared" si="20" ref="G299:G308">SUM(H299+I299)</f>
        <v>0</v>
      </c>
      <c r="H299" s="31"/>
      <c r="I299" s="32"/>
      <c r="J299" s="31">
        <f aca="true" t="shared" si="21" ref="J299:J308">I299</f>
        <v>0</v>
      </c>
      <c r="K299" s="512"/>
      <c r="L299" s="235"/>
      <c r="M299" s="235"/>
      <c r="N299" s="437"/>
      <c r="O299" s="437"/>
      <c r="P299" s="481"/>
    </row>
    <row r="300" spans="1:16" s="57" customFormat="1" ht="120.75" customHeight="1" hidden="1">
      <c r="A300" s="44" t="s">
        <v>65</v>
      </c>
      <c r="B300" s="44" t="s">
        <v>66</v>
      </c>
      <c r="C300" s="44" t="s">
        <v>68</v>
      </c>
      <c r="D300" s="199" t="s">
        <v>67</v>
      </c>
      <c r="E300" s="140" t="s">
        <v>436</v>
      </c>
      <c r="F300" s="140" t="s">
        <v>552</v>
      </c>
      <c r="G300" s="30">
        <f>SUM(H300+I300)</f>
        <v>0</v>
      </c>
      <c r="H300" s="31"/>
      <c r="I300" s="32"/>
      <c r="J300" s="31">
        <f t="shared" si="21"/>
        <v>0</v>
      </c>
      <c r="K300" s="512"/>
      <c r="L300" s="235"/>
      <c r="M300" s="235"/>
      <c r="N300" s="437"/>
      <c r="O300" s="437"/>
      <c r="P300" s="481"/>
    </row>
    <row r="301" spans="1:16" s="202" customFormat="1" ht="210" customHeight="1">
      <c r="A301" s="81" t="s">
        <v>65</v>
      </c>
      <c r="B301" s="81" t="s">
        <v>66</v>
      </c>
      <c r="C301" s="81" t="s">
        <v>68</v>
      </c>
      <c r="D301" s="201" t="s">
        <v>67</v>
      </c>
      <c r="E301" s="139" t="s">
        <v>646</v>
      </c>
      <c r="F301" s="139" t="s">
        <v>571</v>
      </c>
      <c r="G301" s="148">
        <f>SUM(H301+I301)</f>
        <v>650000</v>
      </c>
      <c r="H301" s="80">
        <v>0</v>
      </c>
      <c r="I301" s="80">
        <v>650000</v>
      </c>
      <c r="J301" s="80">
        <f t="shared" si="21"/>
        <v>650000</v>
      </c>
      <c r="K301" s="518"/>
      <c r="L301" s="443"/>
      <c r="M301" s="519"/>
      <c r="N301" s="445"/>
      <c r="O301" s="445"/>
      <c r="P301" s="520"/>
    </row>
    <row r="302" spans="1:16" s="202" customFormat="1" ht="150" customHeight="1" hidden="1">
      <c r="A302" s="81" t="s">
        <v>69</v>
      </c>
      <c r="B302" s="81" t="s">
        <v>70</v>
      </c>
      <c r="C302" s="81" t="s">
        <v>68</v>
      </c>
      <c r="D302" s="184" t="s">
        <v>71</v>
      </c>
      <c r="E302" s="203" t="s">
        <v>435</v>
      </c>
      <c r="F302" s="125" t="s">
        <v>551</v>
      </c>
      <c r="G302" s="148">
        <f>SUM(H302+I302)</f>
        <v>0</v>
      </c>
      <c r="H302" s="85"/>
      <c r="I302" s="80"/>
      <c r="J302" s="80">
        <f>I302</f>
        <v>0</v>
      </c>
      <c r="K302" s="518"/>
      <c r="L302" s="443"/>
      <c r="M302" s="443"/>
      <c r="N302" s="445"/>
      <c r="O302" s="445"/>
      <c r="P302" s="520"/>
    </row>
    <row r="303" spans="1:16" s="202" customFormat="1" ht="213" customHeight="1">
      <c r="A303" s="81" t="s">
        <v>69</v>
      </c>
      <c r="B303" s="81" t="s">
        <v>70</v>
      </c>
      <c r="C303" s="81" t="s">
        <v>68</v>
      </c>
      <c r="D303" s="184" t="s">
        <v>71</v>
      </c>
      <c r="E303" s="139" t="s">
        <v>482</v>
      </c>
      <c r="F303" s="139" t="s">
        <v>571</v>
      </c>
      <c r="G303" s="148">
        <f>SUM(H303+I303)</f>
        <v>55800</v>
      </c>
      <c r="H303" s="85">
        <v>55800</v>
      </c>
      <c r="I303" s="80">
        <v>0</v>
      </c>
      <c r="J303" s="80">
        <f t="shared" si="21"/>
        <v>0</v>
      </c>
      <c r="K303" s="521"/>
      <c r="L303" s="443"/>
      <c r="M303" s="519"/>
      <c r="N303" s="445"/>
      <c r="O303" s="445"/>
      <c r="P303" s="520"/>
    </row>
    <row r="304" spans="1:16" s="202" customFormat="1" ht="192" customHeight="1" hidden="1">
      <c r="A304" s="81" t="s">
        <v>69</v>
      </c>
      <c r="B304" s="81" t="s">
        <v>70</v>
      </c>
      <c r="C304" s="81" t="s">
        <v>68</v>
      </c>
      <c r="D304" s="184" t="s">
        <v>71</v>
      </c>
      <c r="E304" s="139" t="s">
        <v>276</v>
      </c>
      <c r="F304" s="139" t="s">
        <v>615</v>
      </c>
      <c r="G304" s="148">
        <f>SUM(H304+I304)</f>
        <v>0</v>
      </c>
      <c r="H304" s="80"/>
      <c r="I304" s="80"/>
      <c r="J304" s="80">
        <f>I304</f>
        <v>0</v>
      </c>
      <c r="K304" s="518"/>
      <c r="L304" s="443"/>
      <c r="M304" s="519"/>
      <c r="N304" s="445"/>
      <c r="O304" s="445"/>
      <c r="P304" s="520"/>
    </row>
    <row r="305" spans="1:16" s="57" customFormat="1" ht="96.75" customHeight="1" hidden="1">
      <c r="A305" s="26">
        <v>3117130</v>
      </c>
      <c r="B305" s="26">
        <v>7130</v>
      </c>
      <c r="C305" s="26" t="s">
        <v>292</v>
      </c>
      <c r="D305" s="28" t="s">
        <v>386</v>
      </c>
      <c r="E305" s="61" t="s">
        <v>595</v>
      </c>
      <c r="F305" s="88" t="s">
        <v>594</v>
      </c>
      <c r="G305" s="30">
        <f t="shared" si="20"/>
        <v>0</v>
      </c>
      <c r="H305" s="60">
        <v>0</v>
      </c>
      <c r="I305" s="31">
        <v>0</v>
      </c>
      <c r="J305" s="31">
        <f t="shared" si="21"/>
        <v>0</v>
      </c>
      <c r="K305" s="235"/>
      <c r="L305" s="235"/>
      <c r="M305" s="235"/>
      <c r="N305" s="437"/>
      <c r="O305" s="437"/>
      <c r="P305" s="481"/>
    </row>
    <row r="306" spans="1:16" s="57" customFormat="1" ht="90" customHeight="1">
      <c r="A306" s="26">
        <v>3117650</v>
      </c>
      <c r="B306" s="26">
        <v>7650</v>
      </c>
      <c r="C306" s="26" t="s">
        <v>268</v>
      </c>
      <c r="D306" s="28" t="s">
        <v>204</v>
      </c>
      <c r="E306" s="61" t="s">
        <v>595</v>
      </c>
      <c r="F306" s="88" t="s">
        <v>594</v>
      </c>
      <c r="G306" s="30">
        <f t="shared" si="20"/>
        <v>499700</v>
      </c>
      <c r="H306" s="60">
        <v>0</v>
      </c>
      <c r="I306" s="31">
        <f>113700-65000+451000</f>
        <v>499700</v>
      </c>
      <c r="J306" s="31">
        <f t="shared" si="21"/>
        <v>499700</v>
      </c>
      <c r="K306" s="235"/>
      <c r="L306" s="235"/>
      <c r="M306" s="235"/>
      <c r="N306" s="437"/>
      <c r="O306" s="437"/>
      <c r="P306" s="481"/>
    </row>
    <row r="307" spans="1:16" s="57" customFormat="1" ht="150.75" customHeight="1">
      <c r="A307" s="26">
        <v>3117660</v>
      </c>
      <c r="B307" s="26">
        <v>7660</v>
      </c>
      <c r="C307" s="26" t="s">
        <v>268</v>
      </c>
      <c r="D307" s="28" t="s">
        <v>155</v>
      </c>
      <c r="E307" s="61" t="s">
        <v>595</v>
      </c>
      <c r="F307" s="88" t="s">
        <v>594</v>
      </c>
      <c r="G307" s="30">
        <f t="shared" si="20"/>
        <v>149000</v>
      </c>
      <c r="H307" s="60">
        <v>0</v>
      </c>
      <c r="I307" s="31">
        <f>227500+65000+307500-451000</f>
        <v>149000</v>
      </c>
      <c r="J307" s="31">
        <f t="shared" si="21"/>
        <v>149000</v>
      </c>
      <c r="K307" s="235"/>
      <c r="L307" s="235"/>
      <c r="M307" s="235"/>
      <c r="N307" s="437"/>
      <c r="O307" s="437"/>
      <c r="P307" s="481"/>
    </row>
    <row r="308" spans="1:16" s="57" customFormat="1" ht="125.25" customHeight="1">
      <c r="A308" s="44" t="s">
        <v>90</v>
      </c>
      <c r="B308" s="44" t="s">
        <v>73</v>
      </c>
      <c r="C308" s="44" t="s">
        <v>268</v>
      </c>
      <c r="D308" s="199" t="s">
        <v>91</v>
      </c>
      <c r="E308" s="204" t="s">
        <v>437</v>
      </c>
      <c r="F308" s="43" t="s">
        <v>549</v>
      </c>
      <c r="G308" s="30">
        <f t="shared" si="20"/>
        <v>32000</v>
      </c>
      <c r="H308" s="36">
        <v>32000</v>
      </c>
      <c r="I308" s="32">
        <v>0</v>
      </c>
      <c r="J308" s="31">
        <f t="shared" si="21"/>
        <v>0</v>
      </c>
      <c r="K308" s="235"/>
      <c r="L308" s="235"/>
      <c r="M308" s="235"/>
      <c r="N308" s="437"/>
      <c r="O308" s="437"/>
      <c r="P308" s="481"/>
    </row>
    <row r="309" spans="1:16" s="57" customFormat="1" ht="47.25" customHeight="1">
      <c r="A309" s="54" t="s">
        <v>56</v>
      </c>
      <c r="B309" s="53"/>
      <c r="C309" s="53"/>
      <c r="D309" s="295" t="s">
        <v>58</v>
      </c>
      <c r="E309" s="296"/>
      <c r="F309" s="55" t="s">
        <v>421</v>
      </c>
      <c r="G309" s="58">
        <f>G310</f>
        <v>583500</v>
      </c>
      <c r="H309" s="58">
        <f>H310</f>
        <v>583500</v>
      </c>
      <c r="I309" s="58">
        <f>I310</f>
        <v>0</v>
      </c>
      <c r="J309" s="58">
        <f>J310</f>
        <v>0</v>
      </c>
      <c r="K309" s="235"/>
      <c r="L309" s="235"/>
      <c r="M309" s="235"/>
      <c r="N309" s="437"/>
      <c r="O309" s="437"/>
      <c r="P309" s="481"/>
    </row>
    <row r="310" spans="1:16" s="57" customFormat="1" ht="48.75" customHeight="1">
      <c r="A310" s="38" t="s">
        <v>57</v>
      </c>
      <c r="B310" s="37"/>
      <c r="C310" s="37"/>
      <c r="D310" s="297" t="s">
        <v>288</v>
      </c>
      <c r="E310" s="298"/>
      <c r="F310" s="39" t="s">
        <v>421</v>
      </c>
      <c r="G310" s="51">
        <f>H310+I310</f>
        <v>583500</v>
      </c>
      <c r="H310" s="51">
        <f>H311+H312</f>
        <v>583500</v>
      </c>
      <c r="I310" s="51">
        <f>I311+I312</f>
        <v>0</v>
      </c>
      <c r="J310" s="51">
        <f>J311+J312</f>
        <v>0</v>
      </c>
      <c r="K310" s="438"/>
      <c r="L310" s="438"/>
      <c r="M310" s="438"/>
      <c r="N310" s="438"/>
      <c r="O310" s="438"/>
      <c r="P310" s="481"/>
    </row>
    <row r="311" spans="1:16" s="57" customFormat="1" ht="105" customHeight="1">
      <c r="A311" s="26" t="s">
        <v>59</v>
      </c>
      <c r="B311" s="44" t="s">
        <v>296</v>
      </c>
      <c r="C311" s="26" t="s">
        <v>252</v>
      </c>
      <c r="D311" s="28" t="s">
        <v>605</v>
      </c>
      <c r="E311" s="43" t="s">
        <v>517</v>
      </c>
      <c r="F311" s="43" t="s">
        <v>462</v>
      </c>
      <c r="G311" s="30">
        <f>SUM(H311+I311)</f>
        <v>583500</v>
      </c>
      <c r="H311" s="36">
        <f>1681300-143800+49000-1003000</f>
        <v>583500</v>
      </c>
      <c r="I311" s="31">
        <v>0</v>
      </c>
      <c r="J311" s="31">
        <v>0</v>
      </c>
      <c r="K311" s="235"/>
      <c r="L311" s="235"/>
      <c r="M311" s="235"/>
      <c r="N311" s="437"/>
      <c r="O311" s="437"/>
      <c r="P311" s="481"/>
    </row>
    <row r="312" spans="1:16" s="57" customFormat="1" ht="87" customHeight="1" hidden="1">
      <c r="A312" s="26">
        <v>3216030</v>
      </c>
      <c r="B312" s="26">
        <v>6030</v>
      </c>
      <c r="C312" s="26" t="s">
        <v>255</v>
      </c>
      <c r="D312" s="28" t="s">
        <v>473</v>
      </c>
      <c r="E312" s="25" t="s">
        <v>438</v>
      </c>
      <c r="F312" s="25" t="s">
        <v>456</v>
      </c>
      <c r="G312" s="59">
        <f>H312+I312</f>
        <v>0</v>
      </c>
      <c r="H312" s="32"/>
      <c r="I312" s="31"/>
      <c r="J312" s="31">
        <f>I312</f>
        <v>0</v>
      </c>
      <c r="K312" s="235"/>
      <c r="L312" s="235"/>
      <c r="M312" s="235"/>
      <c r="N312" s="437"/>
      <c r="O312" s="437"/>
      <c r="P312" s="481"/>
    </row>
    <row r="313" spans="1:16" s="57" customFormat="1" ht="36" customHeight="1">
      <c r="A313" s="54" t="s">
        <v>387</v>
      </c>
      <c r="B313" s="53"/>
      <c r="C313" s="53"/>
      <c r="D313" s="295" t="s">
        <v>388</v>
      </c>
      <c r="E313" s="296"/>
      <c r="F313" s="55" t="s">
        <v>421</v>
      </c>
      <c r="G313" s="58">
        <f>G314</f>
        <v>346045</v>
      </c>
      <c r="H313" s="58">
        <f>H314</f>
        <v>346045</v>
      </c>
      <c r="I313" s="58">
        <f>I314</f>
        <v>0</v>
      </c>
      <c r="J313" s="58">
        <f>J314</f>
        <v>0</v>
      </c>
      <c r="K313" s="235"/>
      <c r="L313" s="235"/>
      <c r="M313" s="235"/>
      <c r="N313" s="437"/>
      <c r="O313" s="437"/>
      <c r="P313" s="481"/>
    </row>
    <row r="314" spans="1:16" s="57" customFormat="1" ht="53.25" customHeight="1">
      <c r="A314" s="38" t="s">
        <v>389</v>
      </c>
      <c r="B314" s="37"/>
      <c r="C314" s="37"/>
      <c r="D314" s="297" t="s">
        <v>289</v>
      </c>
      <c r="E314" s="298"/>
      <c r="F314" s="39" t="s">
        <v>421</v>
      </c>
      <c r="G314" s="51">
        <f>H314+I314</f>
        <v>346045</v>
      </c>
      <c r="H314" s="51">
        <f>H315+H316+H317+H318</f>
        <v>346045</v>
      </c>
      <c r="I314" s="51">
        <f>I315+I316+I317+I318</f>
        <v>0</v>
      </c>
      <c r="J314" s="51">
        <f>J315+J316+J317+J318</f>
        <v>0</v>
      </c>
      <c r="K314" s="234"/>
      <c r="L314" s="234"/>
      <c r="M314" s="234"/>
      <c r="N314" s="438"/>
      <c r="O314" s="438"/>
      <c r="P314" s="481"/>
    </row>
    <row r="315" spans="1:16" s="57" customFormat="1" ht="99.75" customHeight="1">
      <c r="A315" s="44" t="s">
        <v>60</v>
      </c>
      <c r="B315" s="44" t="s">
        <v>296</v>
      </c>
      <c r="C315" s="44" t="s">
        <v>252</v>
      </c>
      <c r="D315" s="28" t="s">
        <v>605</v>
      </c>
      <c r="E315" s="43" t="s">
        <v>515</v>
      </c>
      <c r="F315" s="43" t="s">
        <v>462</v>
      </c>
      <c r="G315" s="59">
        <f>H315+I315</f>
        <v>346045</v>
      </c>
      <c r="H315" s="36">
        <f>487700-266100+75445+49000</f>
        <v>346045</v>
      </c>
      <c r="I315" s="32">
        <v>0</v>
      </c>
      <c r="J315" s="32">
        <v>0</v>
      </c>
      <c r="K315" s="234"/>
      <c r="L315" s="235"/>
      <c r="M315" s="235"/>
      <c r="N315" s="437"/>
      <c r="O315" s="437"/>
      <c r="P315" s="481"/>
    </row>
    <row r="316" spans="1:16" s="57" customFormat="1" ht="165" customHeight="1" hidden="1">
      <c r="A316" s="44" t="s">
        <v>320</v>
      </c>
      <c r="B316" s="26">
        <v>6020</v>
      </c>
      <c r="C316" s="26" t="s">
        <v>255</v>
      </c>
      <c r="D316" s="28" t="s">
        <v>398</v>
      </c>
      <c r="E316" s="61" t="s">
        <v>228</v>
      </c>
      <c r="F316" s="61" t="s">
        <v>647</v>
      </c>
      <c r="G316" s="59">
        <f>H316+I316</f>
        <v>0</v>
      </c>
      <c r="H316" s="60"/>
      <c r="I316" s="32"/>
      <c r="J316" s="31">
        <f>I316</f>
        <v>0</v>
      </c>
      <c r="K316" s="234"/>
      <c r="L316" s="235"/>
      <c r="M316" s="235"/>
      <c r="N316" s="437"/>
      <c r="O316" s="437"/>
      <c r="P316" s="481"/>
    </row>
    <row r="317" spans="1:16" s="57" customFormat="1" ht="117.75" customHeight="1" hidden="1">
      <c r="A317" s="44" t="s">
        <v>320</v>
      </c>
      <c r="B317" s="26">
        <v>6020</v>
      </c>
      <c r="C317" s="26" t="s">
        <v>255</v>
      </c>
      <c r="D317" s="28" t="s">
        <v>398</v>
      </c>
      <c r="E317" s="61" t="s">
        <v>516</v>
      </c>
      <c r="F317" s="61" t="s">
        <v>531</v>
      </c>
      <c r="G317" s="59">
        <f>H317+I317</f>
        <v>0</v>
      </c>
      <c r="H317" s="60">
        <v>0</v>
      </c>
      <c r="I317" s="32">
        <v>0</v>
      </c>
      <c r="J317" s="31">
        <f>I317</f>
        <v>0</v>
      </c>
      <c r="K317" s="235"/>
      <c r="L317" s="235"/>
      <c r="M317" s="235"/>
      <c r="N317" s="437"/>
      <c r="O317" s="437"/>
      <c r="P317" s="481"/>
    </row>
    <row r="318" spans="1:16" s="57" customFormat="1" ht="129" customHeight="1" hidden="1">
      <c r="A318" s="26">
        <v>3417610</v>
      </c>
      <c r="B318" s="26">
        <v>7610</v>
      </c>
      <c r="C318" s="26" t="s">
        <v>290</v>
      </c>
      <c r="D318" s="28" t="s">
        <v>322</v>
      </c>
      <c r="E318" s="61" t="s">
        <v>154</v>
      </c>
      <c r="F318" s="61" t="s">
        <v>548</v>
      </c>
      <c r="G318" s="59">
        <f>H318+I318</f>
        <v>0</v>
      </c>
      <c r="H318" s="60"/>
      <c r="I318" s="31"/>
      <c r="J318" s="31">
        <f>I318</f>
        <v>0</v>
      </c>
      <c r="K318" s="235"/>
      <c r="L318" s="235"/>
      <c r="M318" s="235"/>
      <c r="N318" s="437"/>
      <c r="O318" s="437"/>
      <c r="P318" s="481"/>
    </row>
    <row r="319" spans="1:16" s="57" customFormat="1" ht="39" customHeight="1">
      <c r="A319" s="54">
        <v>3700000</v>
      </c>
      <c r="B319" s="53"/>
      <c r="C319" s="54"/>
      <c r="D319" s="314" t="s">
        <v>61</v>
      </c>
      <c r="E319" s="315"/>
      <c r="F319" s="169" t="s">
        <v>421</v>
      </c>
      <c r="G319" s="56">
        <f>G320</f>
        <v>5579300</v>
      </c>
      <c r="H319" s="56">
        <f>H320</f>
        <v>3654300</v>
      </c>
      <c r="I319" s="56">
        <f>I320</f>
        <v>1925000</v>
      </c>
      <c r="J319" s="56">
        <f>J320</f>
        <v>1925000</v>
      </c>
      <c r="K319" s="235"/>
      <c r="L319" s="235"/>
      <c r="M319" s="235"/>
      <c r="N319" s="437"/>
      <c r="O319" s="437"/>
      <c r="P319" s="481"/>
    </row>
    <row r="320" spans="1:16" s="200" customFormat="1" ht="36" customHeight="1">
      <c r="A320" s="38">
        <v>3710000</v>
      </c>
      <c r="B320" s="37"/>
      <c r="C320" s="38"/>
      <c r="D320" s="297" t="s">
        <v>474</v>
      </c>
      <c r="E320" s="298"/>
      <c r="F320" s="39" t="s">
        <v>421</v>
      </c>
      <c r="G320" s="51">
        <f>H320+I320</f>
        <v>5579300</v>
      </c>
      <c r="H320" s="51">
        <f>H321+H324+H325+H326</f>
        <v>3654300</v>
      </c>
      <c r="I320" s="51">
        <f>I321+I324+I325+I326</f>
        <v>1925000</v>
      </c>
      <c r="J320" s="51">
        <f>J321+J324+J325+J326</f>
        <v>1925000</v>
      </c>
      <c r="K320" s="438"/>
      <c r="L320" s="438"/>
      <c r="M320" s="438"/>
      <c r="N320" s="438"/>
      <c r="O320" s="438"/>
      <c r="P320" s="516"/>
    </row>
    <row r="321" spans="1:16" s="57" customFormat="1" ht="93" customHeight="1">
      <c r="A321" s="49">
        <v>3710180</v>
      </c>
      <c r="B321" s="44" t="s">
        <v>296</v>
      </c>
      <c r="C321" s="44" t="s">
        <v>252</v>
      </c>
      <c r="D321" s="28" t="s">
        <v>605</v>
      </c>
      <c r="E321" s="43" t="s">
        <v>404</v>
      </c>
      <c r="F321" s="43" t="s">
        <v>462</v>
      </c>
      <c r="G321" s="30">
        <f>SUM(H321+I321)</f>
        <v>129300</v>
      </c>
      <c r="H321" s="36">
        <f>273800-213500+49000+20000</f>
        <v>129300</v>
      </c>
      <c r="I321" s="31">
        <v>0</v>
      </c>
      <c r="J321" s="31">
        <v>0</v>
      </c>
      <c r="K321" s="235"/>
      <c r="L321" s="235"/>
      <c r="M321" s="235"/>
      <c r="N321" s="437"/>
      <c r="O321" s="437"/>
      <c r="P321" s="481"/>
    </row>
    <row r="322" spans="1:16" s="57" customFormat="1" ht="59.25" customHeight="1" hidden="1">
      <c r="A322" s="26" t="s">
        <v>659</v>
      </c>
      <c r="B322" s="26">
        <v>9770</v>
      </c>
      <c r="C322" s="26" t="s">
        <v>296</v>
      </c>
      <c r="D322" s="110" t="s">
        <v>64</v>
      </c>
      <c r="E322" s="317" t="s">
        <v>5</v>
      </c>
      <c r="F322" s="324" t="s">
        <v>347</v>
      </c>
      <c r="G322" s="30">
        <f>SUM(H322+I322)</f>
        <v>0</v>
      </c>
      <c r="H322" s="36"/>
      <c r="I322" s="31"/>
      <c r="J322" s="31">
        <f>I322</f>
        <v>0</v>
      </c>
      <c r="K322" s="235"/>
      <c r="L322" s="235"/>
      <c r="M322" s="235"/>
      <c r="N322" s="437"/>
      <c r="O322" s="437"/>
      <c r="P322" s="481"/>
    </row>
    <row r="323" spans="1:16" s="133" customFormat="1" ht="81" customHeight="1" hidden="1">
      <c r="A323" s="180"/>
      <c r="B323" s="180"/>
      <c r="C323" s="181"/>
      <c r="D323" s="96" t="s">
        <v>664</v>
      </c>
      <c r="E323" s="318"/>
      <c r="F323" s="324"/>
      <c r="G323" s="131">
        <f>H323+I323</f>
        <v>0</v>
      </c>
      <c r="H323" s="103"/>
      <c r="I323" s="98"/>
      <c r="J323" s="31">
        <f>I323</f>
        <v>0</v>
      </c>
      <c r="K323" s="452"/>
      <c r="L323" s="453"/>
      <c r="M323" s="453"/>
      <c r="N323" s="437"/>
      <c r="O323" s="437"/>
      <c r="P323" s="475"/>
    </row>
    <row r="324" spans="1:16" s="57" customFormat="1" ht="119.25" customHeight="1">
      <c r="A324" s="49" t="s">
        <v>661</v>
      </c>
      <c r="B324" s="44">
        <v>9800</v>
      </c>
      <c r="C324" s="44" t="s">
        <v>296</v>
      </c>
      <c r="D324" s="28" t="s">
        <v>662</v>
      </c>
      <c r="E324" s="43" t="s">
        <v>278</v>
      </c>
      <c r="F324" s="43" t="s">
        <v>173</v>
      </c>
      <c r="G324" s="30">
        <f>SUM(H324+I324)</f>
        <v>4500000</v>
      </c>
      <c r="H324" s="36">
        <f>1200000+1180000+200000+115000</f>
        <v>2695000</v>
      </c>
      <c r="I324" s="31">
        <f>800000+820000+100000+85000</f>
        <v>1805000</v>
      </c>
      <c r="J324" s="31">
        <f>I324</f>
        <v>1805000</v>
      </c>
      <c r="K324" s="468"/>
      <c r="L324" s="234"/>
      <c r="M324" s="234"/>
      <c r="N324" s="234"/>
      <c r="O324" s="437"/>
      <c r="P324" s="481"/>
    </row>
    <row r="325" spans="1:16" s="57" customFormat="1" ht="336.75" customHeight="1">
      <c r="A325" s="49" t="s">
        <v>661</v>
      </c>
      <c r="B325" s="44">
        <v>9800</v>
      </c>
      <c r="C325" s="44" t="s">
        <v>296</v>
      </c>
      <c r="D325" s="28" t="s">
        <v>662</v>
      </c>
      <c r="E325" s="43" t="s">
        <v>277</v>
      </c>
      <c r="F325" s="43" t="s">
        <v>174</v>
      </c>
      <c r="G325" s="30">
        <f>SUM(H325+I325)</f>
        <v>450000</v>
      </c>
      <c r="H325" s="36">
        <f>250000+80000</f>
        <v>330000</v>
      </c>
      <c r="I325" s="31">
        <f>120000</f>
        <v>120000</v>
      </c>
      <c r="J325" s="31">
        <f>I325</f>
        <v>120000</v>
      </c>
      <c r="K325" s="234"/>
      <c r="L325" s="234"/>
      <c r="M325" s="235"/>
      <c r="N325" s="437"/>
      <c r="O325" s="437"/>
      <c r="P325" s="481"/>
    </row>
    <row r="326" spans="1:16" s="57" customFormat="1" ht="99.75" customHeight="1">
      <c r="A326" s="49" t="s">
        <v>661</v>
      </c>
      <c r="B326" s="44">
        <v>9800</v>
      </c>
      <c r="C326" s="44" t="s">
        <v>296</v>
      </c>
      <c r="D326" s="28" t="s">
        <v>662</v>
      </c>
      <c r="E326" s="190" t="s">
        <v>599</v>
      </c>
      <c r="F326" s="43" t="s">
        <v>508</v>
      </c>
      <c r="G326" s="30">
        <f>SUM(H326+I326)</f>
        <v>500000</v>
      </c>
      <c r="H326" s="36">
        <v>500000</v>
      </c>
      <c r="I326" s="31">
        <v>0</v>
      </c>
      <c r="J326" s="31">
        <f>I326</f>
        <v>0</v>
      </c>
      <c r="K326" s="235"/>
      <c r="L326" s="235"/>
      <c r="M326" s="235"/>
      <c r="N326" s="437"/>
      <c r="O326" s="437"/>
      <c r="P326" s="481"/>
    </row>
    <row r="327" spans="1:16" s="34" customFormat="1" ht="112.5" customHeight="1" hidden="1">
      <c r="A327" s="26" t="s">
        <v>405</v>
      </c>
      <c r="B327" s="27" t="s">
        <v>296</v>
      </c>
      <c r="C327" s="26" t="s">
        <v>252</v>
      </c>
      <c r="D327" s="28" t="s">
        <v>325</v>
      </c>
      <c r="E327" s="43" t="s">
        <v>404</v>
      </c>
      <c r="F327" s="43" t="s">
        <v>462</v>
      </c>
      <c r="G327" s="30">
        <f>SUM(H327+I327)</f>
        <v>0</v>
      </c>
      <c r="H327" s="36"/>
      <c r="I327" s="31"/>
      <c r="J327" s="31"/>
      <c r="K327" s="234"/>
      <c r="L327" s="235"/>
      <c r="M327" s="235"/>
      <c r="N327" s="437"/>
      <c r="O327" s="437"/>
      <c r="P327" s="161"/>
    </row>
    <row r="328" spans="1:16" s="34" customFormat="1" ht="123.75" customHeight="1" hidden="1">
      <c r="A328" s="26" t="s">
        <v>405</v>
      </c>
      <c r="B328" s="27" t="s">
        <v>296</v>
      </c>
      <c r="C328" s="26" t="s">
        <v>252</v>
      </c>
      <c r="D328" s="28" t="s">
        <v>326</v>
      </c>
      <c r="E328" s="29" t="s">
        <v>120</v>
      </c>
      <c r="F328" s="29" t="s">
        <v>463</v>
      </c>
      <c r="G328" s="160">
        <f>SUM(H328+I328)</f>
        <v>0</v>
      </c>
      <c r="H328" s="31"/>
      <c r="I328" s="31"/>
      <c r="J328" s="31"/>
      <c r="K328" s="235"/>
      <c r="L328" s="235"/>
      <c r="M328" s="235"/>
      <c r="N328" s="437"/>
      <c r="O328" s="437"/>
      <c r="P328" s="161"/>
    </row>
    <row r="329" spans="1:16" s="34" customFormat="1" ht="99" customHeight="1" hidden="1">
      <c r="A329" s="26">
        <v>4113210</v>
      </c>
      <c r="B329" s="26">
        <v>3210</v>
      </c>
      <c r="C329" s="26" t="s">
        <v>253</v>
      </c>
      <c r="D329" s="28" t="s">
        <v>254</v>
      </c>
      <c r="E329" s="25" t="s">
        <v>560</v>
      </c>
      <c r="F329" s="25" t="s">
        <v>561</v>
      </c>
      <c r="G329" s="205">
        <f>H329+I329</f>
        <v>0</v>
      </c>
      <c r="H329" s="36"/>
      <c r="I329" s="36"/>
      <c r="J329" s="31">
        <f>I329</f>
        <v>0</v>
      </c>
      <c r="K329" s="235"/>
      <c r="L329" s="235"/>
      <c r="M329" s="235"/>
      <c r="N329" s="437"/>
      <c r="O329" s="437"/>
      <c r="P329" s="161"/>
    </row>
    <row r="330" spans="1:16" s="34" customFormat="1" ht="95.25" customHeight="1" hidden="1">
      <c r="A330" s="26">
        <v>4116030</v>
      </c>
      <c r="B330" s="26">
        <v>6030</v>
      </c>
      <c r="C330" s="26" t="s">
        <v>255</v>
      </c>
      <c r="D330" s="28" t="s">
        <v>473</v>
      </c>
      <c r="E330" s="25" t="s">
        <v>457</v>
      </c>
      <c r="F330" s="25" t="s">
        <v>456</v>
      </c>
      <c r="G330" s="59">
        <f>H330+I330</f>
        <v>0</v>
      </c>
      <c r="H330" s="32"/>
      <c r="I330" s="32"/>
      <c r="J330" s="31">
        <f>I330</f>
        <v>0</v>
      </c>
      <c r="K330" s="235"/>
      <c r="L330" s="235"/>
      <c r="M330" s="235"/>
      <c r="N330" s="437"/>
      <c r="O330" s="437"/>
      <c r="P330" s="161"/>
    </row>
    <row r="331" spans="1:16" s="34" customFormat="1" ht="54.75" customHeight="1" hidden="1">
      <c r="A331" s="54" t="s">
        <v>406</v>
      </c>
      <c r="B331" s="53"/>
      <c r="C331" s="53"/>
      <c r="D331" s="295" t="s">
        <v>134</v>
      </c>
      <c r="E331" s="296"/>
      <c r="F331" s="55" t="s">
        <v>421</v>
      </c>
      <c r="G331" s="94">
        <f>G332</f>
        <v>0</v>
      </c>
      <c r="H331" s="94">
        <f>H332</f>
        <v>0</v>
      </c>
      <c r="I331" s="94">
        <f>I332</f>
        <v>0</v>
      </c>
      <c r="J331" s="94">
        <f>J332</f>
        <v>0</v>
      </c>
      <c r="K331" s="235"/>
      <c r="L331" s="235"/>
      <c r="M331" s="235"/>
      <c r="N331" s="437"/>
      <c r="O331" s="437"/>
      <c r="P331" s="161"/>
    </row>
    <row r="332" spans="1:16" s="42" customFormat="1" ht="41.25" customHeight="1" hidden="1">
      <c r="A332" s="38">
        <v>4210000</v>
      </c>
      <c r="B332" s="37"/>
      <c r="C332" s="37"/>
      <c r="D332" s="297" t="s">
        <v>308</v>
      </c>
      <c r="E332" s="298"/>
      <c r="F332" s="39" t="s">
        <v>421</v>
      </c>
      <c r="G332" s="51">
        <f>SUM(G333+G334+G335+G336+G337)</f>
        <v>0</v>
      </c>
      <c r="H332" s="51">
        <f>SUM(H333+H334+H335+H336+H337)</f>
        <v>0</v>
      </c>
      <c r="I332" s="51">
        <f>SUM(I333+I334+I335+I336+I337)</f>
        <v>0</v>
      </c>
      <c r="J332" s="51">
        <f>SUM(J333+J334+J335+J336+J337)</f>
        <v>0</v>
      </c>
      <c r="K332" s="234"/>
      <c r="L332" s="234"/>
      <c r="M332" s="234"/>
      <c r="N332" s="437"/>
      <c r="O332" s="437"/>
      <c r="P332" s="156"/>
    </row>
    <row r="333" spans="1:16" s="34" customFormat="1" ht="105" customHeight="1" hidden="1">
      <c r="A333" s="26" t="s">
        <v>408</v>
      </c>
      <c r="B333" s="27" t="s">
        <v>296</v>
      </c>
      <c r="C333" s="26" t="s">
        <v>252</v>
      </c>
      <c r="D333" s="28" t="s">
        <v>325</v>
      </c>
      <c r="E333" s="43" t="s">
        <v>119</v>
      </c>
      <c r="F333" s="43" t="s">
        <v>462</v>
      </c>
      <c r="G333" s="30">
        <f>SUM(H333+I333)</f>
        <v>0</v>
      </c>
      <c r="H333" s="36"/>
      <c r="I333" s="31"/>
      <c r="J333" s="31"/>
      <c r="K333" s="235"/>
      <c r="L333" s="235"/>
      <c r="M333" s="235"/>
      <c r="N333" s="437"/>
      <c r="O333" s="437"/>
      <c r="P333" s="161"/>
    </row>
    <row r="334" spans="1:16" s="34" customFormat="1" ht="129.75" customHeight="1" hidden="1">
      <c r="A334" s="26" t="s">
        <v>408</v>
      </c>
      <c r="B334" s="27" t="s">
        <v>296</v>
      </c>
      <c r="C334" s="26" t="s">
        <v>252</v>
      </c>
      <c r="D334" s="28" t="s">
        <v>326</v>
      </c>
      <c r="E334" s="29" t="s">
        <v>120</v>
      </c>
      <c r="F334" s="29" t="s">
        <v>464</v>
      </c>
      <c r="G334" s="30">
        <f>SUM(H334+I334)</f>
        <v>0</v>
      </c>
      <c r="H334" s="31"/>
      <c r="I334" s="31"/>
      <c r="J334" s="31"/>
      <c r="K334" s="235"/>
      <c r="L334" s="235"/>
      <c r="M334" s="235"/>
      <c r="N334" s="437"/>
      <c r="O334" s="437"/>
      <c r="P334" s="161"/>
    </row>
    <row r="335" spans="1:16" s="34" customFormat="1" ht="90.75" customHeight="1" hidden="1">
      <c r="A335" s="26">
        <v>4213210</v>
      </c>
      <c r="B335" s="26">
        <v>3210</v>
      </c>
      <c r="C335" s="26" t="s">
        <v>253</v>
      </c>
      <c r="D335" s="28" t="s">
        <v>254</v>
      </c>
      <c r="E335" s="25" t="s">
        <v>560</v>
      </c>
      <c r="F335" s="25" t="s">
        <v>561</v>
      </c>
      <c r="G335" s="205">
        <f>H335+I335</f>
        <v>0</v>
      </c>
      <c r="H335" s="36"/>
      <c r="I335" s="36"/>
      <c r="J335" s="31">
        <f>I335</f>
        <v>0</v>
      </c>
      <c r="K335" s="235"/>
      <c r="L335" s="235"/>
      <c r="M335" s="235"/>
      <c r="N335" s="437"/>
      <c r="O335" s="437"/>
      <c r="P335" s="161"/>
    </row>
    <row r="336" spans="1:16" s="34" customFormat="1" ht="93" customHeight="1" hidden="1">
      <c r="A336" s="26">
        <v>4216017</v>
      </c>
      <c r="B336" s="26">
        <v>6017</v>
      </c>
      <c r="C336" s="27" t="s">
        <v>255</v>
      </c>
      <c r="D336" s="28" t="s">
        <v>125</v>
      </c>
      <c r="E336" s="25" t="s">
        <v>458</v>
      </c>
      <c r="F336" s="25" t="s">
        <v>456</v>
      </c>
      <c r="G336" s="59">
        <f>H336+I336</f>
        <v>0</v>
      </c>
      <c r="H336" s="32"/>
      <c r="I336" s="32"/>
      <c r="J336" s="31">
        <f>I336</f>
        <v>0</v>
      </c>
      <c r="K336" s="235"/>
      <c r="L336" s="235"/>
      <c r="M336" s="235"/>
      <c r="N336" s="437"/>
      <c r="O336" s="437"/>
      <c r="P336" s="161"/>
    </row>
    <row r="337" spans="1:16" s="34" customFormat="1" ht="82.5" customHeight="1" hidden="1">
      <c r="A337" s="26">
        <v>4216030</v>
      </c>
      <c r="B337" s="26">
        <v>6030</v>
      </c>
      <c r="C337" s="26" t="s">
        <v>255</v>
      </c>
      <c r="D337" s="28" t="s">
        <v>473</v>
      </c>
      <c r="E337" s="25" t="s">
        <v>458</v>
      </c>
      <c r="F337" s="25" t="s">
        <v>456</v>
      </c>
      <c r="G337" s="59">
        <f>H337+I337</f>
        <v>0</v>
      </c>
      <c r="H337" s="32"/>
      <c r="I337" s="32"/>
      <c r="J337" s="31">
        <f>I337</f>
        <v>0</v>
      </c>
      <c r="K337" s="235"/>
      <c r="L337" s="235"/>
      <c r="M337" s="235"/>
      <c r="N337" s="437"/>
      <c r="O337" s="437"/>
      <c r="P337" s="161"/>
    </row>
    <row r="338" spans="1:16" s="34" customFormat="1" ht="51" customHeight="1" hidden="1">
      <c r="A338" s="54" t="s">
        <v>407</v>
      </c>
      <c r="B338" s="53"/>
      <c r="C338" s="53"/>
      <c r="D338" s="295" t="s">
        <v>134</v>
      </c>
      <c r="E338" s="296"/>
      <c r="F338" s="55" t="s">
        <v>421</v>
      </c>
      <c r="G338" s="94">
        <f>G339</f>
        <v>0</v>
      </c>
      <c r="H338" s="94">
        <f>H339</f>
        <v>0</v>
      </c>
      <c r="I338" s="94">
        <f>I339</f>
        <v>0</v>
      </c>
      <c r="J338" s="94">
        <f>J339</f>
        <v>0</v>
      </c>
      <c r="K338" s="438"/>
      <c r="L338" s="438"/>
      <c r="M338" s="438"/>
      <c r="N338" s="437"/>
      <c r="O338" s="437"/>
      <c r="P338" s="161"/>
    </row>
    <row r="339" spans="1:16" s="42" customFormat="1" ht="31.5" customHeight="1" hidden="1">
      <c r="A339" s="38">
        <v>4310000</v>
      </c>
      <c r="B339" s="37"/>
      <c r="C339" s="37"/>
      <c r="D339" s="297" t="s">
        <v>310</v>
      </c>
      <c r="E339" s="298"/>
      <c r="F339" s="39" t="s">
        <v>421</v>
      </c>
      <c r="G339" s="51">
        <f>G340+G341+G342+G343</f>
        <v>0</v>
      </c>
      <c r="H339" s="51">
        <f>H340+H341+H342+H343</f>
        <v>0</v>
      </c>
      <c r="I339" s="51">
        <f>I340+I341+I342+I343</f>
        <v>0</v>
      </c>
      <c r="J339" s="51">
        <f>J340+J341+J342+J343</f>
        <v>0</v>
      </c>
      <c r="K339" s="476"/>
      <c r="L339" s="233"/>
      <c r="M339" s="233"/>
      <c r="N339" s="522"/>
      <c r="O339" s="522"/>
      <c r="P339" s="156"/>
    </row>
    <row r="340" spans="1:16" s="34" customFormat="1" ht="104.25" customHeight="1" hidden="1">
      <c r="A340" s="26" t="s">
        <v>413</v>
      </c>
      <c r="B340" s="27" t="s">
        <v>296</v>
      </c>
      <c r="C340" s="26" t="s">
        <v>252</v>
      </c>
      <c r="D340" s="28" t="s">
        <v>325</v>
      </c>
      <c r="E340" s="43" t="s">
        <v>404</v>
      </c>
      <c r="F340" s="43" t="s">
        <v>462</v>
      </c>
      <c r="G340" s="30">
        <f>SUM(H340+I340)</f>
        <v>0</v>
      </c>
      <c r="H340" s="36"/>
      <c r="I340" s="31"/>
      <c r="J340" s="32"/>
      <c r="K340" s="235"/>
      <c r="L340" s="235"/>
      <c r="M340" s="235"/>
      <c r="N340" s="437"/>
      <c r="O340" s="437"/>
      <c r="P340" s="161"/>
    </row>
    <row r="341" spans="1:16" s="34" customFormat="1" ht="133.5" customHeight="1" hidden="1">
      <c r="A341" s="26" t="s">
        <v>413</v>
      </c>
      <c r="B341" s="27" t="s">
        <v>296</v>
      </c>
      <c r="C341" s="26" t="s">
        <v>252</v>
      </c>
      <c r="D341" s="28" t="s">
        <v>326</v>
      </c>
      <c r="E341" s="29" t="s">
        <v>120</v>
      </c>
      <c r="F341" s="29" t="s">
        <v>465</v>
      </c>
      <c r="G341" s="30">
        <f>SUM(H341+I341)</f>
        <v>0</v>
      </c>
      <c r="H341" s="31"/>
      <c r="I341" s="31"/>
      <c r="J341" s="32"/>
      <c r="K341" s="235"/>
      <c r="L341" s="235"/>
      <c r="M341" s="235"/>
      <c r="N341" s="437"/>
      <c r="O341" s="437"/>
      <c r="P341" s="161"/>
    </row>
    <row r="342" spans="1:16" s="34" customFormat="1" ht="84" customHeight="1" hidden="1">
      <c r="A342" s="26">
        <v>4313210</v>
      </c>
      <c r="B342" s="26">
        <v>3210</v>
      </c>
      <c r="C342" s="26" t="s">
        <v>253</v>
      </c>
      <c r="D342" s="28" t="s">
        <v>254</v>
      </c>
      <c r="E342" s="25" t="s">
        <v>560</v>
      </c>
      <c r="F342" s="25" t="s">
        <v>561</v>
      </c>
      <c r="G342" s="30">
        <f>SUM(H342+I342)</f>
        <v>0</v>
      </c>
      <c r="H342" s="36"/>
      <c r="I342" s="36"/>
      <c r="J342" s="31">
        <f>I342</f>
        <v>0</v>
      </c>
      <c r="K342" s="523"/>
      <c r="L342" s="523"/>
      <c r="M342" s="523"/>
      <c r="N342" s="523"/>
      <c r="O342" s="235"/>
      <c r="P342" s="161"/>
    </row>
    <row r="343" spans="1:16" s="34" customFormat="1" ht="81" customHeight="1" hidden="1">
      <c r="A343" s="26">
        <v>4316030</v>
      </c>
      <c r="B343" s="26">
        <v>6030</v>
      </c>
      <c r="C343" s="26" t="s">
        <v>255</v>
      </c>
      <c r="D343" s="28" t="s">
        <v>473</v>
      </c>
      <c r="E343" s="43" t="s">
        <v>459</v>
      </c>
      <c r="F343" s="43" t="s">
        <v>456</v>
      </c>
      <c r="G343" s="59">
        <f>H343+I343</f>
        <v>0</v>
      </c>
      <c r="H343" s="32"/>
      <c r="I343" s="32"/>
      <c r="J343" s="31">
        <f>I343</f>
        <v>0</v>
      </c>
      <c r="K343" s="438"/>
      <c r="L343" s="438"/>
      <c r="M343" s="438"/>
      <c r="N343" s="437"/>
      <c r="O343" s="437"/>
      <c r="P343" s="161"/>
    </row>
    <row r="344" spans="1:16" s="42" customFormat="1" ht="45.75" customHeight="1">
      <c r="A344" s="37" t="s">
        <v>202</v>
      </c>
      <c r="B344" s="37" t="s">
        <v>202</v>
      </c>
      <c r="C344" s="37" t="s">
        <v>202</v>
      </c>
      <c r="D344" s="206" t="s">
        <v>203</v>
      </c>
      <c r="E344" s="39" t="s">
        <v>202</v>
      </c>
      <c r="F344" s="39" t="s">
        <v>202</v>
      </c>
      <c r="G344" s="95">
        <f>H344+I344</f>
        <v>1269197156.25</v>
      </c>
      <c r="H344" s="95">
        <f>H17+H30+H37+H108+H143+H168+H190+H261+H265+H268+H277+H283+H289+H296+H309+H313+H319+H331+H338+H175</f>
        <v>691286534.07</v>
      </c>
      <c r="I344" s="95">
        <f>I17+I30+I37+I108+I143+I168+I190+I261+I265+I268+I277+I283+I289+I296+I309+I313+I319+I331+I338+I175</f>
        <v>577910622.18</v>
      </c>
      <c r="J344" s="95">
        <f>J17+J30+J37+J108+J143+J168+J190+J261+J265+J268+J277+J283+J289+J296+J309+J313+J319+J331+J338+J175</f>
        <v>541483503</v>
      </c>
      <c r="K344" s="524"/>
      <c r="L344" s="524"/>
      <c r="M344" s="524"/>
      <c r="N344" s="524"/>
      <c r="O344" s="524"/>
      <c r="P344" s="503"/>
    </row>
    <row r="345" spans="1:16" s="63" customFormat="1" ht="63" customHeight="1">
      <c r="A345" s="207"/>
      <c r="B345" s="208"/>
      <c r="C345" s="208"/>
      <c r="D345" s="209"/>
      <c r="E345" s="210"/>
      <c r="F345" s="210"/>
      <c r="G345" s="211"/>
      <c r="H345" s="211"/>
      <c r="I345" s="211"/>
      <c r="J345" s="211"/>
      <c r="K345" s="524"/>
      <c r="L345" s="524"/>
      <c r="M345" s="524"/>
      <c r="N345" s="524"/>
      <c r="O345" s="524"/>
      <c r="P345" s="430"/>
    </row>
    <row r="346" spans="1:16" s="212" customFormat="1" ht="84" customHeight="1">
      <c r="A346" s="316" t="s">
        <v>39</v>
      </c>
      <c r="B346" s="316"/>
      <c r="C346" s="316"/>
      <c r="D346" s="316"/>
      <c r="E346" s="316"/>
      <c r="F346" s="23"/>
      <c r="G346" s="24"/>
      <c r="H346" s="281" t="s">
        <v>137</v>
      </c>
      <c r="I346" s="282"/>
      <c r="J346" s="282"/>
      <c r="K346" s="525"/>
      <c r="L346" s="526"/>
      <c r="M346" s="526"/>
      <c r="N346" s="527"/>
      <c r="O346" s="527"/>
      <c r="P346" s="528"/>
    </row>
    <row r="347" spans="1:15" s="63" customFormat="1" ht="23.25" customHeight="1">
      <c r="A347" s="284"/>
      <c r="B347" s="284"/>
      <c r="C347" s="284"/>
      <c r="D347" s="284"/>
      <c r="E347" s="213"/>
      <c r="F347" s="213"/>
      <c r="G347" s="214"/>
      <c r="H347" s="215"/>
      <c r="I347" s="305"/>
      <c r="J347" s="305"/>
      <c r="K347" s="229"/>
      <c r="L347" s="229"/>
      <c r="M347" s="227"/>
      <c r="N347" s="230"/>
      <c r="O347" s="230"/>
    </row>
    <row r="348" spans="1:15" s="391" customFormat="1" ht="26.25" customHeight="1">
      <c r="A348" s="385"/>
      <c r="B348" s="386"/>
      <c r="C348" s="386"/>
      <c r="D348" s="387"/>
      <c r="E348" s="220"/>
      <c r="F348" s="220"/>
      <c r="G348" s="388"/>
      <c r="H348" s="388"/>
      <c r="I348" s="388"/>
      <c r="J348" s="388"/>
      <c r="K348" s="389"/>
      <c r="L348" s="389"/>
      <c r="M348" s="235"/>
      <c r="N348" s="390"/>
      <c r="O348" s="390"/>
    </row>
    <row r="349" spans="1:15" s="391" customFormat="1" ht="34.5" customHeight="1">
      <c r="A349" s="385"/>
      <c r="B349" s="386"/>
      <c r="C349" s="386"/>
      <c r="D349" s="387"/>
      <c r="E349" s="220"/>
      <c r="F349" s="220"/>
      <c r="G349" s="388"/>
      <c r="H349" s="388"/>
      <c r="I349" s="392"/>
      <c r="J349" s="392"/>
      <c r="K349" s="228"/>
      <c r="L349" s="389"/>
      <c r="M349" s="389"/>
      <c r="N349" s="390"/>
      <c r="O349" s="390"/>
    </row>
    <row r="350" spans="1:15" s="391" customFormat="1" ht="19.5">
      <c r="A350" s="385"/>
      <c r="B350" s="386"/>
      <c r="C350" s="386"/>
      <c r="D350" s="387"/>
      <c r="E350" s="220"/>
      <c r="F350" s="216"/>
      <c r="G350" s="393"/>
      <c r="H350" s="393"/>
      <c r="I350" s="393"/>
      <c r="J350" s="393"/>
      <c r="K350" s="394"/>
      <c r="L350" s="389"/>
      <c r="M350" s="389"/>
      <c r="N350" s="390"/>
      <c r="O350" s="390"/>
    </row>
    <row r="351" spans="1:15" s="391" customFormat="1" ht="19.5">
      <c r="A351" s="385"/>
      <c r="B351" s="386"/>
      <c r="C351" s="386"/>
      <c r="D351" s="387"/>
      <c r="E351" s="220"/>
      <c r="F351" s="216"/>
      <c r="G351" s="217"/>
      <c r="H351" s="217"/>
      <c r="I351" s="217"/>
      <c r="J351" s="217"/>
      <c r="K351" s="394"/>
      <c r="L351" s="389"/>
      <c r="M351" s="389"/>
      <c r="N351" s="390"/>
      <c r="O351" s="390"/>
    </row>
    <row r="352" spans="1:15" s="391" customFormat="1" ht="19.5">
      <c r="A352" s="385"/>
      <c r="B352" s="386"/>
      <c r="C352" s="386"/>
      <c r="D352" s="387"/>
      <c r="E352" s="220"/>
      <c r="F352" s="216"/>
      <c r="G352" s="393"/>
      <c r="H352" s="393"/>
      <c r="I352" s="393"/>
      <c r="J352" s="393"/>
      <c r="K352" s="394"/>
      <c r="L352" s="389"/>
      <c r="M352" s="389"/>
      <c r="N352" s="390"/>
      <c r="O352" s="390"/>
    </row>
    <row r="353" spans="1:15" s="401" customFormat="1" ht="20.25">
      <c r="A353" s="395"/>
      <c r="B353" s="396"/>
      <c r="C353" s="396"/>
      <c r="D353" s="397"/>
      <c r="E353" s="398"/>
      <c r="F353" s="216"/>
      <c r="G353" s="393"/>
      <c r="H353" s="393"/>
      <c r="I353" s="393"/>
      <c r="J353" s="393"/>
      <c r="K353" s="394"/>
      <c r="L353" s="399"/>
      <c r="M353" s="399"/>
      <c r="N353" s="400"/>
      <c r="O353" s="400"/>
    </row>
    <row r="354" spans="1:15" s="391" customFormat="1" ht="19.5">
      <c r="A354" s="385"/>
      <c r="B354" s="386"/>
      <c r="C354" s="386"/>
      <c r="D354" s="387"/>
      <c r="E354" s="220"/>
      <c r="F354" s="216"/>
      <c r="G354" s="393"/>
      <c r="H354" s="393"/>
      <c r="I354" s="393"/>
      <c r="J354" s="393"/>
      <c r="K354" s="394"/>
      <c r="L354" s="389"/>
      <c r="M354" s="389"/>
      <c r="N354" s="390"/>
      <c r="O354" s="390"/>
    </row>
    <row r="355" spans="1:15" s="391" customFormat="1" ht="19.5">
      <c r="A355" s="385"/>
      <c r="B355" s="386"/>
      <c r="C355" s="386"/>
      <c r="D355" s="387"/>
      <c r="E355" s="220"/>
      <c r="F355" s="216"/>
      <c r="G355" s="393"/>
      <c r="H355" s="393"/>
      <c r="I355" s="393"/>
      <c r="J355" s="393"/>
      <c r="K355" s="394"/>
      <c r="L355" s="389"/>
      <c r="M355" s="389"/>
      <c r="N355" s="390"/>
      <c r="O355" s="390"/>
    </row>
    <row r="356" spans="1:15" s="391" customFormat="1" ht="19.5">
      <c r="A356" s="385"/>
      <c r="B356" s="386"/>
      <c r="C356" s="386"/>
      <c r="D356" s="387"/>
      <c r="E356" s="220"/>
      <c r="F356" s="216"/>
      <c r="G356" s="393"/>
      <c r="H356" s="393"/>
      <c r="I356" s="393"/>
      <c r="J356" s="393"/>
      <c r="K356" s="394"/>
      <c r="L356" s="389"/>
      <c r="M356" s="389"/>
      <c r="N356" s="390"/>
      <c r="O356" s="390"/>
    </row>
    <row r="357" spans="1:15" s="391" customFormat="1" ht="24.75" customHeight="1">
      <c r="A357" s="385"/>
      <c r="B357" s="386"/>
      <c r="C357" s="386"/>
      <c r="D357" s="387"/>
      <c r="E357" s="220"/>
      <c r="F357" s="402"/>
      <c r="G357" s="403"/>
      <c r="H357" s="403"/>
      <c r="I357" s="403"/>
      <c r="J357" s="403"/>
      <c r="K357" s="394"/>
      <c r="L357" s="389"/>
      <c r="M357" s="389"/>
      <c r="N357" s="390"/>
      <c r="O357" s="390"/>
    </row>
    <row r="358" spans="1:15" s="391" customFormat="1" ht="19.5">
      <c r="A358" s="385"/>
      <c r="B358" s="386"/>
      <c r="C358" s="386"/>
      <c r="D358" s="387"/>
      <c r="E358" s="220"/>
      <c r="F358" s="216"/>
      <c r="G358" s="217"/>
      <c r="H358" s="217"/>
      <c r="I358" s="217"/>
      <c r="J358" s="217"/>
      <c r="K358" s="394"/>
      <c r="L358" s="389"/>
      <c r="M358" s="389"/>
      <c r="N358" s="390"/>
      <c r="O358" s="390"/>
    </row>
    <row r="359" spans="1:15" s="391" customFormat="1" ht="24" customHeight="1">
      <c r="A359" s="385"/>
      <c r="B359" s="386"/>
      <c r="C359" s="386"/>
      <c r="D359" s="387"/>
      <c r="E359" s="220"/>
      <c r="F359" s="216"/>
      <c r="G359" s="217"/>
      <c r="H359" s="217"/>
      <c r="I359" s="217"/>
      <c r="J359" s="217"/>
      <c r="K359" s="394"/>
      <c r="L359" s="389"/>
      <c r="M359" s="389"/>
      <c r="N359" s="390"/>
      <c r="O359" s="390"/>
    </row>
    <row r="360" spans="1:15" s="391" customFormat="1" ht="19.5">
      <c r="A360" s="385"/>
      <c r="B360" s="386"/>
      <c r="C360" s="386"/>
      <c r="D360" s="387"/>
      <c r="E360" s="220"/>
      <c r="F360" s="218"/>
      <c r="G360" s="219"/>
      <c r="H360" s="219"/>
      <c r="I360" s="219"/>
      <c r="J360" s="219"/>
      <c r="K360" s="404"/>
      <c r="L360" s="389"/>
      <c r="M360" s="389"/>
      <c r="N360" s="390"/>
      <c r="O360" s="390"/>
    </row>
    <row r="361" spans="1:15" s="391" customFormat="1" ht="15">
      <c r="A361" s="385"/>
      <c r="B361" s="386"/>
      <c r="C361" s="386"/>
      <c r="D361" s="387"/>
      <c r="E361" s="220"/>
      <c r="F361" s="220"/>
      <c r="G361" s="221"/>
      <c r="H361" s="222"/>
      <c r="I361" s="223"/>
      <c r="J361" s="223"/>
      <c r="K361" s="389"/>
      <c r="L361" s="389"/>
      <c r="M361" s="389"/>
      <c r="N361" s="390"/>
      <c r="O361" s="390"/>
    </row>
    <row r="362" spans="1:15" s="391" customFormat="1" ht="15">
      <c r="A362" s="385"/>
      <c r="B362" s="386"/>
      <c r="C362" s="386"/>
      <c r="D362" s="387"/>
      <c r="E362" s="220"/>
      <c r="F362" s="220"/>
      <c r="G362" s="405"/>
      <c r="H362" s="406"/>
      <c r="I362" s="406"/>
      <c r="J362" s="406"/>
      <c r="K362" s="389"/>
      <c r="L362" s="389"/>
      <c r="M362" s="389"/>
      <c r="N362" s="390"/>
      <c r="O362" s="390"/>
    </row>
    <row r="363" spans="1:15" s="391" customFormat="1" ht="15">
      <c r="A363" s="385"/>
      <c r="B363" s="386"/>
      <c r="C363" s="386"/>
      <c r="D363" s="387"/>
      <c r="E363" s="220"/>
      <c r="F363" s="220"/>
      <c r="G363" s="406"/>
      <c r="H363" s="407"/>
      <c r="I363" s="407"/>
      <c r="J363" s="407"/>
      <c r="K363" s="389"/>
      <c r="L363" s="389"/>
      <c r="M363" s="389"/>
      <c r="N363" s="390"/>
      <c r="O363" s="390"/>
    </row>
    <row r="364" spans="1:15" s="391" customFormat="1" ht="25.5" customHeight="1">
      <c r="A364" s="385"/>
      <c r="B364" s="386"/>
      <c r="C364" s="386"/>
      <c r="D364" s="387"/>
      <c r="E364" s="220"/>
      <c r="F364" s="220"/>
      <c r="G364" s="406"/>
      <c r="H364" s="407"/>
      <c r="I364" s="407"/>
      <c r="J364" s="407"/>
      <c r="K364" s="389"/>
      <c r="L364" s="389"/>
      <c r="M364" s="389"/>
      <c r="N364" s="390"/>
      <c r="O364" s="390"/>
    </row>
    <row r="365" spans="1:15" s="391" customFormat="1" ht="20.25">
      <c r="A365" s="385"/>
      <c r="B365" s="386"/>
      <c r="C365" s="386"/>
      <c r="D365" s="387"/>
      <c r="E365" s="220"/>
      <c r="F365" s="408"/>
      <c r="G365" s="409"/>
      <c r="H365" s="410"/>
      <c r="I365" s="410"/>
      <c r="J365" s="410"/>
      <c r="K365" s="389"/>
      <c r="L365" s="389"/>
      <c r="M365" s="389"/>
      <c r="N365" s="390"/>
      <c r="O365" s="390"/>
    </row>
    <row r="366" spans="1:15" s="391" customFormat="1" ht="18.75">
      <c r="A366" s="385"/>
      <c r="B366" s="386"/>
      <c r="C366" s="386"/>
      <c r="D366" s="387"/>
      <c r="E366" s="220"/>
      <c r="F366" s="411"/>
      <c r="G366" s="221"/>
      <c r="H366" s="222"/>
      <c r="I366" s="410"/>
      <c r="J366" s="410"/>
      <c r="K366" s="412"/>
      <c r="L366" s="412"/>
      <c r="M366" s="412"/>
      <c r="N366" s="390"/>
      <c r="O366" s="390"/>
    </row>
    <row r="367" spans="1:15" s="391" customFormat="1" ht="15">
      <c r="A367" s="385"/>
      <c r="B367" s="386"/>
      <c r="C367" s="386"/>
      <c r="D367" s="387"/>
      <c r="E367" s="220"/>
      <c r="F367" s="220"/>
      <c r="G367" s="406"/>
      <c r="H367" s="407"/>
      <c r="I367" s="407"/>
      <c r="J367" s="407"/>
      <c r="K367" s="413"/>
      <c r="L367" s="412"/>
      <c r="M367" s="412"/>
      <c r="N367" s="390"/>
      <c r="O367" s="390"/>
    </row>
    <row r="368" spans="1:15" s="391" customFormat="1" ht="15">
      <c r="A368" s="385"/>
      <c r="B368" s="386"/>
      <c r="C368" s="386"/>
      <c r="D368" s="387"/>
      <c r="E368" s="220"/>
      <c r="F368" s="220"/>
      <c r="G368" s="406"/>
      <c r="H368" s="414"/>
      <c r="I368" s="414"/>
      <c r="J368" s="407"/>
      <c r="K368" s="415"/>
      <c r="L368" s="412"/>
      <c r="M368" s="412"/>
      <c r="N368" s="390"/>
      <c r="O368" s="390"/>
    </row>
    <row r="369" spans="1:15" s="422" customFormat="1" ht="15">
      <c r="A369" s="416"/>
      <c r="B369" s="417"/>
      <c r="C369" s="417"/>
      <c r="D369" s="418"/>
      <c r="E369" s="419"/>
      <c r="F369" s="419"/>
      <c r="G369" s="420"/>
      <c r="H369" s="414"/>
      <c r="I369" s="414"/>
      <c r="J369" s="421"/>
      <c r="K369" s="412"/>
      <c r="L369" s="412"/>
      <c r="M369" s="412"/>
      <c r="N369" s="390"/>
      <c r="O369" s="390"/>
    </row>
    <row r="370" spans="1:15" s="422" customFormat="1" ht="15">
      <c r="A370" s="416"/>
      <c r="B370" s="417"/>
      <c r="C370" s="417"/>
      <c r="D370" s="418"/>
      <c r="E370" s="419"/>
      <c r="F370" s="423"/>
      <c r="G370" s="420"/>
      <c r="H370" s="414"/>
      <c r="I370" s="424"/>
      <c r="J370" s="421"/>
      <c r="K370" s="425"/>
      <c r="L370" s="389"/>
      <c r="M370" s="389"/>
      <c r="N370" s="390"/>
      <c r="O370" s="390"/>
    </row>
    <row r="371" spans="1:15" s="422" customFormat="1" ht="15">
      <c r="A371" s="416"/>
      <c r="B371" s="417"/>
      <c r="C371" s="417"/>
      <c r="D371" s="418"/>
      <c r="E371" s="419"/>
      <c r="F371" s="419"/>
      <c r="G371" s="420"/>
      <c r="H371" s="414"/>
      <c r="I371" s="414"/>
      <c r="J371" s="421"/>
      <c r="K371" s="389"/>
      <c r="L371" s="389"/>
      <c r="M371" s="389"/>
      <c r="N371" s="390"/>
      <c r="O371" s="390"/>
    </row>
    <row r="372" spans="1:15" s="422" customFormat="1" ht="15">
      <c r="A372" s="416"/>
      <c r="B372" s="417"/>
      <c r="C372" s="417"/>
      <c r="D372" s="418"/>
      <c r="E372" s="419"/>
      <c r="F372" s="419"/>
      <c r="G372" s="420"/>
      <c r="H372" s="426"/>
      <c r="I372" s="426"/>
      <c r="J372" s="421"/>
      <c r="K372" s="389"/>
      <c r="L372" s="389"/>
      <c r="M372" s="389"/>
      <c r="N372" s="390"/>
      <c r="O372" s="390"/>
    </row>
    <row r="373" spans="1:15" s="422" customFormat="1" ht="15">
      <c r="A373" s="416"/>
      <c r="B373" s="417"/>
      <c r="C373" s="417"/>
      <c r="D373" s="418"/>
      <c r="E373" s="419"/>
      <c r="F373" s="423"/>
      <c r="G373" s="420"/>
      <c r="H373" s="421"/>
      <c r="I373" s="421"/>
      <c r="J373" s="421"/>
      <c r="K373" s="389"/>
      <c r="L373" s="389"/>
      <c r="M373" s="389"/>
      <c r="N373" s="390"/>
      <c r="O373" s="390"/>
    </row>
    <row r="374" spans="1:15" s="422" customFormat="1" ht="15">
      <c r="A374" s="416"/>
      <c r="B374" s="417"/>
      <c r="C374" s="417"/>
      <c r="D374" s="418"/>
      <c r="E374" s="419"/>
      <c r="F374" s="419"/>
      <c r="G374" s="420"/>
      <c r="H374" s="421"/>
      <c r="I374" s="421"/>
      <c r="J374" s="421"/>
      <c r="K374" s="389"/>
      <c r="L374" s="389"/>
      <c r="M374" s="389"/>
      <c r="N374" s="390"/>
      <c r="O374" s="390"/>
    </row>
    <row r="375" spans="1:15" s="422" customFormat="1" ht="15">
      <c r="A375" s="416"/>
      <c r="B375" s="417"/>
      <c r="C375" s="417"/>
      <c r="D375" s="418"/>
      <c r="E375" s="419"/>
      <c r="F375" s="423"/>
      <c r="G375" s="420"/>
      <c r="H375" s="421"/>
      <c r="I375" s="421"/>
      <c r="J375" s="421"/>
      <c r="K375" s="389"/>
      <c r="L375" s="389"/>
      <c r="M375" s="389"/>
      <c r="N375" s="390"/>
      <c r="O375" s="390"/>
    </row>
    <row r="378" spans="8:10" ht="16.5">
      <c r="H378" s="279"/>
      <c r="I378" s="279"/>
      <c r="J378" s="279"/>
    </row>
    <row r="379" spans="7:13" ht="25.5" customHeight="1">
      <c r="G379" s="299"/>
      <c r="H379" s="299"/>
      <c r="I379" s="280"/>
      <c r="J379" s="280"/>
      <c r="K379" s="21"/>
      <c r="M379" s="21"/>
    </row>
  </sheetData>
  <sheetProtection/>
  <mergeCells count="130">
    <mergeCell ref="F62:F63"/>
    <mergeCell ref="E72:E85"/>
    <mergeCell ref="E146:E150"/>
    <mergeCell ref="F23:F24"/>
    <mergeCell ref="F182:F185"/>
    <mergeCell ref="F132:F133"/>
    <mergeCell ref="D144:E144"/>
    <mergeCell ref="D38:E38"/>
    <mergeCell ref="E127:E130"/>
    <mergeCell ref="D143:E143"/>
    <mergeCell ref="J186:J187"/>
    <mergeCell ref="I2:J2"/>
    <mergeCell ref="I3:J3"/>
    <mergeCell ref="I4:J4"/>
    <mergeCell ref="I5:J5"/>
    <mergeCell ref="I6:J6"/>
    <mergeCell ref="I186:I187"/>
    <mergeCell ref="B186:B187"/>
    <mergeCell ref="G186:G187"/>
    <mergeCell ref="E182:E185"/>
    <mergeCell ref="D176:E176"/>
    <mergeCell ref="D166:E166"/>
    <mergeCell ref="C186:C187"/>
    <mergeCell ref="D186:D187"/>
    <mergeCell ref="B156:B158"/>
    <mergeCell ref="E178:E179"/>
    <mergeCell ref="A156:A158"/>
    <mergeCell ref="C161:C163"/>
    <mergeCell ref="B161:B163"/>
    <mergeCell ref="D156:D158"/>
    <mergeCell ref="A186:A187"/>
    <mergeCell ref="F88:F95"/>
    <mergeCell ref="D109:E109"/>
    <mergeCell ref="D108:E108"/>
    <mergeCell ref="D175:E175"/>
    <mergeCell ref="C156:C158"/>
    <mergeCell ref="E120:E124"/>
    <mergeCell ref="F120:F124"/>
    <mergeCell ref="A161:A163"/>
    <mergeCell ref="F152:F154"/>
    <mergeCell ref="K171:K172"/>
    <mergeCell ref="D168:E168"/>
    <mergeCell ref="D161:D163"/>
    <mergeCell ref="E171:E174"/>
    <mergeCell ref="D169:E169"/>
    <mergeCell ref="F171:F174"/>
    <mergeCell ref="I1:J1"/>
    <mergeCell ref="A8:J8"/>
    <mergeCell ref="A12:A15"/>
    <mergeCell ref="B12:B15"/>
    <mergeCell ref="C12:C15"/>
    <mergeCell ref="A10:B10"/>
    <mergeCell ref="A9:B9"/>
    <mergeCell ref="D12:D15"/>
    <mergeCell ref="E12:E15"/>
    <mergeCell ref="G12:G15"/>
    <mergeCell ref="I12:J14"/>
    <mergeCell ref="H12:H15"/>
    <mergeCell ref="F12:F15"/>
    <mergeCell ref="F64:F68"/>
    <mergeCell ref="D261:E261"/>
    <mergeCell ref="D33:E33"/>
    <mergeCell ref="E88:E95"/>
    <mergeCell ref="D17:E17"/>
    <mergeCell ref="D18:E18"/>
    <mergeCell ref="F178:F179"/>
    <mergeCell ref="E294:E295"/>
    <mergeCell ref="A19:A21"/>
    <mergeCell ref="B19:B21"/>
    <mergeCell ref="C19:C21"/>
    <mergeCell ref="D30:E30"/>
    <mergeCell ref="E23:E24"/>
    <mergeCell ref="D19:D21"/>
    <mergeCell ref="D31:E31"/>
    <mergeCell ref="D37:E37"/>
    <mergeCell ref="D262:E262"/>
    <mergeCell ref="K342:N342"/>
    <mergeCell ref="D296:E296"/>
    <mergeCell ref="D332:E332"/>
    <mergeCell ref="D313:E313"/>
    <mergeCell ref="D314:E314"/>
    <mergeCell ref="F322:F323"/>
    <mergeCell ref="D331:E331"/>
    <mergeCell ref="D269:E269"/>
    <mergeCell ref="D278:E278"/>
    <mergeCell ref="D284:E284"/>
    <mergeCell ref="D283:E283"/>
    <mergeCell ref="D266:E266"/>
    <mergeCell ref="E62:E63"/>
    <mergeCell ref="E64:E68"/>
    <mergeCell ref="D265:E265"/>
    <mergeCell ref="D277:E277"/>
    <mergeCell ref="D289:E289"/>
    <mergeCell ref="D338:E338"/>
    <mergeCell ref="A346:E346"/>
    <mergeCell ref="D320:E320"/>
    <mergeCell ref="D290:E290"/>
    <mergeCell ref="D339:E339"/>
    <mergeCell ref="D319:E319"/>
    <mergeCell ref="E322:E323"/>
    <mergeCell ref="I348:J348"/>
    <mergeCell ref="G348:G349"/>
    <mergeCell ref="H348:H349"/>
    <mergeCell ref="I347:J347"/>
    <mergeCell ref="E40:E51"/>
    <mergeCell ref="E52:E60"/>
    <mergeCell ref="H186:H187"/>
    <mergeCell ref="D268:E268"/>
    <mergeCell ref="F186:F187"/>
    <mergeCell ref="F72:F85"/>
    <mergeCell ref="G379:H379"/>
    <mergeCell ref="E111:E119"/>
    <mergeCell ref="E125:E126"/>
    <mergeCell ref="F111:F119"/>
    <mergeCell ref="F125:F126"/>
    <mergeCell ref="D309:E309"/>
    <mergeCell ref="F146:F150"/>
    <mergeCell ref="D310:E310"/>
    <mergeCell ref="D297:E297"/>
    <mergeCell ref="E243:E244"/>
    <mergeCell ref="H346:J346"/>
    <mergeCell ref="F294:F295"/>
    <mergeCell ref="A347:D347"/>
    <mergeCell ref="F127:F130"/>
    <mergeCell ref="E186:E187"/>
    <mergeCell ref="E152:E154"/>
    <mergeCell ref="E132:E133"/>
    <mergeCell ref="F243:F244"/>
    <mergeCell ref="D190:E190"/>
    <mergeCell ref="D191:E191"/>
  </mergeCells>
  <printOptions horizontalCentered="1"/>
  <pageMargins left="0.7874015748031497" right="0.7874015748031497" top="1.1811023622047245" bottom="0.3937007874015748" header="0" footer="0"/>
  <pageSetup fitToHeight="21" fitToWidth="1" horizontalDpi="600" verticalDpi="600" orientation="landscape" paperSize="9" scale="45" r:id="rId1"/>
  <headerFooter differentFirst="1">
    <oddHeader>&amp;C&amp;"Times New Roman,обычный"&amp;12&amp;P&amp;R&amp;"Times New Roman,обычный"&amp;12Продовження додатка 6</oddHeader>
  </headerFooter>
  <rowBreaks count="1" manualBreakCount="1">
    <brk id="32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2021-04-26T10:34:17Z</cp:lastPrinted>
  <dcterms:created xsi:type="dcterms:W3CDTF">2016-11-29T09:37:01Z</dcterms:created>
  <dcterms:modified xsi:type="dcterms:W3CDTF">2021-04-27T05:24:21Z</dcterms:modified>
  <cp:category/>
  <cp:version/>
  <cp:contentType/>
  <cp:contentStatus/>
</cp:coreProperties>
</file>