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45" windowHeight="8955" activeTab="0"/>
  </bookViews>
  <sheets>
    <sheet name="Лист1" sheetId="1" r:id="rId1"/>
  </sheets>
  <externalReferences>
    <externalReference r:id="rId4"/>
  </externalReferences>
  <definedNames>
    <definedName name="_xlnm.Print_Area" localSheetId="0">'Лист1'!$A$1:$P$493</definedName>
  </definedNames>
  <calcPr fullCalcOnLoad="1"/>
</workbook>
</file>

<file path=xl/sharedStrings.xml><?xml version="1.0" encoding="utf-8"?>
<sst xmlns="http://schemas.openxmlformats.org/spreadsheetml/2006/main" count="1074" uniqueCount="378">
  <si>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</si>
  <si>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</si>
  <si>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</si>
  <si>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</si>
  <si>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</si>
  <si>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</si>
  <si>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</si>
  <si>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</si>
  <si>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</si>
  <si>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</si>
  <si>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</si>
  <si>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</si>
  <si>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</si>
  <si>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</si>
  <si>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</si>
  <si>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</si>
  <si>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</si>
  <si>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Апарат місцевої ради</t>
  </si>
  <si>
    <t>0111</t>
  </si>
  <si>
    <t>010116</t>
  </si>
  <si>
    <t>Органи місцевого самоврядування</t>
  </si>
  <si>
    <t>0830</t>
  </si>
  <si>
    <t>120201</t>
  </si>
  <si>
    <t>Періодичні видання (газети та журнали)</t>
  </si>
  <si>
    <t>10</t>
  </si>
  <si>
    <t>Орган з питань освіти і науки, молоді та спорту</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</si>
  <si>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</si>
  <si>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</si>
  <si>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</si>
  <si>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</si>
  <si>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</si>
  <si>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</si>
  <si>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0922</t>
  </si>
  <si>
    <t>070301</t>
  </si>
  <si>
    <t>Загальноосвітні школи-інтернати, загальноосвітні санаторні школи-інтернати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</si>
  <si>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</si>
  <si>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</si>
  <si>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</si>
  <si>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</si>
  <si>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</si>
  <si>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</si>
  <si>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</si>
  <si>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</si>
  <si>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070808</t>
  </si>
  <si>
    <t>Допомога дітям-сиротам та дітям, позбавленим батьківського піклування, яким виповнюється 18 років</t>
  </si>
  <si>
    <t>0810</t>
  </si>
  <si>
    <t>130107</t>
  </si>
  <si>
    <t>Утримання та навчально-тренувальна робота дитячо-юнацьких спортивних шкіл</t>
  </si>
  <si>
    <t>0180</t>
  </si>
  <si>
    <t>11</t>
  </si>
  <si>
    <t>Орган у справах сім`ї, молоді та спорту</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</si>
  <si>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</si>
  <si>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</si>
  <si>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</si>
  <si>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</si>
  <si>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</si>
  <si>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</si>
  <si>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</si>
  <si>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</si>
  <si>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Інші видатки</t>
  </si>
  <si>
    <t>091107</t>
  </si>
  <si>
    <t>Соціальні програми і заходи державних органів у справах сім`ї</t>
  </si>
  <si>
    <t>130102</t>
  </si>
  <si>
    <t>Проведення навчально-тренувальних зборів і змагань</t>
  </si>
  <si>
    <t>130104</t>
  </si>
  <si>
    <t>Видатки на утримання центрів з інвалідного спорту і реабілітаційних шкіл</t>
  </si>
  <si>
    <t>130105</t>
  </si>
  <si>
    <t>Проведення навчально-тренувальних зборів і змагань та заходів з інвалідного спорту</t>
  </si>
  <si>
    <t>130106</t>
  </si>
  <si>
    <t>Проведення навчально-тренувальних зборів і змагань з неолімпійських видів спорту</t>
  </si>
  <si>
    <t>130110</t>
  </si>
  <si>
    <t>Фінансова підтримка спортивних споруд</t>
  </si>
  <si>
    <t>130112</t>
  </si>
  <si>
    <t>130115</t>
  </si>
  <si>
    <t>Центри `Спорт для всіх` та заходи з фізичної культури</t>
  </si>
  <si>
    <t>130204</t>
  </si>
  <si>
    <t>Утримання апарату управління громадських фізкультурно-спортивних організацій</t>
  </si>
  <si>
    <t>14</t>
  </si>
  <si>
    <t>Орган з питань охорони здоров`я</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</si>
  <si>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</si>
  <si>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</si>
  <si>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</si>
  <si>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</si>
  <si>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</si>
  <si>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</si>
  <si>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</si>
  <si>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</si>
  <si>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15</t>
  </si>
  <si>
    <t>Орган з питань праці та соціального захисту населення</t>
  </si>
  <si>
    <t>070303</t>
  </si>
  <si>
    <t>Дитячі будинки (в т. ч. сімейного типу, прийомні сім`ї)</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</si>
  <si>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</si>
  <si>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</si>
  <si>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</si>
  <si>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</si>
  <si>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</si>
  <si>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</si>
  <si>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</si>
  <si>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</si>
  <si>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</si>
  <si>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</si>
  <si>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</si>
  <si>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</si>
  <si>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</si>
  <si>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</si>
  <si>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</si>
  <si>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</si>
  <si>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</si>
  <si>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</si>
  <si>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</si>
  <si>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</si>
  <si>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</si>
  <si>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</si>
  <si>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</si>
  <si>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</si>
  <si>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</si>
  <si>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</si>
  <si>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</si>
  <si>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</si>
  <si>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</si>
  <si>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</si>
  <si>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</si>
  <si>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</si>
  <si>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</si>
  <si>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</si>
  <si>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</si>
  <si>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</si>
  <si>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</si>
  <si>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</si>
  <si>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</si>
  <si>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</si>
  <si>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</si>
  <si>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</si>
  <si>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</si>
  <si>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</si>
  <si>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</si>
  <si>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</si>
  <si>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</si>
  <si>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</si>
  <si>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</si>
  <si>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</si>
  <si>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</si>
  <si>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</si>
  <si>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</si>
  <si>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</si>
  <si>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</si>
  <si>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</si>
  <si>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</si>
  <si>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</si>
  <si>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</si>
  <si>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</si>
  <si>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</si>
  <si>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</si>
  <si>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</si>
  <si>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</si>
  <si>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</si>
  <si>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</si>
  <si>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170602</t>
  </si>
  <si>
    <t>Компенсаційні виплати на пільговий проїзд електротранспортом окремим категоріям громадян</t>
  </si>
  <si>
    <t>20</t>
  </si>
  <si>
    <t>Орган у справах дітей</t>
  </si>
  <si>
    <t>090700</t>
  </si>
  <si>
    <t>Утримання закладів, що надають соціальні послуги дітям, які опинились в складних життєвих обставинах</t>
  </si>
  <si>
    <t>090802</t>
  </si>
  <si>
    <t>Інші програми соціального захисту дітей</t>
  </si>
  <si>
    <t>24</t>
  </si>
  <si>
    <t>Орган з питань культури</t>
  </si>
  <si>
    <t>0821</t>
  </si>
  <si>
    <t>110102</t>
  </si>
  <si>
    <t>Театри</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</si>
  <si>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</si>
  <si>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</si>
  <si>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</si>
  <si>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</si>
  <si>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</si>
  <si>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</si>
  <si>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</si>
  <si>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</si>
  <si>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110205</t>
  </si>
  <si>
    <t>Школи естетичного виховання дітей</t>
  </si>
  <si>
    <t>0829</t>
  </si>
  <si>
    <t>110502</t>
  </si>
  <si>
    <t>Інші культурно-освітні заклади та заходи</t>
  </si>
  <si>
    <t>29</t>
  </si>
  <si>
    <t>Архівна установа</t>
  </si>
  <si>
    <t>32</t>
  </si>
  <si>
    <t>Орган з питань регуляторної політики і підприємництва</t>
  </si>
  <si>
    <t>0411</t>
  </si>
  <si>
    <t>180404</t>
  </si>
  <si>
    <t>Підтримка малого і середнього підприємництва</t>
  </si>
  <si>
    <t>45</t>
  </si>
  <si>
    <t>Орган з питань комунальної власності</t>
  </si>
  <si>
    <t>0421</t>
  </si>
  <si>
    <t>160101</t>
  </si>
  <si>
    <t>Землеустрій</t>
  </si>
  <si>
    <t>0133</t>
  </si>
  <si>
    <t>250404</t>
  </si>
  <si>
    <t>47</t>
  </si>
  <si>
    <t>Орган з питань будівництва</t>
  </si>
  <si>
    <t>0610</t>
  </si>
  <si>
    <t>100101</t>
  </si>
  <si>
    <t>Житлово-експлуатаційне господарство</t>
  </si>
  <si>
    <t>0620</t>
  </si>
  <si>
    <t>100203</t>
  </si>
  <si>
    <t>Благоустрій міст, сіл, селищ</t>
  </si>
  <si>
    <t>100301</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</si>
  <si>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</si>
  <si>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</si>
  <si>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0456</t>
  </si>
  <si>
    <t>170703</t>
  </si>
  <si>
    <t>Видатки на проведення робіт, пов`язаних із будівництвом, реконструкцією, ремонтом та утриманням автомобільних доріг</t>
  </si>
  <si>
    <t>48</t>
  </si>
  <si>
    <t>Орган з питань містобудування та архітектури</t>
  </si>
  <si>
    <t>0443</t>
  </si>
  <si>
    <t>150202</t>
  </si>
  <si>
    <t>Розробка схем та проектних рішень масового застосування</t>
  </si>
  <si>
    <t>60</t>
  </si>
  <si>
    <t>Орган з питань екології, охорони навколишнього середовища та природних ресурсів</t>
  </si>
  <si>
    <t>0511</t>
  </si>
  <si>
    <t>240601</t>
  </si>
  <si>
    <t>Охорона та раціональне використання природних ресурсів</t>
  </si>
  <si>
    <t>0512</t>
  </si>
  <si>
    <t>240602</t>
  </si>
  <si>
    <t>Утилізація відходів</t>
  </si>
  <si>
    <t>0513</t>
  </si>
  <si>
    <t>240603</t>
  </si>
  <si>
    <t>Ліквідація іншого забруднення навколишнього природного середовища</t>
  </si>
  <si>
    <t>0540</t>
  </si>
  <si>
    <t>240604</t>
  </si>
  <si>
    <t>Інша діяльність у сфері охорони навколишнього природного середовища</t>
  </si>
  <si>
    <t>65</t>
  </si>
  <si>
    <t>Орган з питань транспорту, зв`язку та інформатизації</t>
  </si>
  <si>
    <t>0455</t>
  </si>
  <si>
    <t>170603</t>
  </si>
  <si>
    <t>Інші заходи у сфері електротранспорту</t>
  </si>
  <si>
    <t>0320</t>
  </si>
  <si>
    <t>210105</t>
  </si>
  <si>
    <t>Видатки на запобігання та ліквідацію надзвичайних ситуацій та наслідків стихійного лиха</t>
  </si>
  <si>
    <t>73</t>
  </si>
  <si>
    <t>Орган з питань економіки</t>
  </si>
  <si>
    <t>75</t>
  </si>
  <si>
    <t>Фінансовий орган</t>
  </si>
  <si>
    <t>76</t>
  </si>
  <si>
    <t>Департамент фінансів Дніпродзержинської міської ради</t>
  </si>
  <si>
    <t>250102</t>
  </si>
  <si>
    <t>Резервний фонд</t>
  </si>
  <si>
    <t>250301</t>
  </si>
  <si>
    <t>Реверсна дотація</t>
  </si>
  <si>
    <t xml:space="preserve"> </t>
  </si>
  <si>
    <t>Лікарні</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</si>
  <si>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</si>
  <si>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Поліклініки і амбулаторії (крім спеціалізованих поліклінік та загальних і спеціалізованих стоматологічних поліклінік)</t>
  </si>
  <si>
    <t>Загальні і спеціалізовані стоматологічні поліклініки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</si>
  <si>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</si>
  <si>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</si>
  <si>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</si>
  <si>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</si>
  <si>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Капiтальний ремонт житлового фонду мiсцевих органiв влади</t>
  </si>
  <si>
    <t>Водопровідно-каналізаційне господарство </t>
  </si>
  <si>
    <t>0490</t>
  </si>
  <si>
    <t>Капiтальнi вкладення</t>
  </si>
  <si>
    <t>Проведення невідкладних відновлювальних робіт, будівництво та реконструкція  загальноосвітніх навчальних закладів</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</si>
  <si>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</si>
  <si>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Інші субвенції</t>
  </si>
  <si>
    <t>0451</t>
  </si>
  <si>
    <t>Інші заходи у сфері автомобільного транспорту</t>
  </si>
  <si>
    <t>Фінансування енергозберігаючих заходів</t>
  </si>
  <si>
    <t>Разом</t>
  </si>
  <si>
    <t>080201</t>
  </si>
  <si>
    <t>080300</t>
  </si>
  <si>
    <t>080500</t>
  </si>
  <si>
    <t>080101</t>
  </si>
  <si>
    <t>кошти що передаються з загального до спеціального</t>
  </si>
  <si>
    <t>0731</t>
  </si>
  <si>
    <t>0732</t>
  </si>
  <si>
    <t>0721</t>
  </si>
  <si>
    <t>0722</t>
  </si>
  <si>
    <t>Капітальні вкладення</t>
  </si>
  <si>
    <t>Проведення невідкладних відновлювальних робіт, будівництво та реконструкція  позашкільних навчальних закладів</t>
  </si>
  <si>
    <t>в т.ч.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</si>
  <si>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</si>
  <si>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в т.ч.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</si>
  <si>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</si>
  <si>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в т. ч.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</si>
  <si>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в т. ч.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</si>
  <si>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в т.ч.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</si>
  <si>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t>
  </si>
  <si>
    <t>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</si>
  <si>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виконання доручень, наданих виборцям депутатами обласної ради у 2015 році</t>
  </si>
  <si>
    <t>в т.ч. на проведення проміжних виборів депутатів обласної ради у мажоритарних виборчих округах</t>
  </si>
  <si>
    <t xml:space="preserve">Теплові мережі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</si>
  <si>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</si>
  <si>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</si>
  <si>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150110</t>
  </si>
  <si>
    <t>150112</t>
  </si>
  <si>
    <t>Секретар міської ради</t>
  </si>
  <si>
    <t>в т.ч.за рунок додаткової дотації</t>
  </si>
  <si>
    <t>в т.ч. за рахунок додаткової дотації</t>
  </si>
  <si>
    <t>в т.ч. виконання доручень, наданих виборцям депутатами обласної ради у 2015 році</t>
  </si>
  <si>
    <t>в т.ч.виконання доручень, наданих виборцям депутатами обласної ради у 2015 році</t>
  </si>
  <si>
    <t>в т.ч. за рахунок субвенції на утримання об'єктів спільного користування чи ліквідацію негативних наслідків діяльності об'єктів спільного користування</t>
  </si>
  <si>
    <t>0470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</si>
  <si>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</si>
  <si>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Інші природоохоронні заходи</t>
  </si>
  <si>
    <t xml:space="preserve">в т.ч. за рахунок субвенції з обласного бюджету на здійснення заходів щодо соціально-економічного розвитку </t>
  </si>
  <si>
    <t>в т.ч. за рахунок субвенції з обласного бюджету на природоохоронні заходи</t>
  </si>
  <si>
    <t xml:space="preserve">Субвенція іншим бюджетам на виконання інвестиційних проектів </t>
  </si>
  <si>
    <t xml:space="preserve">Телебачення і радіомовлення </t>
  </si>
  <si>
    <t>Житлове будівництво та придбання житла для окремих категорій населення</t>
  </si>
  <si>
    <t>в т.ч. за рахунок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</si>
  <si>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Проведення виборів депутатів місцевих рад та сільських, селищних, міських голів</t>
  </si>
  <si>
    <t>Субвенція державного бюджету місцевим бюджетам на проведення виборів депутатів місцевих рад та сільських, селищних, міських голів</t>
  </si>
  <si>
    <t>0160</t>
  </si>
  <si>
    <t>в т.ч. за рахунок субвенції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</si>
  <si>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</si>
  <si>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за рахунок субвенції з державного бюджету місцевим бюджетам на здійснення заходів щодо соціально-економічного розвитку окремих територій</t>
  </si>
  <si>
    <t>в т.ч.субвенції з державного бюджету місцевим бюджетам на здійснення заходів щодо соціально-економічного розвитку окремих територій</t>
  </si>
  <si>
    <t>0301</t>
  </si>
  <si>
    <t xml:space="preserve">Проведення виборів депутатів місцевих рад та сільських, селищних, міських голів </t>
  </si>
  <si>
    <t xml:space="preserve"> 0302</t>
  </si>
  <si>
    <t>Адміністрація Дніпровського району</t>
  </si>
  <si>
    <t xml:space="preserve">Проведення виборів депутатів місцевих рад та сільських,селищних, міських голів </t>
  </si>
  <si>
    <t xml:space="preserve"> 0303</t>
  </si>
  <si>
    <t>Адміністрація Заводського району</t>
  </si>
  <si>
    <t>250203</t>
  </si>
  <si>
    <t xml:space="preserve"> 1501</t>
  </si>
  <si>
    <t>Органи місцевого самоврядуванняня</t>
  </si>
  <si>
    <t xml:space="preserve">Фінансова підтримка громадських організацій інвалідів і ветеранів </t>
  </si>
  <si>
    <t> 091204</t>
  </si>
  <si>
    <t>1020 </t>
  </si>
  <si>
    <t>Територіальні центри соціального обслуговування  (надання соціальних послуг)</t>
  </si>
  <si>
    <t xml:space="preserve"> 1502</t>
  </si>
  <si>
    <t>091204</t>
  </si>
  <si>
    <t>Територіальні центри соціального обслуговування (надання соціальних послуг)</t>
  </si>
  <si>
    <t xml:space="preserve"> 1503</t>
  </si>
  <si>
    <t>1020</t>
  </si>
  <si>
    <t>Територіальні центри срціального обслуговування (надання соціальних послуг)</t>
  </si>
  <si>
    <t xml:space="preserve"> 2001</t>
  </si>
  <si>
    <t>010116 </t>
  </si>
  <si>
    <t>0111 </t>
  </si>
  <si>
    <t xml:space="preserve"> 2002</t>
  </si>
  <si>
    <t xml:space="preserve"> 2003</t>
  </si>
  <si>
    <t xml:space="preserve"> 7502</t>
  </si>
  <si>
    <t>Фінансовий відділ Дніпровського району</t>
  </si>
  <si>
    <t xml:space="preserve"> 7501</t>
  </si>
  <si>
    <t xml:space="preserve"> Фінансовий відділ Баглійського району</t>
  </si>
  <si>
    <t xml:space="preserve"> 7503</t>
  </si>
  <si>
    <t>Фінансовий відділ Заводського району</t>
  </si>
  <si>
    <t>Додаток 3</t>
  </si>
  <si>
    <t>видатків (місцевий) на 2016 рік</t>
  </si>
  <si>
    <t>О.Ю.ЗАЛЕВСЬКИЙ</t>
  </si>
  <si>
    <t>Професійно-технічні заклади освіти</t>
  </si>
  <si>
    <t>070501</t>
  </si>
  <si>
    <t>до рішення  міської ради</t>
  </si>
  <si>
    <t>( у редакції міської ради</t>
  </si>
  <si>
    <t>від 25.12.2015 №12-03/УІІ )</t>
  </si>
  <si>
    <t>090501</t>
  </si>
  <si>
    <t>1050</t>
  </si>
  <si>
    <t>Організація та проведення громадських робіт</t>
  </si>
  <si>
    <t xml:space="preserve"> у тому числі субвенція з обласного бюджету до місцевих бюджетів на виконання доручень виборців</t>
  </si>
  <si>
    <t>у тому числі стабілізаційна дотація</t>
  </si>
  <si>
    <t>Орган з питань реклами</t>
  </si>
  <si>
    <t>Орган з питань надзвичайних ситуацій</t>
  </si>
  <si>
    <t>в т.ч. за рахунок субвенції з обласного бюджету місцевим бюджетам на розроблення проектів землеустрою для учасників бойових дій, які брали безпосередню участь в антитерористичній операції, забезпеченні її проведення, та членам сімей загиблих учасників бойових дій</t>
  </si>
  <si>
    <t>Служба у справах дітей адміністрації Південного району</t>
  </si>
  <si>
    <t>Управління державного архітектурно-будівельного контролю міської ради</t>
  </si>
  <si>
    <t>Управління соціального захисту населення адміністрації Південного району ДМР</t>
  </si>
  <si>
    <t>Управління соціального захисту населення адміністрації Дніпровського району ДМР</t>
  </si>
  <si>
    <t>Управління соціального захисту населення адміністрації Заводського району ДМР</t>
  </si>
  <si>
    <t>в т.ч. виконання доручень, наданих виборцям депутатами обласної ради у 2016 році</t>
  </si>
  <si>
    <t>Адміністрація Південного району</t>
  </si>
  <si>
    <t>Служба у справах дітей адміністрації Дніпровського району</t>
  </si>
  <si>
    <t>Служба у справах дітей адміністрації Заводського району</t>
  </si>
  <si>
    <t xml:space="preserve">від        №   </t>
  </si>
  <si>
    <t xml:space="preserve">в т.ч. за рахунок залишку коштів освітньої субвенції, що утворився на початок бюджетного періоду на видання,придбання, зберегання і доставку підручників і посібників для учнів загальноосвітніх навчальних закладів  </t>
  </si>
  <si>
    <t>070805</t>
  </si>
  <si>
    <t>Групи централізованого господарського обслуговування</t>
  </si>
  <si>
    <t>«Субвенція з місцевого бюджету державному бюджету на виконання програм соціально-економічного та культурного розвитку регіонів»</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</si>
</sst>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FC19]d\ mmmm\ yyyy\ &quot;г.&quot;"/>
  </numFmts>
  <fonts count="39">
    <font>
      <sz val="11"/>
      <color theme="1"/>
      <name val="Calibri"/>
      <family val="2"/>
    </font>
    <font>
      <sz val="11"/>
      <color indexed="8"/>
      <name val="Calibri"/>
      <family val="2"/>
    </font>
    <font>
      <sz val="8"/>
      <name val="Calibri"/>
      <family val="2"/>
    </font>
    <font>
      <b/>
      <sz val="11"/>
      <name val="Calibri"/>
      <family val="2"/>
    </font>
    <font>
      <sz val="11"/>
      <name val="Calibri"/>
      <family val="2"/>
    </font>
    <font>
      <sz val="11"/>
      <color indexed="10"/>
      <name val="Calibri"/>
      <family val="2"/>
    </font>
    <font>
      <u val="single"/>
      <sz val="7.7"/>
      <color indexed="12"/>
      <name val="Calibri"/>
      <family val="2"/>
    </font>
    <font>
      <u val="single"/>
      <sz val="7.7"/>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color indexed="8"/>
      </left>
      <right style="thin">
        <color indexed="8"/>
      </right>
      <top style="thin">
        <color indexed="8"/>
      </top>
      <bottom style="thin">
        <color indexed="8"/>
      </bottom>
    </border>
    <border>
      <left style="medium"/>
      <right style="thin"/>
      <top style="thin"/>
      <bottom style="thin"/>
    </border>
    <border>
      <left style="thin">
        <color indexed="8"/>
      </left>
      <right style="thin">
        <color indexed="8"/>
      </right>
      <top style="thin">
        <color indexed="8"/>
      </top>
      <bottom>
        <color indexed="63"/>
      </bottom>
    </border>
    <border>
      <left/>
      <right style="thin"/>
      <top style="thin"/>
      <bottom style="thin"/>
    </border>
    <border>
      <left style="thin">
        <color indexed="8"/>
      </left>
      <right>
        <color indexed="63"/>
      </right>
      <top style="thin">
        <color indexed="8"/>
      </top>
      <bottom style="thin">
        <color indexed="8"/>
      </bottom>
    </border>
    <border>
      <left style="thin"/>
      <right>
        <color indexed="63"/>
      </right>
      <top/>
      <bottom style="thin"/>
    </border>
    <border>
      <left style="thin">
        <color indexed="8"/>
      </left>
      <right>
        <color indexed="63"/>
      </right>
      <top style="thin">
        <color indexed="8"/>
      </top>
      <bottom>
        <color indexed="63"/>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1" fillId="0" borderId="0">
      <alignment/>
      <protection/>
    </xf>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25" borderId="1" applyNumberFormat="0" applyAlignment="0" applyProtection="0"/>
    <xf numFmtId="0" fontId="25" fillId="26" borderId="2" applyNumberFormat="0" applyAlignment="0" applyProtection="0"/>
    <xf numFmtId="0" fontId="26" fillId="26" borderId="1" applyNumberFormat="0" applyAlignment="0" applyProtection="0"/>
    <xf numFmtId="0" fontId="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7" borderId="7" applyNumberFormat="0" applyAlignment="0" applyProtection="0"/>
    <xf numFmtId="0" fontId="32" fillId="0" borderId="0" applyNumberFormat="0" applyFill="0" applyBorder="0" applyAlignment="0" applyProtection="0"/>
    <xf numFmtId="0" fontId="33" fillId="28" borderId="0" applyNumberFormat="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8" fillId="31" borderId="0" applyNumberFormat="0" applyBorder="0" applyAlignment="0" applyProtection="0"/>
  </cellStyleXfs>
  <cellXfs count="151">
    <xf numFmtId="0" fontId="0" fillId="0" borderId="0" xfId="0" applyFont="1" applyAlignment="1">
      <alignment/>
    </xf>
    <xf numFmtId="4" fontId="3" fillId="32" borderId="10"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quotePrefix="1">
      <alignment horizontal="center" vertical="center" wrapText="1"/>
    </xf>
    <xf numFmtId="2" fontId="4" fillId="0" borderId="10" xfId="0" applyNumberFormat="1" applyFont="1" applyBorder="1" applyAlignment="1" quotePrefix="1">
      <alignment horizontal="center" vertical="center" wrapText="1"/>
    </xf>
    <xf numFmtId="2" fontId="4" fillId="0" borderId="10" xfId="0" applyNumberFormat="1" applyFont="1" applyBorder="1" applyAlignment="1">
      <alignment vertical="center" wrapText="1"/>
    </xf>
    <xf numFmtId="2" fontId="4" fillId="0" borderId="10" xfId="0" applyNumberFormat="1" applyFont="1" applyFill="1" applyBorder="1" applyAlignment="1" quotePrefix="1">
      <alignment horizontal="center" vertical="center" wrapText="1"/>
    </xf>
    <xf numFmtId="2" fontId="4" fillId="0" borderId="10" xfId="0" applyNumberFormat="1" applyFont="1" applyFill="1" applyBorder="1" applyAlignment="1">
      <alignment vertical="center" wrapText="1"/>
    </xf>
    <xf numFmtId="0" fontId="3" fillId="0" borderId="10" xfId="0" applyFont="1" applyBorder="1" applyAlignment="1" quotePrefix="1">
      <alignment horizontal="center" vertical="center"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32" borderId="10" xfId="0" applyNumberFormat="1" applyFont="1" applyFill="1" applyBorder="1" applyAlignment="1" quotePrefix="1">
      <alignment vertical="center" wrapText="1"/>
    </xf>
    <xf numFmtId="0" fontId="4" fillId="0" borderId="0" xfId="0" applyFont="1" applyBorder="1" applyAlignment="1">
      <alignment/>
    </xf>
    <xf numFmtId="3" fontId="4" fillId="0" borderId="10" xfId="0" applyNumberFormat="1" applyFont="1" applyBorder="1" applyAlignment="1">
      <alignment vertical="center"/>
    </xf>
    <xf numFmtId="3" fontId="3" fillId="32" borderId="10" xfId="0" applyNumberFormat="1" applyFont="1" applyFill="1" applyBorder="1" applyAlignment="1">
      <alignment vertical="center" wrapText="1"/>
    </xf>
    <xf numFmtId="0" fontId="4" fillId="0" borderId="10" xfId="0" applyFont="1" applyBorder="1" applyAlignment="1">
      <alignment horizontal="left" vertical="center" wrapText="1"/>
    </xf>
    <xf numFmtId="0" fontId="4" fillId="0" borderId="10" xfId="0" applyNumberFormat="1" applyFont="1" applyBorder="1" applyAlignment="1">
      <alignment horizontal="left" vertical="center" wrapText="1"/>
    </xf>
    <xf numFmtId="0" fontId="4" fillId="0" borderId="10" xfId="0" applyFont="1" applyFill="1" applyBorder="1" applyAlignment="1" quotePrefix="1">
      <alignment horizontal="center" vertical="center" wrapText="1"/>
    </xf>
    <xf numFmtId="0" fontId="4" fillId="0" borderId="0" xfId="0" applyFont="1" applyAlignment="1">
      <alignment/>
    </xf>
    <xf numFmtId="3" fontId="4" fillId="0" borderId="0" xfId="0" applyNumberFormat="1" applyFont="1" applyBorder="1" applyAlignment="1">
      <alignment vertical="center"/>
    </xf>
    <xf numFmtId="0" fontId="4" fillId="0" borderId="0" xfId="0" applyFont="1" applyAlignment="1">
      <alignment horizontal="right"/>
    </xf>
    <xf numFmtId="0" fontId="4" fillId="32" borderId="10" xfId="0" applyFont="1" applyFill="1" applyBorder="1" applyAlignment="1">
      <alignment horizontal="center" vertical="center" wrapText="1"/>
    </xf>
    <xf numFmtId="3"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49" fontId="4" fillId="0" borderId="10" xfId="0" applyNumberFormat="1" applyFont="1" applyBorder="1" applyAlignment="1" quotePrefix="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vertical="center" wrapText="1"/>
    </xf>
    <xf numFmtId="0" fontId="4" fillId="0" borderId="11" xfId="0" applyFont="1" applyBorder="1" applyAlignment="1" quotePrefix="1">
      <alignment horizontal="center" vertical="center" wrapText="1"/>
    </xf>
    <xf numFmtId="2" fontId="4" fillId="0" borderId="11" xfId="0" applyNumberFormat="1" applyFont="1" applyBorder="1" applyAlignment="1" quotePrefix="1">
      <alignment horizontal="center" vertical="center" wrapText="1"/>
    </xf>
    <xf numFmtId="2" fontId="4" fillId="0" borderId="11" xfId="0" applyNumberFormat="1"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quotePrefix="1">
      <alignment horizontal="center" vertical="center" wrapText="1"/>
    </xf>
    <xf numFmtId="2" fontId="4" fillId="0" borderId="12" xfId="0" applyNumberFormat="1" applyFont="1" applyBorder="1" applyAlignment="1" quotePrefix="1">
      <alignment horizontal="center" vertical="center" wrapText="1"/>
    </xf>
    <xf numFmtId="2" fontId="4" fillId="0" borderId="12" xfId="0" applyNumberFormat="1" applyFont="1" applyBorder="1" applyAlignment="1">
      <alignment vertical="center" wrapText="1"/>
    </xf>
    <xf numFmtId="2" fontId="4" fillId="0" borderId="13" xfId="0" applyNumberFormat="1" applyFont="1" applyBorder="1" applyAlignment="1" quotePrefix="1">
      <alignment horizontal="center" vertical="center" wrapText="1"/>
    </xf>
    <xf numFmtId="0" fontId="4" fillId="0" borderId="10" xfId="0" applyFont="1" applyBorder="1" applyAlignment="1">
      <alignment wrapText="1"/>
    </xf>
    <xf numFmtId="0" fontId="3" fillId="32" borderId="10" xfId="0" applyFont="1" applyFill="1" applyBorder="1" applyAlignment="1">
      <alignment horizontal="center" vertical="center" wrapText="1"/>
    </xf>
    <xf numFmtId="0" fontId="3" fillId="32" borderId="10" xfId="0" applyFont="1" applyFill="1" applyBorder="1" applyAlignment="1" quotePrefix="1">
      <alignment horizontal="center" vertical="center" wrapText="1"/>
    </xf>
    <xf numFmtId="2" fontId="3" fillId="32" borderId="10" xfId="0" applyNumberFormat="1" applyFont="1" applyFill="1" applyBorder="1" applyAlignment="1">
      <alignment horizontal="center" vertical="center" wrapText="1"/>
    </xf>
    <xf numFmtId="2" fontId="3" fillId="32" borderId="10" xfId="0" applyNumberFormat="1" applyFont="1" applyFill="1" applyBorder="1" applyAlignment="1">
      <alignment vertical="center" wrapText="1"/>
    </xf>
    <xf numFmtId="0" fontId="3" fillId="0" borderId="0" xfId="0" applyFont="1" applyAlignment="1">
      <alignment horizontal="left"/>
    </xf>
    <xf numFmtId="0" fontId="4" fillId="0" borderId="0" xfId="0" applyFont="1" applyAlignment="1">
      <alignment horizontal="center"/>
    </xf>
    <xf numFmtId="4" fontId="3" fillId="0" borderId="0" xfId="0" applyNumberFormat="1" applyFont="1" applyAlignment="1">
      <alignment horizontal="right"/>
    </xf>
    <xf numFmtId="4" fontId="4" fillId="0" borderId="0" xfId="0" applyNumberFormat="1" applyFont="1" applyAlignment="1">
      <alignment horizontal="right"/>
    </xf>
    <xf numFmtId="4" fontId="4" fillId="0" borderId="0" xfId="0" applyNumberFormat="1" applyFont="1" applyAlignment="1">
      <alignment/>
    </xf>
    <xf numFmtId="3" fontId="4" fillId="0" borderId="0" xfId="0" applyNumberFormat="1" applyFont="1" applyBorder="1" applyAlignment="1">
      <alignment/>
    </xf>
    <xf numFmtId="0" fontId="4" fillId="0" borderId="0" xfId="0" applyFont="1" applyFill="1" applyBorder="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vertical="center" wrapText="1"/>
    </xf>
    <xf numFmtId="2"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 fontId="4" fillId="0" borderId="10" xfId="0" applyNumberFormat="1" applyFont="1" applyBorder="1" applyAlignment="1">
      <alignment vertical="center"/>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33" applyFont="1" applyFill="1" applyAlignment="1">
      <alignment vertical="center"/>
      <protection/>
    </xf>
    <xf numFmtId="4" fontId="3" fillId="0" borderId="0" xfId="33" applyNumberFormat="1" applyFont="1" applyFill="1" applyAlignment="1">
      <alignment vertical="center"/>
      <protection/>
    </xf>
    <xf numFmtId="0" fontId="4" fillId="0" borderId="10" xfId="0" applyFont="1" applyFill="1" applyBorder="1" applyAlignment="1">
      <alignment horizontal="left" vertical="center" wrapText="1"/>
    </xf>
    <xf numFmtId="4" fontId="4" fillId="0" borderId="0" xfId="33" applyNumberFormat="1" applyFont="1" applyFill="1" applyAlignment="1">
      <alignment vertical="center"/>
      <protection/>
    </xf>
    <xf numFmtId="0" fontId="4" fillId="0" borderId="0" xfId="33" applyFont="1" applyFill="1" applyAlignment="1">
      <alignment vertical="center"/>
      <protection/>
    </xf>
    <xf numFmtId="0" fontId="4" fillId="0" borderId="10" xfId="0" applyFont="1" applyFill="1" applyBorder="1" applyAlignment="1">
      <alignment vertical="center" wrapText="1"/>
    </xf>
    <xf numFmtId="2" fontId="3" fillId="0" borderId="10" xfId="0" applyNumberFormat="1" applyFont="1" applyFill="1" applyBorder="1" applyAlignment="1">
      <alignment horizontal="center" vertical="center" wrapText="1"/>
    </xf>
    <xf numFmtId="0" fontId="4" fillId="0" borderId="0" xfId="0" applyFont="1" applyFill="1" applyAlignment="1">
      <alignment vertical="center"/>
    </xf>
    <xf numFmtId="4" fontId="4" fillId="0" borderId="0" xfId="0" applyNumberFormat="1" applyFont="1" applyFill="1" applyBorder="1" applyAlignment="1">
      <alignment/>
    </xf>
    <xf numFmtId="4" fontId="4" fillId="0" borderId="0" xfId="0" applyNumberFormat="1" applyFont="1" applyFill="1" applyAlignment="1">
      <alignment vertical="center"/>
    </xf>
    <xf numFmtId="1" fontId="4" fillId="0" borderId="10" xfId="0" applyNumberFormat="1" applyFont="1" applyFill="1" applyBorder="1" applyAlignment="1" quotePrefix="1">
      <alignment horizontal="center" vertical="center" wrapText="1"/>
    </xf>
    <xf numFmtId="4" fontId="4" fillId="0" borderId="10" xfId="0" applyNumberFormat="1" applyFont="1" applyFill="1" applyBorder="1" applyAlignment="1">
      <alignment vertical="center"/>
    </xf>
    <xf numFmtId="49" fontId="3" fillId="0" borderId="14" xfId="33" applyNumberFormat="1" applyFont="1" applyFill="1" applyBorder="1" applyAlignment="1">
      <alignment horizontal="center" vertical="center" wrapText="1"/>
      <protection/>
    </xf>
    <xf numFmtId="49" fontId="4" fillId="0" borderId="14" xfId="33" applyNumberFormat="1" applyFont="1" applyFill="1" applyBorder="1" applyAlignment="1">
      <alignment horizontal="center" vertical="center" wrapText="1"/>
      <protection/>
    </xf>
    <xf numFmtId="2" fontId="4" fillId="0" borderId="14" xfId="33" applyNumberFormat="1" applyFont="1" applyFill="1" applyBorder="1" applyAlignment="1">
      <alignment vertical="center" wrapText="1"/>
      <protection/>
    </xf>
    <xf numFmtId="4" fontId="4" fillId="0" borderId="14" xfId="33" applyNumberFormat="1" applyFont="1" applyFill="1" applyBorder="1" applyAlignment="1">
      <alignment vertical="center" wrapText="1"/>
      <protection/>
    </xf>
    <xf numFmtId="4" fontId="4" fillId="0" borderId="0" xfId="33" applyNumberFormat="1" applyFont="1" applyFill="1" applyAlignment="1">
      <alignment horizontal="right" vertical="center"/>
      <protection/>
    </xf>
    <xf numFmtId="2" fontId="4" fillId="0" borderId="13" xfId="0" applyNumberFormat="1" applyFont="1" applyFill="1" applyBorder="1" applyAlignment="1" quotePrefix="1">
      <alignment horizontal="center" vertical="center" wrapText="1"/>
    </xf>
    <xf numFmtId="3" fontId="4" fillId="0" borderId="10" xfId="0" applyNumberFormat="1" applyFont="1" applyFill="1" applyBorder="1" applyAlignment="1">
      <alignment vertical="center"/>
    </xf>
    <xf numFmtId="0" fontId="4" fillId="0" borderId="10" xfId="0" applyNumberFormat="1" applyFont="1" applyFill="1" applyBorder="1" applyAlignment="1">
      <alignment horizontal="left" vertical="center" wrapText="1"/>
    </xf>
    <xf numFmtId="4" fontId="4" fillId="0" borderId="10" xfId="0" applyNumberFormat="1" applyFont="1" applyFill="1" applyBorder="1" applyAlignment="1" quotePrefix="1">
      <alignment horizontal="center" vertical="center" wrapText="1"/>
    </xf>
    <xf numFmtId="4" fontId="4" fillId="0" borderId="0" xfId="0" applyNumberFormat="1" applyFont="1" applyFill="1" applyBorder="1" applyAlignment="1">
      <alignment vertical="center"/>
    </xf>
    <xf numFmtId="0" fontId="4" fillId="0" borderId="0" xfId="0" applyFont="1" applyFill="1" applyBorder="1" applyAlignment="1">
      <alignment vertical="center"/>
    </xf>
    <xf numFmtId="49" fontId="4" fillId="0" borderId="11" xfId="0" applyNumberFormat="1" applyFont="1" applyFill="1" applyBorder="1" applyAlignment="1">
      <alignment horizontal="center" vertical="center" wrapText="1"/>
    </xf>
    <xf numFmtId="0" fontId="4" fillId="0" borderId="11" xfId="0" applyFont="1" applyFill="1" applyBorder="1" applyAlignment="1" quotePrefix="1">
      <alignment horizontal="center" vertical="center" wrapText="1"/>
    </xf>
    <xf numFmtId="2" fontId="4" fillId="0" borderId="11" xfId="0" applyNumberFormat="1" applyFont="1" applyFill="1" applyBorder="1" applyAlignment="1" quotePrefix="1">
      <alignment horizontal="center" vertical="center" wrapText="1"/>
    </xf>
    <xf numFmtId="2" fontId="4" fillId="0" borderId="11" xfId="0" applyNumberFormat="1" applyFont="1" applyFill="1" applyBorder="1" applyAlignment="1">
      <alignment vertical="center" wrapText="1"/>
    </xf>
    <xf numFmtId="4" fontId="3" fillId="0" borderId="14" xfId="33" applyNumberFormat="1" applyFont="1" applyFill="1" applyBorder="1" applyAlignment="1">
      <alignment horizontal="center" vertical="center" wrapText="1"/>
      <protection/>
    </xf>
    <xf numFmtId="4" fontId="4" fillId="0" borderId="14" xfId="33" applyNumberFormat="1" applyFont="1" applyFill="1" applyBorder="1" applyAlignment="1">
      <alignment horizontal="center" vertical="center" wrapText="1"/>
      <protection/>
    </xf>
    <xf numFmtId="4" fontId="4" fillId="0" borderId="13" xfId="0" applyNumberFormat="1" applyFont="1" applyFill="1" applyBorder="1" applyAlignment="1" quotePrefix="1">
      <alignment horizontal="center" vertical="center" wrapText="1"/>
    </xf>
    <xf numFmtId="4" fontId="4" fillId="0" borderId="10" xfId="0" applyNumberFormat="1" applyFont="1" applyFill="1" applyBorder="1" applyAlignment="1">
      <alignment horizontal="left" vertical="center" wrapText="1"/>
    </xf>
    <xf numFmtId="4" fontId="4" fillId="0" borderId="10" xfId="0" applyNumberFormat="1" applyFont="1" applyFill="1" applyBorder="1" applyAlignment="1">
      <alignment wrapText="1"/>
    </xf>
    <xf numFmtId="49" fontId="3" fillId="0" borderId="15"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2" xfId="0" applyFont="1" applyFill="1" applyBorder="1" applyAlignment="1" quotePrefix="1">
      <alignment horizontal="center" vertical="center" wrapText="1"/>
    </xf>
    <xf numFmtId="2" fontId="4" fillId="0" borderId="12" xfId="0" applyNumberFormat="1" applyFont="1" applyFill="1" applyBorder="1" applyAlignment="1" quotePrefix="1">
      <alignment horizontal="center" vertical="center" wrapText="1"/>
    </xf>
    <xf numFmtId="2" fontId="4" fillId="0" borderId="12" xfId="0" applyNumberFormat="1" applyFont="1" applyFill="1" applyBorder="1" applyAlignment="1">
      <alignment vertical="center" wrapText="1"/>
    </xf>
    <xf numFmtId="49" fontId="4" fillId="0" borderId="16" xfId="33" applyNumberFormat="1" applyFont="1" applyFill="1" applyBorder="1" applyAlignment="1">
      <alignment horizontal="center" vertical="center" wrapText="1"/>
      <protection/>
    </xf>
    <xf numFmtId="4" fontId="4" fillId="0" borderId="16" xfId="33" applyNumberFormat="1" applyFont="1" applyFill="1" applyBorder="1" applyAlignment="1">
      <alignment horizontal="center" vertical="center" wrapText="1"/>
      <protection/>
    </xf>
    <xf numFmtId="4" fontId="4" fillId="0" borderId="16" xfId="33" applyNumberFormat="1" applyFont="1" applyFill="1" applyBorder="1" applyAlignment="1">
      <alignment vertical="center" wrapText="1"/>
      <protection/>
    </xf>
    <xf numFmtId="4" fontId="3" fillId="32" borderId="14" xfId="33" applyNumberFormat="1" applyFont="1" applyFill="1" applyBorder="1" applyAlignment="1">
      <alignment vertical="center" wrapText="1"/>
      <protection/>
    </xf>
    <xf numFmtId="0" fontId="3" fillId="32" borderId="10" xfId="0" applyFont="1" applyFill="1" applyBorder="1" applyAlignment="1">
      <alignment horizontal="justify" vertical="center" wrapText="1"/>
    </xf>
    <xf numFmtId="2" fontId="3" fillId="32" borderId="14" xfId="33" applyNumberFormat="1" applyFont="1" applyFill="1" applyBorder="1" applyAlignment="1">
      <alignment vertical="center" wrapText="1"/>
      <protection/>
    </xf>
    <xf numFmtId="0" fontId="4" fillId="0" borderId="10" xfId="0" applyFont="1" applyFill="1" applyBorder="1" applyAlignment="1">
      <alignment wrapText="1"/>
    </xf>
    <xf numFmtId="4" fontId="4" fillId="32" borderId="10" xfId="0" applyNumberFormat="1" applyFont="1" applyFill="1" applyBorder="1" applyAlignment="1">
      <alignment vertical="center" wrapText="1"/>
    </xf>
    <xf numFmtId="4" fontId="4" fillId="0" borderId="12" xfId="0" applyNumberFormat="1" applyFont="1" applyBorder="1" applyAlignment="1">
      <alignment vertical="center" wrapText="1"/>
    </xf>
    <xf numFmtId="4" fontId="4" fillId="0" borderId="10" xfId="0" applyNumberFormat="1" applyFont="1" applyBorder="1" applyAlignment="1">
      <alignment vertical="center" wrapText="1"/>
    </xf>
    <xf numFmtId="4" fontId="4" fillId="0" borderId="11" xfId="0" applyNumberFormat="1" applyFont="1" applyBorder="1" applyAlignment="1">
      <alignment vertical="center" wrapText="1"/>
    </xf>
    <xf numFmtId="4" fontId="4" fillId="32" borderId="17" xfId="0" applyNumberFormat="1" applyFont="1" applyFill="1" applyBorder="1" applyAlignment="1">
      <alignment vertical="center" wrapText="1"/>
    </xf>
    <xf numFmtId="4" fontId="4" fillId="32" borderId="10" xfId="0" applyNumberFormat="1" applyFont="1" applyFill="1" applyBorder="1" applyAlignment="1">
      <alignment horizontal="right" vertical="center"/>
    </xf>
    <xf numFmtId="4" fontId="4" fillId="32" borderId="14" xfId="33" applyNumberFormat="1" applyFont="1" applyFill="1" applyBorder="1" applyAlignment="1">
      <alignment vertical="center" wrapText="1"/>
      <protection/>
    </xf>
    <xf numFmtId="4" fontId="4" fillId="32" borderId="11" xfId="0" applyNumberFormat="1" applyFont="1" applyFill="1" applyBorder="1" applyAlignment="1">
      <alignment vertical="center" wrapText="1"/>
    </xf>
    <xf numFmtId="4" fontId="4" fillId="0" borderId="11" xfId="0" applyNumberFormat="1" applyFont="1" applyFill="1" applyBorder="1" applyAlignment="1">
      <alignment vertical="center" wrapText="1"/>
    </xf>
    <xf numFmtId="184" fontId="4" fillId="0" borderId="11" xfId="0" applyNumberFormat="1" applyFont="1" applyFill="1" applyBorder="1" applyAlignment="1">
      <alignment vertical="center" wrapText="1"/>
    </xf>
    <xf numFmtId="184" fontId="4" fillId="32" borderId="11" xfId="0" applyNumberFormat="1" applyFont="1" applyFill="1" applyBorder="1" applyAlignment="1">
      <alignment vertical="center" wrapText="1"/>
    </xf>
    <xf numFmtId="184" fontId="4" fillId="0" borderId="10" xfId="0" applyNumberFormat="1" applyFont="1" applyFill="1" applyBorder="1" applyAlignment="1">
      <alignment vertical="center" wrapText="1"/>
    </xf>
    <xf numFmtId="184" fontId="4" fillId="32" borderId="10" xfId="0" applyNumberFormat="1" applyFont="1" applyFill="1" applyBorder="1" applyAlignment="1">
      <alignment vertical="center" wrapText="1"/>
    </xf>
    <xf numFmtId="4" fontId="4" fillId="0" borderId="0" xfId="0" applyNumberFormat="1" applyFont="1" applyBorder="1" applyAlignment="1">
      <alignment/>
    </xf>
    <xf numFmtId="4" fontId="4" fillId="0" borderId="10"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xf>
    <xf numFmtId="4" fontId="4" fillId="32" borderId="12" xfId="0" applyNumberFormat="1" applyFont="1" applyFill="1" applyBorder="1" applyAlignment="1">
      <alignment vertical="center" wrapText="1"/>
    </xf>
    <xf numFmtId="4" fontId="4" fillId="0" borderId="12" xfId="0" applyNumberFormat="1" applyFont="1" applyFill="1" applyBorder="1" applyAlignment="1">
      <alignment vertical="center" wrapText="1"/>
    </xf>
    <xf numFmtId="4" fontId="3" fillId="32" borderId="10" xfId="0" applyNumberFormat="1" applyFont="1" applyFill="1" applyBorder="1" applyAlignment="1">
      <alignment horizontal="right" vertical="center"/>
    </xf>
    <xf numFmtId="4" fontId="4" fillId="32" borderId="13" xfId="0" applyNumberFormat="1" applyFont="1" applyFill="1" applyBorder="1" applyAlignment="1">
      <alignment vertical="center" wrapText="1"/>
    </xf>
    <xf numFmtId="4" fontId="3" fillId="32" borderId="13" xfId="0" applyNumberFormat="1" applyFont="1" applyFill="1" applyBorder="1" applyAlignment="1">
      <alignment horizontal="right" vertical="center"/>
    </xf>
    <xf numFmtId="4" fontId="4" fillId="32" borderId="13" xfId="0" applyNumberFormat="1" applyFont="1" applyFill="1" applyBorder="1" applyAlignment="1">
      <alignment horizontal="right" vertical="center"/>
    </xf>
    <xf numFmtId="4" fontId="3" fillId="32" borderId="13" xfId="0" applyNumberFormat="1" applyFont="1" applyFill="1" applyBorder="1" applyAlignment="1">
      <alignment vertical="center" wrapText="1"/>
    </xf>
    <xf numFmtId="4" fontId="3" fillId="32" borderId="18" xfId="33" applyNumberFormat="1" applyFont="1" applyFill="1" applyBorder="1" applyAlignment="1">
      <alignment vertical="center" wrapText="1"/>
      <protection/>
    </xf>
    <xf numFmtId="4" fontId="4" fillId="32" borderId="18" xfId="33" applyNumberFormat="1" applyFont="1" applyFill="1" applyBorder="1" applyAlignment="1">
      <alignment vertical="center" wrapText="1"/>
      <protection/>
    </xf>
    <xf numFmtId="0" fontId="3" fillId="0" borderId="10" xfId="33" applyFont="1" applyFill="1" applyBorder="1" applyAlignment="1">
      <alignment vertical="center"/>
      <protection/>
    </xf>
    <xf numFmtId="4" fontId="4" fillId="0" borderId="10" xfId="33" applyNumberFormat="1" applyFont="1" applyFill="1" applyBorder="1" applyAlignment="1">
      <alignment vertical="center"/>
      <protection/>
    </xf>
    <xf numFmtId="0" fontId="4" fillId="0" borderId="10" xfId="33" applyFont="1" applyFill="1" applyBorder="1" applyAlignment="1">
      <alignment vertical="center"/>
      <protection/>
    </xf>
    <xf numFmtId="0" fontId="4" fillId="0" borderId="10" xfId="0" applyFont="1" applyFill="1" applyBorder="1" applyAlignment="1">
      <alignment vertical="center"/>
    </xf>
    <xf numFmtId="4" fontId="4" fillId="0" borderId="0" xfId="33" applyNumberFormat="1" applyFont="1" applyFill="1" applyAlignment="1">
      <alignment/>
      <protection/>
    </xf>
    <xf numFmtId="4" fontId="4" fillId="32" borderId="19" xfId="0" applyNumberFormat="1" applyFont="1" applyFill="1" applyBorder="1" applyAlignment="1">
      <alignment vertical="center" wrapText="1"/>
    </xf>
    <xf numFmtId="4" fontId="4" fillId="32" borderId="20" xfId="33" applyNumberFormat="1" applyFont="1" applyFill="1" applyBorder="1" applyAlignment="1">
      <alignment vertical="center" wrapText="1"/>
      <protection/>
    </xf>
    <xf numFmtId="0" fontId="4" fillId="0" borderId="0" xfId="0" applyFont="1" applyBorder="1" applyAlignment="1">
      <alignment vertical="center"/>
    </xf>
    <xf numFmtId="4" fontId="4" fillId="33" borderId="10" xfId="0" applyNumberFormat="1" applyFont="1" applyFill="1" applyBorder="1" applyAlignment="1">
      <alignment vertical="center" wrapText="1"/>
    </xf>
    <xf numFmtId="0" fontId="4" fillId="34" borderId="10" xfId="0" applyFont="1" applyFill="1" applyBorder="1" applyAlignment="1" quotePrefix="1">
      <alignment horizontal="center" vertical="center" wrapText="1"/>
    </xf>
    <xf numFmtId="4" fontId="4" fillId="0" borderId="10" xfId="0" applyNumberFormat="1" applyFont="1" applyFill="1" applyBorder="1" applyAlignment="1">
      <alignment horizontal="center" vertical="center" wrapText="1"/>
    </xf>
    <xf numFmtId="0" fontId="4" fillId="35" borderId="0" xfId="0" applyFont="1" applyFill="1" applyBorder="1" applyAlignment="1">
      <alignment/>
    </xf>
    <xf numFmtId="3" fontId="4" fillId="35" borderId="10" xfId="0" applyNumberFormat="1" applyFont="1" applyFill="1" applyBorder="1" applyAlignment="1">
      <alignment vertical="center"/>
    </xf>
    <xf numFmtId="4" fontId="5" fillId="0" borderId="10" xfId="0" applyNumberFormat="1" applyFont="1" applyFill="1" applyBorder="1" applyAlignment="1">
      <alignment horizontal="right" vertical="center"/>
    </xf>
    <xf numFmtId="0" fontId="4" fillId="32" borderId="0" xfId="0" applyFont="1" applyFill="1" applyBorder="1" applyAlignment="1">
      <alignment/>
    </xf>
    <xf numFmtId="2" fontId="3" fillId="0" borderId="10" xfId="0" applyNumberFormat="1" applyFont="1" applyFill="1" applyBorder="1" applyAlignment="1">
      <alignment vertical="center" wrapText="1"/>
    </xf>
    <xf numFmtId="0" fontId="3" fillId="0" borderId="10" xfId="0" applyFont="1" applyFill="1" applyBorder="1" applyAlignment="1" quotePrefix="1">
      <alignment horizontal="center" vertical="center" wrapText="1"/>
    </xf>
    <xf numFmtId="0" fontId="4" fillId="0" borderId="0" xfId="0" applyFont="1" applyAlignment="1">
      <alignment wrapText="1"/>
    </xf>
    <xf numFmtId="0" fontId="4" fillId="0" borderId="10"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4" fillId="32" borderId="10" xfId="0" applyFont="1" applyFill="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21"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40;&#1073;&#1089;&#1086;&#1083;&#1102;&#1090;\&#1082;&#1072;&#1085;&#1094;&#1077;&#1083;&#1103;&#1088;&#1080;&#1103;\&#1041;&#1070;&#1044;&#1046;&#1045;&#1058;%20&#1053;&#1054;&#1042;&#1040;&#1071;\&#1041;&#1070;&#1044;&#1046;&#1045;&#1058;%202015\&#1072;&#1087;&#1088;&#1077;&#1083;&#1100;\&#1088;&#1110;&#1096;&#1077;&#1085;&#1085;&#1103;%20&#1074;&#1110;&#1076;%2024.04.15%20&#8470;1304-62\&#1076;&#1086;&#1076;&#1072;&#1090;&#1086;&#1082;%203&#1085;%20&#1082;&#1074;&#1110;&#1090;&#1077;&#1085;&#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17">
          <cell r="E217">
            <v>1167893260</v>
          </cell>
          <cell r="F217">
            <v>1151785887</v>
          </cell>
          <cell r="G217">
            <v>356523902</v>
          </cell>
          <cell r="H217">
            <v>103472177</v>
          </cell>
          <cell r="I217">
            <v>15691600</v>
          </cell>
          <cell r="J217">
            <v>183242501</v>
          </cell>
          <cell r="K217">
            <v>29797275</v>
          </cell>
          <cell r="L217">
            <v>3833021</v>
          </cell>
          <cell r="M217">
            <v>1864847</v>
          </cell>
          <cell r="N217">
            <v>153445226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21"/>
  <sheetViews>
    <sheetView tabSelected="1" view="pageBreakPreview" zoomScale="70" zoomScaleNormal="75" zoomScaleSheetLayoutView="70" zoomScalePageLayoutView="0" workbookViewId="0" topLeftCell="A1">
      <pane xSplit="5" ySplit="13" topLeftCell="F480" activePane="bottomRight" state="frozen"/>
      <selection pane="topLeft" activeCell="A1" sqref="A1"/>
      <selection pane="topRight" activeCell="F1" sqref="F1"/>
      <selection pane="bottomLeft" activeCell="A14" sqref="A14"/>
      <selection pane="bottomRight" activeCell="F489" sqref="F489"/>
    </sheetView>
  </sheetViews>
  <sheetFormatPr defaultColWidth="15.8515625" defaultRowHeight="15"/>
  <cols>
    <col min="1" max="1" width="8.28125" style="19" customWidth="1"/>
    <col min="2" max="2" width="11.421875" style="19" customWidth="1"/>
    <col min="3" max="3" width="10.7109375" style="19" customWidth="1"/>
    <col min="4" max="4" width="45.421875" style="19" customWidth="1"/>
    <col min="5" max="5" width="18.140625" style="19" customWidth="1"/>
    <col min="6" max="6" width="16.8515625" style="19" customWidth="1"/>
    <col min="7" max="7" width="14.7109375" style="19" customWidth="1"/>
    <col min="8" max="8" width="16.00390625" style="19" customWidth="1"/>
    <col min="9" max="9" width="14.00390625" style="19" customWidth="1"/>
    <col min="10" max="10" width="16.421875" style="19" customWidth="1"/>
    <col min="11" max="11" width="16.57421875" style="19" bestFit="1" customWidth="1"/>
    <col min="12" max="12" width="15.00390625" style="19" customWidth="1"/>
    <col min="13" max="13" width="16.28125" style="19" bestFit="1" customWidth="1"/>
    <col min="14" max="14" width="17.7109375" style="19" customWidth="1"/>
    <col min="15" max="15" width="16.8515625" style="19" bestFit="1" customWidth="1"/>
    <col min="16" max="16" width="16.00390625" style="19" customWidth="1"/>
    <col min="17" max="17" width="15.8515625" style="20" customWidth="1"/>
    <col min="18" max="16384" width="15.8515625" style="13" customWidth="1"/>
  </cols>
  <sheetData>
    <row r="1" ht="15">
      <c r="M1" s="19" t="s">
        <v>348</v>
      </c>
    </row>
    <row r="2" spans="4:13" ht="15">
      <c r="D2" s="45"/>
      <c r="M2" s="19" t="s">
        <v>353</v>
      </c>
    </row>
    <row r="3" spans="4:13" ht="15">
      <c r="D3" s="45"/>
      <c r="E3" s="45"/>
      <c r="M3" s="19" t="s">
        <v>373</v>
      </c>
    </row>
    <row r="4" spans="4:16" ht="15">
      <c r="D4" s="45"/>
      <c r="E4" s="45"/>
      <c r="M4" s="19" t="s">
        <v>354</v>
      </c>
      <c r="P4" s="45"/>
    </row>
    <row r="5" spans="4:13" ht="15">
      <c r="D5" s="45"/>
      <c r="M5" s="19" t="s">
        <v>355</v>
      </c>
    </row>
    <row r="6" spans="1:16" ht="15">
      <c r="A6" s="145" t="s">
        <v>0</v>
      </c>
      <c r="B6" s="146"/>
      <c r="C6" s="146"/>
      <c r="D6" s="146"/>
      <c r="E6" s="146"/>
      <c r="F6" s="146"/>
      <c r="G6" s="146"/>
      <c r="H6" s="146"/>
      <c r="I6" s="146"/>
      <c r="J6" s="146"/>
      <c r="K6" s="146"/>
      <c r="L6" s="146"/>
      <c r="M6" s="146"/>
      <c r="N6" s="146"/>
      <c r="O6" s="146"/>
      <c r="P6" s="146"/>
    </row>
    <row r="7" spans="1:16" ht="15">
      <c r="A7" s="145" t="s">
        <v>349</v>
      </c>
      <c r="B7" s="146"/>
      <c r="C7" s="146"/>
      <c r="D7" s="146"/>
      <c r="E7" s="146"/>
      <c r="F7" s="146"/>
      <c r="G7" s="146"/>
      <c r="H7" s="146"/>
      <c r="I7" s="146"/>
      <c r="J7" s="146"/>
      <c r="K7" s="146"/>
      <c r="L7" s="146"/>
      <c r="M7" s="146"/>
      <c r="N7" s="146"/>
      <c r="O7" s="146"/>
      <c r="P7" s="146"/>
    </row>
    <row r="8" ht="15">
      <c r="P8" s="21" t="s">
        <v>1</v>
      </c>
    </row>
    <row r="9" spans="1:17" ht="15">
      <c r="A9" s="144" t="s">
        <v>2</v>
      </c>
      <c r="B9" s="144" t="s">
        <v>3</v>
      </c>
      <c r="C9" s="144" t="s">
        <v>4</v>
      </c>
      <c r="D9" s="144" t="s">
        <v>5</v>
      </c>
      <c r="E9" s="144" t="s">
        <v>6</v>
      </c>
      <c r="F9" s="144"/>
      <c r="G9" s="144"/>
      <c r="H9" s="144"/>
      <c r="I9" s="144"/>
      <c r="J9" s="144" t="s">
        <v>13</v>
      </c>
      <c r="K9" s="144"/>
      <c r="L9" s="144"/>
      <c r="M9" s="144"/>
      <c r="N9" s="144"/>
      <c r="O9" s="144"/>
      <c r="P9" s="147" t="s">
        <v>15</v>
      </c>
      <c r="Q9" s="148" t="s">
        <v>272</v>
      </c>
    </row>
    <row r="10" spans="1:17" ht="15">
      <c r="A10" s="144"/>
      <c r="B10" s="144"/>
      <c r="C10" s="144"/>
      <c r="D10" s="144"/>
      <c r="E10" s="147" t="s">
        <v>7</v>
      </c>
      <c r="F10" s="144" t="s">
        <v>8</v>
      </c>
      <c r="G10" s="144" t="s">
        <v>9</v>
      </c>
      <c r="H10" s="144"/>
      <c r="I10" s="144" t="s">
        <v>12</v>
      </c>
      <c r="J10" s="147" t="s">
        <v>7</v>
      </c>
      <c r="K10" s="144" t="s">
        <v>8</v>
      </c>
      <c r="L10" s="144" t="s">
        <v>9</v>
      </c>
      <c r="M10" s="144"/>
      <c r="N10" s="144" t="s">
        <v>12</v>
      </c>
      <c r="O10" s="3" t="s">
        <v>9</v>
      </c>
      <c r="P10" s="144"/>
      <c r="Q10" s="149"/>
    </row>
    <row r="11" spans="1:17" ht="15">
      <c r="A11" s="144"/>
      <c r="B11" s="144"/>
      <c r="C11" s="144"/>
      <c r="D11" s="144"/>
      <c r="E11" s="144"/>
      <c r="F11" s="144"/>
      <c r="G11" s="144" t="s">
        <v>10</v>
      </c>
      <c r="H11" s="144" t="s">
        <v>11</v>
      </c>
      <c r="I11" s="144"/>
      <c r="J11" s="144"/>
      <c r="K11" s="144"/>
      <c r="L11" s="144" t="s">
        <v>10</v>
      </c>
      <c r="M11" s="144" t="s">
        <v>11</v>
      </c>
      <c r="N11" s="144"/>
      <c r="O11" s="144" t="s">
        <v>14</v>
      </c>
      <c r="P11" s="144"/>
      <c r="Q11" s="149"/>
    </row>
    <row r="12" spans="1:17" ht="44.25" customHeight="1">
      <c r="A12" s="144"/>
      <c r="B12" s="144"/>
      <c r="C12" s="144"/>
      <c r="D12" s="144"/>
      <c r="E12" s="144"/>
      <c r="F12" s="144"/>
      <c r="G12" s="144"/>
      <c r="H12" s="144"/>
      <c r="I12" s="144"/>
      <c r="J12" s="144"/>
      <c r="K12" s="144"/>
      <c r="L12" s="144"/>
      <c r="M12" s="144"/>
      <c r="N12" s="144"/>
      <c r="O12" s="144"/>
      <c r="P12" s="144"/>
      <c r="Q12" s="150"/>
    </row>
    <row r="13" spans="1:17" ht="15">
      <c r="A13" s="3">
        <v>1</v>
      </c>
      <c r="B13" s="3">
        <v>2</v>
      </c>
      <c r="C13" s="3">
        <v>3</v>
      </c>
      <c r="D13" s="3">
        <v>4</v>
      </c>
      <c r="E13" s="22">
        <v>5</v>
      </c>
      <c r="F13" s="3">
        <v>6</v>
      </c>
      <c r="G13" s="3">
        <v>7</v>
      </c>
      <c r="H13" s="3">
        <v>8</v>
      </c>
      <c r="I13" s="3">
        <v>9</v>
      </c>
      <c r="J13" s="22">
        <v>10</v>
      </c>
      <c r="K13" s="3">
        <v>11</v>
      </c>
      <c r="L13" s="3">
        <v>12</v>
      </c>
      <c r="M13" s="3">
        <v>13</v>
      </c>
      <c r="N13" s="3">
        <v>14</v>
      </c>
      <c r="O13" s="3">
        <v>15</v>
      </c>
      <c r="P13" s="22">
        <v>16</v>
      </c>
      <c r="Q13" s="23">
        <v>17</v>
      </c>
    </row>
    <row r="14" spans="1:17" ht="15">
      <c r="A14" s="9" t="s">
        <v>16</v>
      </c>
      <c r="B14" s="10"/>
      <c r="C14" s="11"/>
      <c r="D14" s="12" t="s">
        <v>17</v>
      </c>
      <c r="E14" s="1">
        <f>F14+I14</f>
        <v>12984492</v>
      </c>
      <c r="F14" s="1">
        <f>F15+F16+F18+F19+F17+F21+F22</f>
        <v>12984492</v>
      </c>
      <c r="G14" s="1">
        <f>G15+G16+G18+G19+G17+G21+G22</f>
        <v>6637832</v>
      </c>
      <c r="H14" s="1">
        <f>H15+H16+H18+H19+H17+H21+H22</f>
        <v>1074873</v>
      </c>
      <c r="I14" s="1">
        <f>I15+I16+I18+I19+I17+I21+I22</f>
        <v>0</v>
      </c>
      <c r="J14" s="1">
        <f>K14+N14</f>
        <v>1655000</v>
      </c>
      <c r="K14" s="1">
        <f>K15+K16+K18+K19+K17+K21+K22</f>
        <v>0</v>
      </c>
      <c r="L14" s="1">
        <f>L15+L16+L18+L19+L17+L21+L22</f>
        <v>0</v>
      </c>
      <c r="M14" s="1">
        <f>M15+M16+M18+M19+M17+M21+M22</f>
        <v>0</v>
      </c>
      <c r="N14" s="1">
        <f>N15+N16+N18+N19+N17+N21+N22</f>
        <v>1655000</v>
      </c>
      <c r="O14" s="1">
        <f>O15+O16+O18+O19+O17+O21+O22</f>
        <v>1655000</v>
      </c>
      <c r="P14" s="1">
        <f>E14+J14</f>
        <v>14639492</v>
      </c>
      <c r="Q14" s="15">
        <f>Q15+Q16+Q18+Q17</f>
        <v>0</v>
      </c>
    </row>
    <row r="15" spans="1:17" ht="15">
      <c r="A15" s="3"/>
      <c r="B15" s="4" t="s">
        <v>19</v>
      </c>
      <c r="C15" s="5" t="s">
        <v>18</v>
      </c>
      <c r="D15" s="6" t="s">
        <v>20</v>
      </c>
      <c r="E15" s="100">
        <f>F15+I15</f>
        <v>12354592</v>
      </c>
      <c r="F15" s="102">
        <f>11752143-782495+1384944</f>
        <v>12354592</v>
      </c>
      <c r="G15" s="102">
        <f>5502632+1135200</f>
        <v>6637832</v>
      </c>
      <c r="H15" s="102">
        <v>1074873</v>
      </c>
      <c r="I15" s="102"/>
      <c r="J15" s="100">
        <f>K15+N15</f>
        <v>1370000</v>
      </c>
      <c r="K15" s="102"/>
      <c r="L15" s="102"/>
      <c r="M15" s="102"/>
      <c r="N15" s="102">
        <f>1370000</f>
        <v>1370000</v>
      </c>
      <c r="O15" s="102">
        <f>1370000</f>
        <v>1370000</v>
      </c>
      <c r="P15" s="120">
        <f>E15+J15</f>
        <v>13724592</v>
      </c>
      <c r="Q15" s="14"/>
    </row>
    <row r="16" spans="1:17" ht="14.25" customHeight="1">
      <c r="A16" s="3"/>
      <c r="B16" s="4" t="s">
        <v>22</v>
      </c>
      <c r="C16" s="5" t="s">
        <v>21</v>
      </c>
      <c r="D16" s="6" t="s">
        <v>23</v>
      </c>
      <c r="E16" s="100">
        <f aca="true" t="shared" si="0" ref="E16:E22">F16+I16</f>
        <v>350000</v>
      </c>
      <c r="F16" s="102">
        <v>350000</v>
      </c>
      <c r="G16" s="102"/>
      <c r="H16" s="102"/>
      <c r="I16" s="102"/>
      <c r="J16" s="100">
        <f aca="true" t="shared" si="1" ref="J16:J22">K16+N16</f>
        <v>0</v>
      </c>
      <c r="K16" s="102"/>
      <c r="L16" s="102"/>
      <c r="M16" s="102"/>
      <c r="N16" s="102"/>
      <c r="O16" s="102"/>
      <c r="P16" s="120">
        <f aca="true" t="shared" si="2" ref="P16:P22">E16+J16</f>
        <v>350000</v>
      </c>
      <c r="Q16" s="14"/>
    </row>
    <row r="17" spans="1:17" ht="18" customHeight="1">
      <c r="A17" s="3"/>
      <c r="B17" s="4">
        <v>120100</v>
      </c>
      <c r="C17" s="5" t="s">
        <v>21</v>
      </c>
      <c r="D17" s="19" t="s">
        <v>307</v>
      </c>
      <c r="E17" s="100">
        <f t="shared" si="0"/>
        <v>0</v>
      </c>
      <c r="F17" s="102"/>
      <c r="G17" s="102"/>
      <c r="H17" s="102"/>
      <c r="I17" s="102"/>
      <c r="J17" s="100">
        <f t="shared" si="1"/>
        <v>285000</v>
      </c>
      <c r="K17" s="102"/>
      <c r="L17" s="102"/>
      <c r="M17" s="102"/>
      <c r="N17" s="102">
        <f>250000+35000</f>
        <v>285000</v>
      </c>
      <c r="O17" s="102">
        <f>250000+35000</f>
        <v>285000</v>
      </c>
      <c r="P17" s="120">
        <f t="shared" si="2"/>
        <v>285000</v>
      </c>
      <c r="Q17" s="14"/>
    </row>
    <row r="18" spans="1:17" ht="20.25" customHeight="1">
      <c r="A18" s="3"/>
      <c r="B18" s="4">
        <v>250404</v>
      </c>
      <c r="C18" s="25" t="s">
        <v>195</v>
      </c>
      <c r="D18" s="6" t="s">
        <v>59</v>
      </c>
      <c r="E18" s="100">
        <f t="shared" si="0"/>
        <v>279900</v>
      </c>
      <c r="F18" s="2">
        <f>139900+140000</f>
        <v>279900</v>
      </c>
      <c r="G18" s="102"/>
      <c r="H18" s="102"/>
      <c r="I18" s="102"/>
      <c r="J18" s="100">
        <f t="shared" si="1"/>
        <v>0</v>
      </c>
      <c r="K18" s="102"/>
      <c r="L18" s="102"/>
      <c r="M18" s="102"/>
      <c r="N18" s="102"/>
      <c r="O18" s="102"/>
      <c r="P18" s="120">
        <f t="shared" si="2"/>
        <v>279900</v>
      </c>
      <c r="Q18" s="14"/>
    </row>
    <row r="19" spans="1:17" ht="0.75" customHeight="1" hidden="1">
      <c r="A19" s="3"/>
      <c r="B19" s="4">
        <v>250380</v>
      </c>
      <c r="C19" s="24" t="s">
        <v>48</v>
      </c>
      <c r="D19" s="6" t="s">
        <v>263</v>
      </c>
      <c r="E19" s="100">
        <f t="shared" si="0"/>
        <v>0</v>
      </c>
      <c r="F19" s="2">
        <v>0</v>
      </c>
      <c r="G19" s="2">
        <f>SUM(G20)</f>
        <v>0</v>
      </c>
      <c r="H19" s="2">
        <f>SUM(H20)</f>
        <v>0</v>
      </c>
      <c r="I19" s="2">
        <f>SUM(I20)</f>
        <v>0</v>
      </c>
      <c r="J19" s="100">
        <f t="shared" si="1"/>
        <v>0</v>
      </c>
      <c r="K19" s="2">
        <f>SUM(K20)</f>
        <v>0</v>
      </c>
      <c r="L19" s="2">
        <f>SUM(L20)</f>
        <v>0</v>
      </c>
      <c r="M19" s="2">
        <f>SUM(M20)</f>
        <v>0</v>
      </c>
      <c r="N19" s="2">
        <f>SUM(N20)</f>
        <v>0</v>
      </c>
      <c r="O19" s="2">
        <f>SUM(O20)</f>
        <v>0</v>
      </c>
      <c r="P19" s="120">
        <f t="shared" si="2"/>
        <v>0</v>
      </c>
      <c r="Q19" s="14"/>
    </row>
    <row r="20" spans="1:17" ht="12.75" customHeight="1" hidden="1">
      <c r="A20" s="3"/>
      <c r="B20" s="4"/>
      <c r="C20" s="5"/>
      <c r="D20" s="6" t="s">
        <v>289</v>
      </c>
      <c r="E20" s="100">
        <f t="shared" si="0"/>
        <v>0</v>
      </c>
      <c r="F20" s="2">
        <v>0</v>
      </c>
      <c r="G20" s="102"/>
      <c r="H20" s="102"/>
      <c r="I20" s="102"/>
      <c r="J20" s="100">
        <f t="shared" si="1"/>
        <v>0</v>
      </c>
      <c r="K20" s="102"/>
      <c r="L20" s="102"/>
      <c r="M20" s="102"/>
      <c r="N20" s="102"/>
      <c r="O20" s="102"/>
      <c r="P20" s="120">
        <f t="shared" si="2"/>
        <v>0</v>
      </c>
      <c r="Q20" s="14"/>
    </row>
    <row r="21" spans="1:17" ht="28.5" customHeight="1" hidden="1">
      <c r="A21" s="3"/>
      <c r="B21" s="4">
        <v>250203</v>
      </c>
      <c r="C21" s="24" t="s">
        <v>312</v>
      </c>
      <c r="D21" s="6" t="s">
        <v>310</v>
      </c>
      <c r="E21" s="100">
        <f t="shared" si="0"/>
        <v>0</v>
      </c>
      <c r="F21" s="2"/>
      <c r="G21" s="102"/>
      <c r="H21" s="102"/>
      <c r="I21" s="102"/>
      <c r="J21" s="100">
        <f t="shared" si="1"/>
        <v>0</v>
      </c>
      <c r="K21" s="102"/>
      <c r="L21" s="102"/>
      <c r="M21" s="102"/>
      <c r="N21" s="102"/>
      <c r="O21" s="102"/>
      <c r="P21" s="120">
        <f t="shared" si="2"/>
        <v>0</v>
      </c>
      <c r="Q21" s="14"/>
    </row>
    <row r="22" spans="1:17" ht="57" customHeight="1" hidden="1">
      <c r="A22" s="3"/>
      <c r="B22" s="4">
        <v>250388</v>
      </c>
      <c r="C22" s="24" t="s">
        <v>48</v>
      </c>
      <c r="D22" s="6" t="s">
        <v>311</v>
      </c>
      <c r="E22" s="100">
        <f t="shared" si="0"/>
        <v>0</v>
      </c>
      <c r="F22" s="2"/>
      <c r="G22" s="102"/>
      <c r="H22" s="102"/>
      <c r="I22" s="102"/>
      <c r="J22" s="100">
        <f t="shared" si="1"/>
        <v>0</v>
      </c>
      <c r="K22" s="102"/>
      <c r="L22" s="102"/>
      <c r="M22" s="102"/>
      <c r="N22" s="102"/>
      <c r="O22" s="102"/>
      <c r="P22" s="120">
        <f t="shared" si="2"/>
        <v>0</v>
      </c>
      <c r="Q22" s="14"/>
    </row>
    <row r="23" spans="1:18" s="55" customFormat="1" ht="15">
      <c r="A23" s="53" t="s">
        <v>317</v>
      </c>
      <c r="B23" s="54"/>
      <c r="C23" s="54"/>
      <c r="D23" s="97" t="s">
        <v>370</v>
      </c>
      <c r="E23" s="119">
        <f>SUM(F23,I23)</f>
        <v>6039069</v>
      </c>
      <c r="F23" s="119">
        <f>SUM(F24:F29)</f>
        <v>6039069</v>
      </c>
      <c r="G23" s="119">
        <f>SUM(G24:G29)</f>
        <v>2493133</v>
      </c>
      <c r="H23" s="119">
        <f>SUM(H24:H29)</f>
        <v>466785</v>
      </c>
      <c r="I23" s="119">
        <f>SUM(I24:I29)</f>
        <v>0</v>
      </c>
      <c r="J23" s="119">
        <f aca="true" t="shared" si="3" ref="J23:J29">SUM(K23,N23)</f>
        <v>684300</v>
      </c>
      <c r="K23" s="119">
        <f>SUM(K24:K29)</f>
        <v>0</v>
      </c>
      <c r="L23" s="119">
        <f>SUM(L24:L29)</f>
        <v>0</v>
      </c>
      <c r="M23" s="119">
        <f>SUM(M24:M29)</f>
        <v>0</v>
      </c>
      <c r="N23" s="119">
        <f>SUM(N24:N29)</f>
        <v>684300</v>
      </c>
      <c r="O23" s="119">
        <f>SUM(O24:O29)</f>
        <v>684300</v>
      </c>
      <c r="P23" s="121">
        <f aca="true" t="shared" si="4" ref="P23:P29">SUM(E23,J23)</f>
        <v>6723369</v>
      </c>
      <c r="Q23" s="126"/>
      <c r="R23" s="56"/>
    </row>
    <row r="24" spans="1:18" s="59" customFormat="1" ht="15">
      <c r="A24" s="51"/>
      <c r="B24" s="51" t="s">
        <v>19</v>
      </c>
      <c r="C24" s="51" t="s">
        <v>18</v>
      </c>
      <c r="D24" s="57" t="s">
        <v>20</v>
      </c>
      <c r="E24" s="105">
        <f aca="true" t="shared" si="5" ref="E24:E29">SUM(F24,I24)</f>
        <v>4536069</v>
      </c>
      <c r="F24" s="114">
        <f>5381101-481110+32700-479622+50000+33000</f>
        <v>4536069</v>
      </c>
      <c r="G24" s="114">
        <f>2861676-393133</f>
        <v>2468543</v>
      </c>
      <c r="H24" s="114">
        <v>466785</v>
      </c>
      <c r="I24" s="116"/>
      <c r="J24" s="105">
        <f t="shared" si="3"/>
        <v>684300</v>
      </c>
      <c r="K24" s="116"/>
      <c r="L24" s="116"/>
      <c r="M24" s="116"/>
      <c r="N24" s="116">
        <f>217300+500000-33000</f>
        <v>684300</v>
      </c>
      <c r="O24" s="116">
        <f>217300+500000-33000</f>
        <v>684300</v>
      </c>
      <c r="P24" s="122">
        <f t="shared" si="4"/>
        <v>5220369</v>
      </c>
      <c r="Q24" s="127"/>
      <c r="R24" s="58">
        <v>1</v>
      </c>
    </row>
    <row r="25" spans="1:18" s="59" customFormat="1" ht="15">
      <c r="A25" s="51"/>
      <c r="B25" s="51" t="s">
        <v>356</v>
      </c>
      <c r="C25" s="51" t="s">
        <v>357</v>
      </c>
      <c r="D25" s="57" t="s">
        <v>358</v>
      </c>
      <c r="E25" s="105">
        <f t="shared" si="5"/>
        <v>30000</v>
      </c>
      <c r="F25" s="114">
        <v>30000</v>
      </c>
      <c r="G25" s="114">
        <v>24590</v>
      </c>
      <c r="H25" s="114"/>
      <c r="I25" s="116"/>
      <c r="J25" s="105">
        <f t="shared" si="3"/>
        <v>0</v>
      </c>
      <c r="K25" s="116"/>
      <c r="L25" s="116"/>
      <c r="M25" s="116"/>
      <c r="N25" s="116"/>
      <c r="O25" s="116"/>
      <c r="P25" s="122">
        <f t="shared" si="4"/>
        <v>30000</v>
      </c>
      <c r="Q25" s="127"/>
      <c r="R25" s="58"/>
    </row>
    <row r="26" spans="1:18" s="59" customFormat="1" ht="30">
      <c r="A26" s="51"/>
      <c r="B26" s="18" t="s">
        <v>56</v>
      </c>
      <c r="C26" s="65">
        <v>1040</v>
      </c>
      <c r="D26" s="8" t="s">
        <v>57</v>
      </c>
      <c r="E26" s="105">
        <f t="shared" si="5"/>
        <v>3000</v>
      </c>
      <c r="F26" s="114">
        <v>3000</v>
      </c>
      <c r="G26" s="114"/>
      <c r="H26" s="114"/>
      <c r="I26" s="116"/>
      <c r="J26" s="105">
        <f t="shared" si="3"/>
        <v>0</v>
      </c>
      <c r="K26" s="116"/>
      <c r="L26" s="116"/>
      <c r="M26" s="116"/>
      <c r="N26" s="116"/>
      <c r="O26" s="116"/>
      <c r="P26" s="122">
        <f t="shared" si="4"/>
        <v>3000</v>
      </c>
      <c r="Q26" s="127"/>
      <c r="R26" s="58"/>
    </row>
    <row r="27" spans="1:18" s="59" customFormat="1" ht="15">
      <c r="A27" s="51"/>
      <c r="B27" s="48">
        <v>100203</v>
      </c>
      <c r="C27" s="7" t="s">
        <v>202</v>
      </c>
      <c r="D27" s="60" t="s">
        <v>204</v>
      </c>
      <c r="E27" s="105">
        <f t="shared" si="5"/>
        <v>1470000</v>
      </c>
      <c r="F27" s="114">
        <f>1000000-30000+500000</f>
        <v>1470000</v>
      </c>
      <c r="G27" s="114"/>
      <c r="H27" s="114"/>
      <c r="I27" s="114"/>
      <c r="J27" s="105">
        <f t="shared" si="3"/>
        <v>0</v>
      </c>
      <c r="K27" s="114"/>
      <c r="L27" s="114"/>
      <c r="M27" s="114"/>
      <c r="N27" s="139"/>
      <c r="O27" s="139"/>
      <c r="P27" s="122">
        <f t="shared" si="4"/>
        <v>1470000</v>
      </c>
      <c r="Q27" s="128"/>
      <c r="R27" s="58"/>
    </row>
    <row r="28" spans="1:18" s="59" customFormat="1" ht="30" hidden="1">
      <c r="A28" s="51"/>
      <c r="B28" s="48">
        <v>110103</v>
      </c>
      <c r="C28" s="48">
        <v>822</v>
      </c>
      <c r="D28" s="60" t="s">
        <v>172</v>
      </c>
      <c r="E28" s="105">
        <f t="shared" si="5"/>
        <v>0</v>
      </c>
      <c r="F28" s="114"/>
      <c r="G28" s="114"/>
      <c r="H28" s="114"/>
      <c r="I28" s="114"/>
      <c r="J28" s="105">
        <f t="shared" si="3"/>
        <v>0</v>
      </c>
      <c r="K28" s="114"/>
      <c r="L28" s="114"/>
      <c r="M28" s="114"/>
      <c r="N28" s="114"/>
      <c r="O28" s="114"/>
      <c r="P28" s="122">
        <f t="shared" si="4"/>
        <v>0</v>
      </c>
      <c r="Q28" s="128"/>
      <c r="R28" s="58"/>
    </row>
    <row r="29" spans="1:18" s="59" customFormat="1" ht="30" hidden="1">
      <c r="A29" s="51"/>
      <c r="B29" s="48">
        <v>250203</v>
      </c>
      <c r="C29" s="51" t="s">
        <v>312</v>
      </c>
      <c r="D29" s="60" t="s">
        <v>318</v>
      </c>
      <c r="E29" s="105">
        <f t="shared" si="5"/>
        <v>0</v>
      </c>
      <c r="F29" s="114"/>
      <c r="G29" s="114"/>
      <c r="H29" s="114"/>
      <c r="I29" s="114"/>
      <c r="J29" s="105">
        <f t="shared" si="3"/>
        <v>0</v>
      </c>
      <c r="K29" s="114"/>
      <c r="L29" s="114"/>
      <c r="M29" s="114"/>
      <c r="N29" s="114"/>
      <c r="O29" s="114"/>
      <c r="P29" s="122">
        <f t="shared" si="4"/>
        <v>0</v>
      </c>
      <c r="Q29" s="128"/>
      <c r="R29" s="58"/>
    </row>
    <row r="30" spans="1:18" s="62" customFormat="1" ht="15">
      <c r="A30" s="53" t="s">
        <v>319</v>
      </c>
      <c r="B30" s="54"/>
      <c r="C30" s="61"/>
      <c r="D30" s="40" t="s">
        <v>320</v>
      </c>
      <c r="E30" s="1">
        <f>F30+I30</f>
        <v>5738055</v>
      </c>
      <c r="F30" s="119">
        <f>SUM(F31:F34)</f>
        <v>5738055</v>
      </c>
      <c r="G30" s="119">
        <f>SUM(G31:G33)</f>
        <v>2451204</v>
      </c>
      <c r="H30" s="119">
        <f>SUM(H31:H33)</f>
        <v>350000</v>
      </c>
      <c r="I30" s="119">
        <f>SUM(I31:I33)</f>
        <v>0</v>
      </c>
      <c r="J30" s="1">
        <f aca="true" t="shared" si="6" ref="J30:J44">K30+N30</f>
        <v>1534212</v>
      </c>
      <c r="K30" s="119">
        <f>SUM(K31:K33)</f>
        <v>425600</v>
      </c>
      <c r="L30" s="119">
        <f>SUM(L31:L33)</f>
        <v>0</v>
      </c>
      <c r="M30" s="119">
        <f>SUM(M31:M33)</f>
        <v>320000</v>
      </c>
      <c r="N30" s="119">
        <f>SUM(N31:N33)</f>
        <v>1108612</v>
      </c>
      <c r="O30" s="119">
        <f>SUM(O31:O33)</f>
        <v>1108612</v>
      </c>
      <c r="P30" s="123">
        <f aca="true" t="shared" si="7" ref="P30:P44">E30+J30</f>
        <v>7272267</v>
      </c>
      <c r="Q30" s="129"/>
      <c r="R30" s="63"/>
    </row>
    <row r="31" spans="1:18" s="62" customFormat="1" ht="15">
      <c r="A31" s="51"/>
      <c r="B31" s="18" t="s">
        <v>19</v>
      </c>
      <c r="C31" s="7" t="s">
        <v>18</v>
      </c>
      <c r="D31" s="8" t="s">
        <v>20</v>
      </c>
      <c r="E31" s="100">
        <f aca="true" t="shared" si="8" ref="E31:E37">F31+I31</f>
        <v>4337870</v>
      </c>
      <c r="F31" s="2">
        <f>4978654-471833+282700-551521+99870</f>
        <v>4337870</v>
      </c>
      <c r="G31" s="2">
        <f>2875102-452066</f>
        <v>2423036</v>
      </c>
      <c r="H31" s="2">
        <v>350000</v>
      </c>
      <c r="I31" s="2"/>
      <c r="J31" s="100">
        <f t="shared" si="6"/>
        <v>1442900</v>
      </c>
      <c r="K31" s="2">
        <v>425600</v>
      </c>
      <c r="L31" s="2"/>
      <c r="M31" s="2">
        <v>320000</v>
      </c>
      <c r="N31" s="2">
        <f>217300+800000</f>
        <v>1017300</v>
      </c>
      <c r="O31" s="2">
        <f>217300+800000</f>
        <v>1017300</v>
      </c>
      <c r="P31" s="120">
        <f t="shared" si="7"/>
        <v>5780770</v>
      </c>
      <c r="Q31" s="66"/>
      <c r="R31" s="63">
        <v>0.02</v>
      </c>
    </row>
    <row r="32" spans="1:18" s="59" customFormat="1" ht="15">
      <c r="A32" s="51"/>
      <c r="B32" s="51" t="s">
        <v>356</v>
      </c>
      <c r="C32" s="51" t="s">
        <v>357</v>
      </c>
      <c r="D32" s="57" t="s">
        <v>358</v>
      </c>
      <c r="E32" s="105">
        <f>SUM(F32,I32)</f>
        <v>34365</v>
      </c>
      <c r="F32" s="114">
        <v>34365</v>
      </c>
      <c r="G32" s="114">
        <v>28168</v>
      </c>
      <c r="H32" s="114"/>
      <c r="I32" s="116"/>
      <c r="J32" s="105">
        <f>SUM(K32,N32)</f>
        <v>0</v>
      </c>
      <c r="K32" s="116"/>
      <c r="L32" s="116"/>
      <c r="M32" s="116"/>
      <c r="N32" s="116"/>
      <c r="O32" s="116"/>
      <c r="P32" s="122">
        <f>SUM(E32,J32)</f>
        <v>34365</v>
      </c>
      <c r="Q32" s="127"/>
      <c r="R32" s="58"/>
    </row>
    <row r="33" spans="1:18" s="62" customFormat="1" ht="15">
      <c r="A33" s="51"/>
      <c r="B33" s="18">
        <v>100203</v>
      </c>
      <c r="C33" s="7" t="s">
        <v>202</v>
      </c>
      <c r="D33" s="8" t="s">
        <v>204</v>
      </c>
      <c r="E33" s="100">
        <f t="shared" si="8"/>
        <v>1363000</v>
      </c>
      <c r="F33" s="2">
        <f>1000000-45688+500000-91312</f>
        <v>1363000</v>
      </c>
      <c r="G33" s="2"/>
      <c r="H33" s="2"/>
      <c r="I33" s="2"/>
      <c r="J33" s="100">
        <f t="shared" si="6"/>
        <v>91312</v>
      </c>
      <c r="K33" s="2"/>
      <c r="L33" s="2"/>
      <c r="M33" s="2"/>
      <c r="N33" s="2">
        <v>91312</v>
      </c>
      <c r="O33" s="2">
        <v>91312</v>
      </c>
      <c r="P33" s="120">
        <f t="shared" si="7"/>
        <v>1454312</v>
      </c>
      <c r="Q33" s="129"/>
      <c r="R33" s="63"/>
    </row>
    <row r="34" spans="1:18" s="62" customFormat="1" ht="30">
      <c r="A34" s="51"/>
      <c r="B34" s="18" t="s">
        <v>56</v>
      </c>
      <c r="C34" s="65">
        <v>1040</v>
      </c>
      <c r="D34" s="8" t="s">
        <v>57</v>
      </c>
      <c r="E34" s="100">
        <f t="shared" si="8"/>
        <v>2820</v>
      </c>
      <c r="F34" s="2">
        <v>2820</v>
      </c>
      <c r="G34" s="2"/>
      <c r="H34" s="2"/>
      <c r="I34" s="2"/>
      <c r="J34" s="100">
        <f t="shared" si="6"/>
        <v>0</v>
      </c>
      <c r="K34" s="2"/>
      <c r="L34" s="2"/>
      <c r="M34" s="2"/>
      <c r="N34" s="2"/>
      <c r="O34" s="2"/>
      <c r="P34" s="120">
        <f t="shared" si="7"/>
        <v>2820</v>
      </c>
      <c r="Q34" s="129"/>
      <c r="R34" s="63"/>
    </row>
    <row r="35" spans="1:18" s="62" customFormat="1" ht="30" hidden="1">
      <c r="A35" s="51"/>
      <c r="B35" s="18">
        <v>130106</v>
      </c>
      <c r="C35" s="7" t="s">
        <v>45</v>
      </c>
      <c r="D35" s="8" t="s">
        <v>69</v>
      </c>
      <c r="E35" s="100">
        <f t="shared" si="8"/>
        <v>0</v>
      </c>
      <c r="F35" s="2">
        <v>0</v>
      </c>
      <c r="G35" s="2"/>
      <c r="H35" s="2"/>
      <c r="I35" s="2"/>
      <c r="J35" s="100">
        <f t="shared" si="6"/>
        <v>0</v>
      </c>
      <c r="K35" s="2"/>
      <c r="L35" s="2"/>
      <c r="M35" s="2"/>
      <c r="N35" s="2"/>
      <c r="O35" s="2"/>
      <c r="P35" s="120">
        <f t="shared" si="7"/>
        <v>0</v>
      </c>
      <c r="Q35" s="129"/>
      <c r="R35" s="63"/>
    </row>
    <row r="36" spans="1:18" s="62" customFormat="1" ht="30" hidden="1">
      <c r="A36" s="51"/>
      <c r="B36" s="18">
        <v>250203</v>
      </c>
      <c r="C36" s="7" t="s">
        <v>312</v>
      </c>
      <c r="D36" s="8" t="s">
        <v>321</v>
      </c>
      <c r="E36" s="100">
        <f t="shared" si="8"/>
        <v>0</v>
      </c>
      <c r="F36" s="2"/>
      <c r="G36" s="2"/>
      <c r="H36" s="2"/>
      <c r="I36" s="2"/>
      <c r="J36" s="100">
        <f t="shared" si="6"/>
        <v>0</v>
      </c>
      <c r="K36" s="2"/>
      <c r="L36" s="66"/>
      <c r="M36" s="2"/>
      <c r="N36" s="2"/>
      <c r="O36" s="2"/>
      <c r="P36" s="120">
        <f t="shared" si="7"/>
        <v>0</v>
      </c>
      <c r="Q36" s="129"/>
      <c r="R36" s="63"/>
    </row>
    <row r="37" spans="1:18" s="59" customFormat="1" ht="15">
      <c r="A37" s="67" t="s">
        <v>322</v>
      </c>
      <c r="B37" s="67"/>
      <c r="C37" s="67"/>
      <c r="D37" s="98" t="s">
        <v>323</v>
      </c>
      <c r="E37" s="96">
        <f t="shared" si="8"/>
        <v>5541879</v>
      </c>
      <c r="F37" s="119">
        <f>SUM(F38:F41)</f>
        <v>5541879</v>
      </c>
      <c r="G37" s="119">
        <f>SUM(G38:G40)</f>
        <v>2452505</v>
      </c>
      <c r="H37" s="119">
        <f>SUM(H38:H40)</f>
        <v>440194</v>
      </c>
      <c r="I37" s="119">
        <f>SUM(I38:I40)</f>
        <v>0</v>
      </c>
      <c r="J37" s="96">
        <f t="shared" si="6"/>
        <v>217300</v>
      </c>
      <c r="K37" s="119">
        <f>SUM(K38:K40)</f>
        <v>0</v>
      </c>
      <c r="L37" s="119">
        <f>SUM(L38:L40)</f>
        <v>0</v>
      </c>
      <c r="M37" s="119">
        <f>SUM(M38:M40)</f>
        <v>0</v>
      </c>
      <c r="N37" s="119">
        <f>SUM(N38:N40)</f>
        <v>217300</v>
      </c>
      <c r="O37" s="119">
        <f>SUM(O38:O40)</f>
        <v>217300</v>
      </c>
      <c r="P37" s="124">
        <f t="shared" si="7"/>
        <v>5759179</v>
      </c>
      <c r="Q37" s="128"/>
      <c r="R37" s="58"/>
    </row>
    <row r="38" spans="1:18" s="59" customFormat="1" ht="15">
      <c r="A38" s="68"/>
      <c r="B38" s="68" t="s">
        <v>19</v>
      </c>
      <c r="C38" s="68" t="s">
        <v>18</v>
      </c>
      <c r="D38" s="69" t="s">
        <v>20</v>
      </c>
      <c r="E38" s="106">
        <f aca="true" t="shared" si="9" ref="E38:E44">F38+I38</f>
        <v>4040579</v>
      </c>
      <c r="F38" s="70">
        <f>4923255-443537+32700-476139+4300</f>
        <v>4040579</v>
      </c>
      <c r="G38" s="70">
        <f>2818193-390278</f>
        <v>2427915</v>
      </c>
      <c r="H38" s="70">
        <v>440194</v>
      </c>
      <c r="I38" s="70"/>
      <c r="J38" s="106">
        <f t="shared" si="6"/>
        <v>217300</v>
      </c>
      <c r="K38" s="70"/>
      <c r="L38" s="70"/>
      <c r="M38" s="70"/>
      <c r="N38" s="70">
        <v>217300</v>
      </c>
      <c r="O38" s="70">
        <v>217300</v>
      </c>
      <c r="P38" s="125">
        <f t="shared" si="7"/>
        <v>4257879</v>
      </c>
      <c r="Q38" s="127"/>
      <c r="R38" s="58"/>
    </row>
    <row r="39" spans="1:18" s="59" customFormat="1" ht="15">
      <c r="A39" s="51"/>
      <c r="B39" s="51" t="s">
        <v>356</v>
      </c>
      <c r="C39" s="51" t="s">
        <v>357</v>
      </c>
      <c r="D39" s="57" t="s">
        <v>358</v>
      </c>
      <c r="E39" s="105">
        <f>SUM(F39,I39)</f>
        <v>30000</v>
      </c>
      <c r="F39" s="114">
        <v>30000</v>
      </c>
      <c r="G39" s="114">
        <v>24590</v>
      </c>
      <c r="H39" s="114"/>
      <c r="I39" s="116"/>
      <c r="J39" s="105">
        <f>SUM(K39,N39)</f>
        <v>0</v>
      </c>
      <c r="K39" s="116"/>
      <c r="L39" s="116"/>
      <c r="M39" s="116"/>
      <c r="N39" s="116"/>
      <c r="O39" s="116"/>
      <c r="P39" s="122">
        <f>SUM(E39,J39)</f>
        <v>30000</v>
      </c>
      <c r="Q39" s="127"/>
      <c r="R39" s="58"/>
    </row>
    <row r="40" spans="1:18" s="59" customFormat="1" ht="15">
      <c r="A40" s="68"/>
      <c r="B40" s="68">
        <v>100203</v>
      </c>
      <c r="C40" s="68" t="s">
        <v>202</v>
      </c>
      <c r="D40" s="69" t="s">
        <v>204</v>
      </c>
      <c r="E40" s="106">
        <f t="shared" si="9"/>
        <v>1470000</v>
      </c>
      <c r="F40" s="70">
        <f>1000000-30000+500000</f>
        <v>1470000</v>
      </c>
      <c r="G40" s="70"/>
      <c r="H40" s="70"/>
      <c r="I40" s="70"/>
      <c r="J40" s="106">
        <f t="shared" si="6"/>
        <v>0</v>
      </c>
      <c r="K40" s="70"/>
      <c r="L40" s="70"/>
      <c r="M40" s="70"/>
      <c r="N40" s="70"/>
      <c r="O40" s="70"/>
      <c r="P40" s="125">
        <f t="shared" si="7"/>
        <v>1470000</v>
      </c>
      <c r="Q40" s="128"/>
      <c r="R40" s="58"/>
    </row>
    <row r="41" spans="1:18" s="59" customFormat="1" ht="30">
      <c r="A41" s="67"/>
      <c r="B41" s="18" t="s">
        <v>56</v>
      </c>
      <c r="C41" s="65">
        <v>1040</v>
      </c>
      <c r="D41" s="8" t="s">
        <v>57</v>
      </c>
      <c r="E41" s="106">
        <f t="shared" si="9"/>
        <v>1300</v>
      </c>
      <c r="F41" s="70">
        <f>5600-4300</f>
        <v>1300</v>
      </c>
      <c r="G41" s="70"/>
      <c r="H41" s="70"/>
      <c r="I41" s="70"/>
      <c r="J41" s="106">
        <f t="shared" si="6"/>
        <v>0</v>
      </c>
      <c r="K41" s="70"/>
      <c r="L41" s="70"/>
      <c r="M41" s="70"/>
      <c r="N41" s="70"/>
      <c r="O41" s="70"/>
      <c r="P41" s="106">
        <f t="shared" si="7"/>
        <v>1300</v>
      </c>
      <c r="R41" s="58"/>
    </row>
    <row r="42" spans="1:18" s="59" customFormat="1" ht="30" hidden="1">
      <c r="A42" s="67"/>
      <c r="B42" s="68" t="s">
        <v>324</v>
      </c>
      <c r="C42" s="68" t="s">
        <v>312</v>
      </c>
      <c r="D42" s="69" t="s">
        <v>310</v>
      </c>
      <c r="E42" s="106">
        <f t="shared" si="9"/>
        <v>0</v>
      </c>
      <c r="F42" s="70"/>
      <c r="G42" s="70"/>
      <c r="H42" s="70"/>
      <c r="I42" s="70"/>
      <c r="J42" s="106">
        <f t="shared" si="6"/>
        <v>0</v>
      </c>
      <c r="K42" s="70"/>
      <c r="L42" s="70"/>
      <c r="M42" s="70"/>
      <c r="N42" s="70"/>
      <c r="O42" s="70"/>
      <c r="P42" s="106">
        <f t="shared" si="7"/>
        <v>0</v>
      </c>
      <c r="R42" s="58"/>
    </row>
    <row r="43" spans="1:17" ht="36.75" customHeight="1">
      <c r="A43" s="9" t="s">
        <v>24</v>
      </c>
      <c r="B43" s="10"/>
      <c r="C43" s="11"/>
      <c r="D43" s="12" t="s">
        <v>25</v>
      </c>
      <c r="E43" s="1">
        <f>F43+I43</f>
        <v>449806429.55</v>
      </c>
      <c r="F43" s="1">
        <f>F44+F45+F47+F52+F54+F57+F58+F60+F61+F62+F63+F64+F65+F66+F55+F68+F59</f>
        <v>449806429.55</v>
      </c>
      <c r="G43" s="1">
        <f>G44+G45+G47+G52+G54+G57+G58+G60+G61+G62+G63+G64+G65+G66+G55+G68+G59</f>
        <v>248700442</v>
      </c>
      <c r="H43" s="1">
        <f>H44+H45+H47+H52+H54+H57+H58+H60+H61+H62+H63+H64+H65+H66+H55+H68+H59</f>
        <v>85917442</v>
      </c>
      <c r="I43" s="1">
        <f>I44+I45+I47+I52+I54+I57+I58+I60+I61+I62+I63+I64+I65+I66+I55+I68+I59</f>
        <v>0</v>
      </c>
      <c r="J43" s="1">
        <f t="shared" si="6"/>
        <v>36971210</v>
      </c>
      <c r="K43" s="1">
        <f>K44+K45+K47+K52+K54+K57+K58+K60+K61+K62+K63+K64+K65+K66+K55+K68+K59</f>
        <v>28053700</v>
      </c>
      <c r="L43" s="1">
        <f>L44+L45+L47+L52+L54+L57+L58+L60+L61+L62+L63+L64+L65+L66+L55+L68+L59</f>
        <v>185760</v>
      </c>
      <c r="M43" s="1">
        <f>M44+M45+M47+M52+M54+M57+M58+M60+M61+M62+M63+M64+M65+M66+M55+M68+M59</f>
        <v>192500</v>
      </c>
      <c r="N43" s="1">
        <f>N44+N45+N47+N52+N54+N57+N58+N60+N61+N62+N63+N64+N65+N66+N55+N68+N59</f>
        <v>8917510</v>
      </c>
      <c r="O43" s="1">
        <f>O44+O45+O47+O52+O54+O57+O58+O60+O61+O62+O63+O64+O65+O66+O55+O68+O59</f>
        <v>8811110</v>
      </c>
      <c r="P43" s="1">
        <f>E43+J43</f>
        <v>486777639.55</v>
      </c>
      <c r="Q43" s="15">
        <f>Q44+Q45+Q47+Q52+Q54+Q57+Q58+Q61+Q65+Q60+Q62+Q63+Q64</f>
        <v>0</v>
      </c>
    </row>
    <row r="44" spans="1:17" ht="15">
      <c r="A44" s="3"/>
      <c r="B44" s="4" t="s">
        <v>19</v>
      </c>
      <c r="C44" s="25" t="s">
        <v>18</v>
      </c>
      <c r="D44" s="6" t="s">
        <v>20</v>
      </c>
      <c r="E44" s="100">
        <f t="shared" si="9"/>
        <v>344641</v>
      </c>
      <c r="F44" s="102">
        <f>324666-32065+52040</f>
        <v>344641</v>
      </c>
      <c r="G44" s="102">
        <f>224233+42656</f>
        <v>266889</v>
      </c>
      <c r="H44" s="102">
        <v>0</v>
      </c>
      <c r="I44" s="102"/>
      <c r="J44" s="100">
        <f t="shared" si="6"/>
        <v>0</v>
      </c>
      <c r="K44" s="102"/>
      <c r="L44" s="102"/>
      <c r="M44" s="102"/>
      <c r="N44" s="102"/>
      <c r="O44" s="102"/>
      <c r="P44" s="100">
        <f t="shared" si="7"/>
        <v>344641</v>
      </c>
      <c r="Q44" s="14"/>
    </row>
    <row r="45" spans="1:17" ht="24.75" customHeight="1">
      <c r="A45" s="3"/>
      <c r="B45" s="4" t="s">
        <v>27</v>
      </c>
      <c r="C45" s="5" t="s">
        <v>26</v>
      </c>
      <c r="D45" s="6" t="s">
        <v>28</v>
      </c>
      <c r="E45" s="100">
        <f aca="true" t="shared" si="10" ref="E45:E68">F45+I45</f>
        <v>138053929</v>
      </c>
      <c r="F45" s="102">
        <f>147931300-10837300+400000-43500+15000+28000+99000+120000+93672+40187+33170+9400+25000+140000</f>
        <v>138053929</v>
      </c>
      <c r="G45" s="102">
        <v>75786000</v>
      </c>
      <c r="H45" s="102">
        <v>27251300</v>
      </c>
      <c r="I45" s="102"/>
      <c r="J45" s="100">
        <f aca="true" t="shared" si="11" ref="J45:J149">K45+N45</f>
        <v>13849658</v>
      </c>
      <c r="K45" s="102">
        <v>12900000</v>
      </c>
      <c r="L45" s="102"/>
      <c r="M45" s="102"/>
      <c r="N45" s="102">
        <f>800000+43500+91000+9400+41328-33170-9400+7000</f>
        <v>949658</v>
      </c>
      <c r="O45" s="102">
        <f>800000+43500+91000+9400+41328-33170-9400+7000</f>
        <v>949658</v>
      </c>
      <c r="P45" s="100">
        <f aca="true" t="shared" si="12" ref="P45:P68">E45+J45</f>
        <v>151903587</v>
      </c>
      <c r="Q45" s="14"/>
    </row>
    <row r="46" spans="1:17" ht="1.5" customHeight="1" hidden="1">
      <c r="A46" s="3"/>
      <c r="B46" s="4"/>
      <c r="C46" s="5"/>
      <c r="D46" s="6" t="s">
        <v>299</v>
      </c>
      <c r="E46" s="100">
        <f t="shared" si="10"/>
        <v>0</v>
      </c>
      <c r="F46" s="102"/>
      <c r="G46" s="102"/>
      <c r="H46" s="102"/>
      <c r="I46" s="102"/>
      <c r="J46" s="100">
        <f t="shared" si="11"/>
        <v>0</v>
      </c>
      <c r="K46" s="102"/>
      <c r="L46" s="102"/>
      <c r="M46" s="102"/>
      <c r="N46" s="102"/>
      <c r="O46" s="102"/>
      <c r="P46" s="100">
        <f t="shared" si="12"/>
        <v>0</v>
      </c>
      <c r="Q46" s="14"/>
    </row>
    <row r="47" spans="1:17" ht="61.5" customHeight="1">
      <c r="A47" s="3"/>
      <c r="B47" s="4" t="s">
        <v>30</v>
      </c>
      <c r="C47" s="5" t="s">
        <v>29</v>
      </c>
      <c r="D47" s="6" t="s">
        <v>31</v>
      </c>
      <c r="E47" s="100">
        <f t="shared" si="10"/>
        <v>234474265.55</v>
      </c>
      <c r="F47" s="102">
        <f>250303900-14511700-4567300+1274700-53000-143300+150000+380000+19000+54900+21000+5000+252370.77+146127.78+51607+96160+305800+16400+442600+230000</f>
        <v>234474265.55</v>
      </c>
      <c r="G47" s="102">
        <v>133419500</v>
      </c>
      <c r="H47" s="102">
        <v>48174900</v>
      </c>
      <c r="I47" s="102"/>
      <c r="J47" s="100">
        <f t="shared" si="11"/>
        <v>21124327</v>
      </c>
      <c r="K47" s="102">
        <v>13918700</v>
      </c>
      <c r="L47" s="102">
        <v>86800</v>
      </c>
      <c r="M47" s="102">
        <v>95100</v>
      </c>
      <c r="N47" s="102">
        <f>11300+5900000+53000+143300-53105-146895+65399-96160+169000+128680-305800+747400+442630+146895-17</f>
        <v>7205627</v>
      </c>
      <c r="O47" s="102">
        <f>5900000+53000+143300-53105-146895+65399-96160+169000+128680-305800+747400+442630+146895-17</f>
        <v>7194327</v>
      </c>
      <c r="P47" s="100">
        <f t="shared" si="12"/>
        <v>255598592.55</v>
      </c>
      <c r="Q47" s="14"/>
    </row>
    <row r="48" spans="1:17" ht="27.75" customHeight="1">
      <c r="A48" s="3"/>
      <c r="B48" s="4"/>
      <c r="C48" s="5"/>
      <c r="D48" s="6" t="s">
        <v>279</v>
      </c>
      <c r="E48" s="100">
        <f t="shared" si="10"/>
        <v>176178400</v>
      </c>
      <c r="F48" s="102">
        <f>201997200-14511700-6734800-5264000+691700</f>
        <v>176178400</v>
      </c>
      <c r="G48" s="102">
        <v>133419500</v>
      </c>
      <c r="H48" s="102">
        <f>20146400-6734800</f>
        <v>13411600</v>
      </c>
      <c r="I48" s="102"/>
      <c r="J48" s="100">
        <f t="shared" si="11"/>
        <v>1870000</v>
      </c>
      <c r="K48" s="102"/>
      <c r="L48" s="102"/>
      <c r="M48" s="102"/>
      <c r="N48" s="102">
        <v>1870000</v>
      </c>
      <c r="O48" s="102">
        <v>1870000</v>
      </c>
      <c r="P48" s="100">
        <f t="shared" si="12"/>
        <v>178048400</v>
      </c>
      <c r="Q48" s="14"/>
    </row>
    <row r="49" spans="1:17" ht="81.75" customHeight="1">
      <c r="A49" s="3"/>
      <c r="B49" s="4"/>
      <c r="C49" s="5"/>
      <c r="D49" s="6" t="s">
        <v>374</v>
      </c>
      <c r="E49" s="100">
        <f t="shared" si="10"/>
        <v>0</v>
      </c>
      <c r="F49" s="102"/>
      <c r="G49" s="102"/>
      <c r="H49" s="102"/>
      <c r="I49" s="102"/>
      <c r="J49" s="100">
        <f t="shared" si="11"/>
        <v>442630</v>
      </c>
      <c r="K49" s="102"/>
      <c r="L49" s="102"/>
      <c r="M49" s="102"/>
      <c r="N49" s="102">
        <v>442630</v>
      </c>
      <c r="O49" s="102">
        <v>442630</v>
      </c>
      <c r="P49" s="100">
        <f t="shared" si="12"/>
        <v>442630</v>
      </c>
      <c r="Q49" s="14"/>
    </row>
    <row r="50" spans="1:17" ht="36" customHeight="1">
      <c r="A50" s="3"/>
      <c r="B50" s="4"/>
      <c r="C50" s="5"/>
      <c r="D50" s="6" t="s">
        <v>299</v>
      </c>
      <c r="E50" s="100">
        <f t="shared" si="10"/>
        <v>5000</v>
      </c>
      <c r="F50" s="102">
        <v>5000</v>
      </c>
      <c r="G50" s="102"/>
      <c r="H50" s="102"/>
      <c r="I50" s="102"/>
      <c r="J50" s="100">
        <f t="shared" si="11"/>
        <v>0</v>
      </c>
      <c r="K50" s="102"/>
      <c r="L50" s="102"/>
      <c r="M50" s="102"/>
      <c r="N50" s="102"/>
      <c r="O50" s="102"/>
      <c r="P50" s="100">
        <f t="shared" si="12"/>
        <v>5000</v>
      </c>
      <c r="Q50" s="14"/>
    </row>
    <row r="51" spans="1:17" ht="0.75" customHeight="1" hidden="1">
      <c r="A51" s="3"/>
      <c r="B51" s="4"/>
      <c r="C51" s="5"/>
      <c r="D51" s="6" t="s">
        <v>316</v>
      </c>
      <c r="E51" s="100">
        <f t="shared" si="10"/>
        <v>0</v>
      </c>
      <c r="F51" s="102"/>
      <c r="G51" s="102"/>
      <c r="H51" s="102"/>
      <c r="I51" s="102"/>
      <c r="J51" s="100">
        <f t="shared" si="11"/>
        <v>0</v>
      </c>
      <c r="K51" s="102"/>
      <c r="L51" s="102"/>
      <c r="M51" s="102"/>
      <c r="N51" s="102"/>
      <c r="O51" s="102"/>
      <c r="P51" s="100">
        <f t="shared" si="12"/>
        <v>0</v>
      </c>
      <c r="Q51" s="14">
        <v>150000</v>
      </c>
    </row>
    <row r="52" spans="1:17" ht="51" customHeight="1">
      <c r="A52" s="3"/>
      <c r="B52" s="4" t="s">
        <v>33</v>
      </c>
      <c r="C52" s="5" t="s">
        <v>32</v>
      </c>
      <c r="D52" s="6" t="s">
        <v>34</v>
      </c>
      <c r="E52" s="100">
        <f t="shared" si="10"/>
        <v>20558800</v>
      </c>
      <c r="F52" s="102">
        <f>22558400-1441800-570000+12200</f>
        <v>20558800</v>
      </c>
      <c r="G52" s="102">
        <v>10082800</v>
      </c>
      <c r="H52" s="102">
        <v>3061100</v>
      </c>
      <c r="I52" s="102"/>
      <c r="J52" s="100">
        <f t="shared" si="11"/>
        <v>66800</v>
      </c>
      <c r="K52" s="102">
        <v>6000</v>
      </c>
      <c r="L52" s="102"/>
      <c r="M52" s="102"/>
      <c r="N52" s="102">
        <f>70000-12200+3000</f>
        <v>60800</v>
      </c>
      <c r="O52" s="102">
        <f>70000-12200+3000</f>
        <v>60800</v>
      </c>
      <c r="P52" s="100">
        <f t="shared" si="12"/>
        <v>20625600</v>
      </c>
      <c r="Q52" s="14"/>
    </row>
    <row r="53" spans="1:17" ht="30">
      <c r="A53" s="3"/>
      <c r="B53" s="4"/>
      <c r="C53" s="5"/>
      <c r="D53" s="6" t="s">
        <v>279</v>
      </c>
      <c r="E53" s="100">
        <f t="shared" si="10"/>
        <v>12301100</v>
      </c>
      <c r="F53" s="102">
        <f>13742900-1441800</f>
        <v>12301100</v>
      </c>
      <c r="G53" s="102">
        <v>10082800</v>
      </c>
      <c r="H53" s="102"/>
      <c r="I53" s="102"/>
      <c r="J53" s="100"/>
      <c r="K53" s="102"/>
      <c r="L53" s="102"/>
      <c r="M53" s="102"/>
      <c r="N53" s="102">
        <v>70000</v>
      </c>
      <c r="O53" s="102">
        <v>70000</v>
      </c>
      <c r="P53" s="100">
        <f t="shared" si="12"/>
        <v>12301100</v>
      </c>
      <c r="Q53" s="14"/>
    </row>
    <row r="54" spans="1:17" ht="51" customHeight="1">
      <c r="A54" s="3"/>
      <c r="B54" s="25" t="s">
        <v>36</v>
      </c>
      <c r="C54" s="5" t="s">
        <v>35</v>
      </c>
      <c r="D54" s="6" t="s">
        <v>37</v>
      </c>
      <c r="E54" s="100">
        <f t="shared" si="10"/>
        <v>14850510</v>
      </c>
      <c r="F54" s="102">
        <f>16209400-1420700-14700+8000+3000+12000+15000+30000+8510</f>
        <v>14850510</v>
      </c>
      <c r="G54" s="102">
        <v>9977300</v>
      </c>
      <c r="H54" s="102">
        <v>2455600</v>
      </c>
      <c r="I54" s="102"/>
      <c r="J54" s="100">
        <f t="shared" si="11"/>
        <v>71190</v>
      </c>
      <c r="K54" s="102">
        <v>59000</v>
      </c>
      <c r="L54" s="102"/>
      <c r="M54" s="102">
        <v>2000</v>
      </c>
      <c r="N54" s="102">
        <f>6000+14700-8510</f>
        <v>12190</v>
      </c>
      <c r="O54" s="102">
        <f>14700-8510</f>
        <v>6190</v>
      </c>
      <c r="P54" s="100">
        <f t="shared" si="12"/>
        <v>14921700</v>
      </c>
      <c r="Q54" s="14"/>
    </row>
    <row r="55" spans="1:17" ht="40.5" customHeight="1">
      <c r="A55" s="3"/>
      <c r="B55" s="24" t="s">
        <v>352</v>
      </c>
      <c r="C55" s="5"/>
      <c r="D55" s="6" t="s">
        <v>351</v>
      </c>
      <c r="E55" s="100">
        <f t="shared" si="10"/>
        <v>21783558</v>
      </c>
      <c r="F55" s="102">
        <f>14756858-2131800+9158500</f>
        <v>21783558</v>
      </c>
      <c r="G55" s="102">
        <f>5636408+3645152</f>
        <v>9281560</v>
      </c>
      <c r="H55" s="102">
        <f>3999100-2112250+717813</f>
        <v>2604663</v>
      </c>
      <c r="I55" s="102"/>
      <c r="J55" s="100">
        <f t="shared" si="11"/>
        <v>573250</v>
      </c>
      <c r="K55" s="102">
        <v>471700</v>
      </c>
      <c r="L55" s="102">
        <v>95360</v>
      </c>
      <c r="M55" s="102">
        <v>43100</v>
      </c>
      <c r="N55" s="102">
        <f>7100+94450</f>
        <v>101550</v>
      </c>
      <c r="O55" s="102">
        <v>94450</v>
      </c>
      <c r="P55" s="100">
        <f t="shared" si="12"/>
        <v>22356808</v>
      </c>
      <c r="Q55" s="14"/>
    </row>
    <row r="56" spans="1:17" ht="36" customHeight="1">
      <c r="A56" s="3"/>
      <c r="B56" s="24"/>
      <c r="C56" s="5"/>
      <c r="D56" s="6" t="s">
        <v>360</v>
      </c>
      <c r="E56" s="100">
        <f t="shared" si="10"/>
        <v>9158500</v>
      </c>
      <c r="F56" s="102">
        <v>9158500</v>
      </c>
      <c r="G56" s="102">
        <v>3645152</v>
      </c>
      <c r="H56" s="102">
        <v>717813</v>
      </c>
      <c r="I56" s="102"/>
      <c r="J56" s="100"/>
      <c r="K56" s="102"/>
      <c r="L56" s="102"/>
      <c r="M56" s="102"/>
      <c r="N56" s="102"/>
      <c r="O56" s="102"/>
      <c r="P56" s="100"/>
      <c r="Q56" s="14"/>
    </row>
    <row r="57" spans="1:17" ht="38.25" customHeight="1">
      <c r="A57" s="3"/>
      <c r="B57" s="4" t="s">
        <v>39</v>
      </c>
      <c r="C57" s="5" t="s">
        <v>38</v>
      </c>
      <c r="D57" s="6" t="s">
        <v>40</v>
      </c>
      <c r="E57" s="100">
        <f t="shared" si="10"/>
        <v>4910700</v>
      </c>
      <c r="F57" s="102">
        <f>5830500-402100-54900-462800</f>
        <v>4910700</v>
      </c>
      <c r="G57" s="102">
        <f>2812300-45000-362100</f>
        <v>2405200</v>
      </c>
      <c r="H57" s="102">
        <v>531600</v>
      </c>
      <c r="I57" s="102"/>
      <c r="J57" s="100">
        <f t="shared" si="11"/>
        <v>157000</v>
      </c>
      <c r="K57" s="102">
        <v>112000</v>
      </c>
      <c r="L57" s="102">
        <v>3600</v>
      </c>
      <c r="M57" s="102">
        <v>12000</v>
      </c>
      <c r="N57" s="102">
        <v>45000</v>
      </c>
      <c r="O57" s="102"/>
      <c r="P57" s="100">
        <f t="shared" si="12"/>
        <v>5067700</v>
      </c>
      <c r="Q57" s="14"/>
    </row>
    <row r="58" spans="1:17" ht="51" customHeight="1">
      <c r="A58" s="3"/>
      <c r="B58" s="4" t="s">
        <v>41</v>
      </c>
      <c r="C58" s="5" t="s">
        <v>38</v>
      </c>
      <c r="D58" s="6" t="s">
        <v>42</v>
      </c>
      <c r="E58" s="100">
        <f t="shared" si="10"/>
        <v>1153900</v>
      </c>
      <c r="F58" s="102">
        <f>1287100-133200</f>
        <v>1153900</v>
      </c>
      <c r="G58" s="102">
        <f>889800-3500</f>
        <v>886300</v>
      </c>
      <c r="H58" s="102"/>
      <c r="I58" s="102"/>
      <c r="J58" s="100">
        <f t="shared" si="11"/>
        <v>0</v>
      </c>
      <c r="K58" s="102"/>
      <c r="L58" s="102"/>
      <c r="M58" s="102"/>
      <c r="N58" s="102"/>
      <c r="O58" s="102"/>
      <c r="P58" s="100">
        <f t="shared" si="12"/>
        <v>1153900</v>
      </c>
      <c r="Q58" s="14"/>
    </row>
    <row r="59" spans="1:17" ht="51" customHeight="1">
      <c r="A59" s="3"/>
      <c r="B59" s="24" t="s">
        <v>375</v>
      </c>
      <c r="C59" s="5"/>
      <c r="D59" s="6" t="s">
        <v>376</v>
      </c>
      <c r="E59" s="100">
        <f t="shared" si="10"/>
        <v>462800</v>
      </c>
      <c r="F59" s="102">
        <v>462800</v>
      </c>
      <c r="G59" s="102">
        <v>362100</v>
      </c>
      <c r="H59" s="102"/>
      <c r="I59" s="102"/>
      <c r="J59" s="100">
        <f t="shared" si="11"/>
        <v>0</v>
      </c>
      <c r="K59" s="102"/>
      <c r="L59" s="102"/>
      <c r="M59" s="102"/>
      <c r="N59" s="102"/>
      <c r="O59" s="102"/>
      <c r="P59" s="100">
        <f t="shared" si="12"/>
        <v>462800</v>
      </c>
      <c r="Q59" s="14"/>
    </row>
    <row r="60" spans="1:17" ht="63.75" customHeight="1">
      <c r="A60" s="3"/>
      <c r="B60" s="4" t="s">
        <v>43</v>
      </c>
      <c r="C60" s="5" t="s">
        <v>38</v>
      </c>
      <c r="D60" s="6" t="s">
        <v>44</v>
      </c>
      <c r="E60" s="100">
        <f t="shared" si="10"/>
        <v>126700</v>
      </c>
      <c r="F60" s="102">
        <v>126700</v>
      </c>
      <c r="G60" s="102"/>
      <c r="H60" s="102"/>
      <c r="I60" s="102"/>
      <c r="J60" s="100">
        <f t="shared" si="11"/>
        <v>0</v>
      </c>
      <c r="K60" s="102"/>
      <c r="L60" s="102"/>
      <c r="M60" s="102"/>
      <c r="N60" s="102"/>
      <c r="O60" s="102"/>
      <c r="P60" s="100">
        <f t="shared" si="12"/>
        <v>126700</v>
      </c>
      <c r="Q60" s="14"/>
    </row>
    <row r="61" spans="1:17" ht="48.75" customHeight="1">
      <c r="A61" s="3"/>
      <c r="B61" s="4" t="s">
        <v>46</v>
      </c>
      <c r="C61" s="5" t="s">
        <v>45</v>
      </c>
      <c r="D61" s="6" t="s">
        <v>47</v>
      </c>
      <c r="E61" s="100">
        <f>F61+I61</f>
        <v>10244226</v>
      </c>
      <c r="F61" s="102">
        <f>11279833-888300-198800+3000+18493+30000</f>
        <v>10244226</v>
      </c>
      <c r="G61" s="102">
        <v>6232793</v>
      </c>
      <c r="H61" s="102">
        <v>1838279</v>
      </c>
      <c r="I61" s="102"/>
      <c r="J61" s="100">
        <f t="shared" si="11"/>
        <v>395307</v>
      </c>
      <c r="K61" s="102">
        <v>128000</v>
      </c>
      <c r="L61" s="102"/>
      <c r="M61" s="102">
        <v>40300</v>
      </c>
      <c r="N61" s="102">
        <f>37000+198800-18493+50000</f>
        <v>267307</v>
      </c>
      <c r="O61" s="102">
        <f>198800-18493+50000</f>
        <v>230307</v>
      </c>
      <c r="P61" s="100">
        <f t="shared" si="12"/>
        <v>10639533</v>
      </c>
      <c r="Q61" s="14"/>
    </row>
    <row r="62" spans="1:17" ht="75">
      <c r="A62" s="3"/>
      <c r="B62" s="24" t="s">
        <v>253</v>
      </c>
      <c r="C62" s="25">
        <v>1040</v>
      </c>
      <c r="D62" s="8" t="s">
        <v>254</v>
      </c>
      <c r="E62" s="100">
        <f t="shared" si="10"/>
        <v>2842400</v>
      </c>
      <c r="F62" s="102">
        <v>2842400</v>
      </c>
      <c r="G62" s="102"/>
      <c r="H62" s="102"/>
      <c r="I62" s="102"/>
      <c r="J62" s="100">
        <f t="shared" si="11"/>
        <v>400000</v>
      </c>
      <c r="K62" s="102">
        <v>400000</v>
      </c>
      <c r="L62" s="102"/>
      <c r="M62" s="102"/>
      <c r="N62" s="102"/>
      <c r="O62" s="102"/>
      <c r="P62" s="100">
        <f t="shared" si="12"/>
        <v>3242400</v>
      </c>
      <c r="Q62" s="14"/>
    </row>
    <row r="63" spans="1:17" ht="60.75" customHeight="1">
      <c r="A63" s="3"/>
      <c r="B63" s="24" t="s">
        <v>293</v>
      </c>
      <c r="C63" s="24" t="s">
        <v>29</v>
      </c>
      <c r="D63" s="6" t="s">
        <v>261</v>
      </c>
      <c r="E63" s="100">
        <f t="shared" si="10"/>
        <v>0</v>
      </c>
      <c r="F63" s="102"/>
      <c r="G63" s="102"/>
      <c r="H63" s="102"/>
      <c r="I63" s="102"/>
      <c r="J63" s="100">
        <f t="shared" si="11"/>
        <v>222256</v>
      </c>
      <c r="K63" s="102"/>
      <c r="L63" s="102"/>
      <c r="M63" s="102"/>
      <c r="N63" s="102">
        <f>150000-150000+146895+222256-146895</f>
        <v>222256</v>
      </c>
      <c r="O63" s="102">
        <f>150000-150000+146895+222256-146895</f>
        <v>222256</v>
      </c>
      <c r="P63" s="100">
        <f t="shared" si="12"/>
        <v>222256</v>
      </c>
      <c r="Q63" s="14"/>
    </row>
    <row r="64" spans="1:17" ht="57.75" customHeight="1">
      <c r="A64" s="3"/>
      <c r="B64" s="24" t="s">
        <v>294</v>
      </c>
      <c r="C64" s="24" t="s">
        <v>35</v>
      </c>
      <c r="D64" s="6" t="s">
        <v>278</v>
      </c>
      <c r="E64" s="100">
        <f t="shared" si="10"/>
        <v>0</v>
      </c>
      <c r="F64" s="102"/>
      <c r="G64" s="102"/>
      <c r="H64" s="102"/>
      <c r="I64" s="102"/>
      <c r="J64" s="100">
        <f t="shared" si="11"/>
        <v>53122</v>
      </c>
      <c r="K64" s="102"/>
      <c r="L64" s="102"/>
      <c r="M64" s="102"/>
      <c r="N64" s="102">
        <f>222256+53105-222256-1060+1077</f>
        <v>53122</v>
      </c>
      <c r="O64" s="102">
        <f>222256+53105-222256-1060+1077</f>
        <v>53122</v>
      </c>
      <c r="P64" s="100">
        <f t="shared" si="12"/>
        <v>53122</v>
      </c>
      <c r="Q64" s="14"/>
    </row>
    <row r="65" spans="1:17" ht="15">
      <c r="A65" s="3"/>
      <c r="B65" s="4">
        <v>200700</v>
      </c>
      <c r="C65" s="5" t="s">
        <v>227</v>
      </c>
      <c r="D65" s="6" t="s">
        <v>303</v>
      </c>
      <c r="E65" s="100">
        <f t="shared" si="10"/>
        <v>0</v>
      </c>
      <c r="F65" s="102">
        <f>23800-23800</f>
        <v>0</v>
      </c>
      <c r="G65" s="102"/>
      <c r="H65" s="102"/>
      <c r="I65" s="102"/>
      <c r="J65" s="100">
        <f t="shared" si="11"/>
        <v>0</v>
      </c>
      <c r="K65" s="102"/>
      <c r="L65" s="102"/>
      <c r="M65" s="102"/>
      <c r="N65" s="102"/>
      <c r="O65" s="102"/>
      <c r="P65" s="100">
        <f t="shared" si="12"/>
        <v>0</v>
      </c>
      <c r="Q65" s="14"/>
    </row>
    <row r="66" spans="1:17" ht="25.5" customHeight="1">
      <c r="A66" s="3"/>
      <c r="B66" s="4">
        <v>240601</v>
      </c>
      <c r="C66" s="5" t="s">
        <v>218</v>
      </c>
      <c r="D66" s="6" t="s">
        <v>220</v>
      </c>
      <c r="E66" s="100">
        <f>F66+I66</f>
        <v>0</v>
      </c>
      <c r="F66" s="102"/>
      <c r="G66" s="102"/>
      <c r="H66" s="102"/>
      <c r="I66" s="102"/>
      <c r="J66" s="100">
        <f>K66+N66</f>
        <v>58300</v>
      </c>
      <c r="K66" s="102">
        <f>34500+23800</f>
        <v>58300</v>
      </c>
      <c r="L66" s="102"/>
      <c r="M66" s="102"/>
      <c r="N66" s="102"/>
      <c r="O66" s="102"/>
      <c r="P66" s="100">
        <f>E66+J66</f>
        <v>58300</v>
      </c>
      <c r="Q66" s="14"/>
    </row>
    <row r="67" spans="1:17" ht="15" customHeight="1" hidden="1">
      <c r="A67" s="3"/>
      <c r="B67" s="4">
        <v>250324</v>
      </c>
      <c r="C67" s="5" t="s">
        <v>48</v>
      </c>
      <c r="D67" s="6" t="s">
        <v>306</v>
      </c>
      <c r="E67" s="100">
        <f t="shared" si="10"/>
        <v>0</v>
      </c>
      <c r="F67" s="102"/>
      <c r="G67" s="102"/>
      <c r="H67" s="102"/>
      <c r="I67" s="102"/>
      <c r="J67" s="100">
        <f t="shared" si="11"/>
        <v>0</v>
      </c>
      <c r="K67" s="102"/>
      <c r="L67" s="102"/>
      <c r="M67" s="102"/>
      <c r="N67" s="102"/>
      <c r="O67" s="102"/>
      <c r="P67" s="100">
        <f t="shared" si="12"/>
        <v>0</v>
      </c>
      <c r="Q67" s="14"/>
    </row>
    <row r="68" spans="1:17" ht="16.5" customHeight="1">
      <c r="A68" s="3"/>
      <c r="B68" s="4">
        <v>250380</v>
      </c>
      <c r="C68" s="5">
        <v>180</v>
      </c>
      <c r="D68" s="6" t="s">
        <v>263</v>
      </c>
      <c r="E68" s="100">
        <f t="shared" si="10"/>
        <v>0</v>
      </c>
      <c r="F68" s="102"/>
      <c r="G68" s="102"/>
      <c r="H68" s="102"/>
      <c r="I68" s="102"/>
      <c r="J68" s="100">
        <f t="shared" si="11"/>
        <v>0</v>
      </c>
      <c r="K68" s="102"/>
      <c r="L68" s="102"/>
      <c r="M68" s="102"/>
      <c r="N68" s="102">
        <f>1200000-1200000</f>
        <v>0</v>
      </c>
      <c r="O68" s="102">
        <f>1200000-1200000</f>
        <v>0</v>
      </c>
      <c r="P68" s="100">
        <f t="shared" si="12"/>
        <v>0</v>
      </c>
      <c r="Q68" s="14"/>
    </row>
    <row r="69" spans="1:17" ht="15">
      <c r="A69" s="9" t="s">
        <v>49</v>
      </c>
      <c r="B69" s="10"/>
      <c r="C69" s="11"/>
      <c r="D69" s="12" t="s">
        <v>50</v>
      </c>
      <c r="E69" s="1">
        <f>F69+I69</f>
        <v>15104558</v>
      </c>
      <c r="F69" s="1">
        <f>F70+F71+F72+F73+F74+F75+F76+F77+F78+F79+F80+F81+F82+F83+F84+F86+F85</f>
        <v>15104558</v>
      </c>
      <c r="G69" s="1">
        <f>G70+G71+G72+G73+G74+G75+G76+G77+G78+G79+G80+G81+G82+G83+G84+G86+G85</f>
        <v>3354047</v>
      </c>
      <c r="H69" s="1">
        <f>H70+H71+H72+H73+H74+H75+H76+H77+H78+H79+H80+H81+H82+H83+H84+H86+H85</f>
        <v>237276</v>
      </c>
      <c r="I69" s="1">
        <f>I70+I71+I72+I73+I74+I75+I76+I77+I78+I79+I80+I81+I82+I83+I84+I86+I85</f>
        <v>0</v>
      </c>
      <c r="J69" s="1">
        <f t="shared" si="11"/>
        <v>956220</v>
      </c>
      <c r="K69" s="1">
        <f>K70+K71+K72+K73+K74+K75+K76+K77+K78+K79+K80+K81+K82+K83+K84+K86+K85</f>
        <v>8000</v>
      </c>
      <c r="L69" s="1">
        <f>L70+L71+L72+L73+L74+L75+L76+L77+L78+L79+L80+L81+L82+L83+L84+L86+L85</f>
        <v>0</v>
      </c>
      <c r="M69" s="1">
        <f>M70+M71+M72+M73+M74+M75+M76+M77+M78+M79+M80+M81+M82+M83+M84+M86+M85</f>
        <v>0</v>
      </c>
      <c r="N69" s="1">
        <f>N70+N71+N72+N73+N74+N75+N76+N77+N78+N79+N80+N81+N82+N83+N84+N86+N85</f>
        <v>948220</v>
      </c>
      <c r="O69" s="1">
        <f>O70+O71+O72+O73+O74+O75+O76+O77+O78+O79+O80+O81+O82+O83+O84+O86+O85</f>
        <v>940220</v>
      </c>
      <c r="P69" s="1">
        <f>E69+J69</f>
        <v>16060778</v>
      </c>
      <c r="Q69" s="15">
        <f>SUM(Q70:Q86)</f>
        <v>0</v>
      </c>
    </row>
    <row r="70" spans="1:17" ht="15">
      <c r="A70" s="3"/>
      <c r="B70" s="4" t="s">
        <v>19</v>
      </c>
      <c r="C70" s="5" t="s">
        <v>18</v>
      </c>
      <c r="D70" s="6" t="s">
        <v>20</v>
      </c>
      <c r="E70" s="100">
        <f>F70+I70</f>
        <v>858981</v>
      </c>
      <c r="F70" s="102">
        <f>1072874-88349-125544</f>
        <v>858981</v>
      </c>
      <c r="G70" s="102">
        <f>674525-102905</f>
        <v>571620</v>
      </c>
      <c r="H70" s="102">
        <v>34835</v>
      </c>
      <c r="I70" s="102"/>
      <c r="J70" s="100">
        <f t="shared" si="11"/>
        <v>26000</v>
      </c>
      <c r="K70" s="102">
        <v>8000</v>
      </c>
      <c r="L70" s="102"/>
      <c r="M70" s="102"/>
      <c r="N70" s="102">
        <f>8000+10000</f>
        <v>18000</v>
      </c>
      <c r="O70" s="102">
        <v>10000</v>
      </c>
      <c r="P70" s="100">
        <f>E70+J70</f>
        <v>884981</v>
      </c>
      <c r="Q70" s="14"/>
    </row>
    <row r="71" spans="1:17" ht="30">
      <c r="A71" s="3"/>
      <c r="B71" s="4" t="s">
        <v>52</v>
      </c>
      <c r="C71" s="5" t="s">
        <v>51</v>
      </c>
      <c r="D71" s="6" t="s">
        <v>53</v>
      </c>
      <c r="E71" s="100">
        <f aca="true" t="shared" si="13" ref="E71:E86">F71+I71</f>
        <v>1841000</v>
      </c>
      <c r="F71" s="102">
        <f>2042500-201500</f>
        <v>1841000</v>
      </c>
      <c r="G71" s="102">
        <v>1409350</v>
      </c>
      <c r="H71" s="102">
        <v>81570</v>
      </c>
      <c r="I71" s="102"/>
      <c r="J71" s="100">
        <f t="shared" si="11"/>
        <v>0</v>
      </c>
      <c r="K71" s="102"/>
      <c r="L71" s="102"/>
      <c r="M71" s="102"/>
      <c r="N71" s="102"/>
      <c r="O71" s="102"/>
      <c r="P71" s="100">
        <f aca="true" t="shared" si="14" ref="P71:P86">E71+J71</f>
        <v>1841000</v>
      </c>
      <c r="Q71" s="14"/>
    </row>
    <row r="72" spans="1:17" ht="30">
      <c r="A72" s="3"/>
      <c r="B72" s="4" t="s">
        <v>54</v>
      </c>
      <c r="C72" s="5" t="s">
        <v>51</v>
      </c>
      <c r="D72" s="6" t="s">
        <v>55</v>
      </c>
      <c r="E72" s="100">
        <f t="shared" si="13"/>
        <v>18150</v>
      </c>
      <c r="F72" s="102">
        <v>18150</v>
      </c>
      <c r="G72" s="102">
        <f>17500-8838-8662</f>
        <v>0</v>
      </c>
      <c r="H72" s="102"/>
      <c r="I72" s="102"/>
      <c r="J72" s="100">
        <f t="shared" si="11"/>
        <v>0</v>
      </c>
      <c r="K72" s="102"/>
      <c r="L72" s="102"/>
      <c r="M72" s="102"/>
      <c r="N72" s="102"/>
      <c r="O72" s="102"/>
      <c r="P72" s="100">
        <f t="shared" si="14"/>
        <v>18150</v>
      </c>
      <c r="Q72" s="14"/>
    </row>
    <row r="73" spans="1:17" ht="30">
      <c r="A73" s="3"/>
      <c r="B73" s="4" t="s">
        <v>56</v>
      </c>
      <c r="C73" s="5" t="s">
        <v>51</v>
      </c>
      <c r="D73" s="6" t="s">
        <v>57</v>
      </c>
      <c r="E73" s="100">
        <f t="shared" si="13"/>
        <v>54550</v>
      </c>
      <c r="F73" s="102">
        <v>54550</v>
      </c>
      <c r="G73" s="102">
        <v>16250</v>
      </c>
      <c r="H73" s="102"/>
      <c r="I73" s="102"/>
      <c r="J73" s="100">
        <f t="shared" si="11"/>
        <v>0</v>
      </c>
      <c r="K73" s="102"/>
      <c r="L73" s="102"/>
      <c r="M73" s="102"/>
      <c r="N73" s="102"/>
      <c r="O73" s="102"/>
      <c r="P73" s="100">
        <f t="shared" si="14"/>
        <v>54550</v>
      </c>
      <c r="Q73" s="14"/>
    </row>
    <row r="74" spans="1:17" ht="15">
      <c r="A74" s="3"/>
      <c r="B74" s="4" t="s">
        <v>58</v>
      </c>
      <c r="C74" s="5" t="s">
        <v>51</v>
      </c>
      <c r="D74" s="6" t="s">
        <v>59</v>
      </c>
      <c r="E74" s="100">
        <f t="shared" si="13"/>
        <v>441050</v>
      </c>
      <c r="F74" s="102">
        <f>165300+305540-29790</f>
        <v>441050</v>
      </c>
      <c r="G74" s="102">
        <v>208320</v>
      </c>
      <c r="H74" s="102">
        <v>12450</v>
      </c>
      <c r="I74" s="102"/>
      <c r="J74" s="100">
        <f t="shared" si="11"/>
        <v>0</v>
      </c>
      <c r="K74" s="102"/>
      <c r="L74" s="102"/>
      <c r="M74" s="102"/>
      <c r="N74" s="102"/>
      <c r="O74" s="102"/>
      <c r="P74" s="100">
        <f t="shared" si="14"/>
        <v>441050</v>
      </c>
      <c r="Q74" s="14"/>
    </row>
    <row r="75" spans="1:17" ht="30">
      <c r="A75" s="3"/>
      <c r="B75" s="4" t="s">
        <v>60</v>
      </c>
      <c r="C75" s="5" t="s">
        <v>51</v>
      </c>
      <c r="D75" s="6" t="s">
        <v>61</v>
      </c>
      <c r="E75" s="100">
        <f t="shared" si="13"/>
        <v>149740</v>
      </c>
      <c r="F75" s="102">
        <v>149740</v>
      </c>
      <c r="G75" s="102"/>
      <c r="H75" s="102"/>
      <c r="I75" s="102"/>
      <c r="J75" s="100">
        <f t="shared" si="11"/>
        <v>0</v>
      </c>
      <c r="K75" s="102"/>
      <c r="L75" s="102"/>
      <c r="M75" s="102"/>
      <c r="N75" s="102"/>
      <c r="O75" s="102"/>
      <c r="P75" s="100">
        <f t="shared" si="14"/>
        <v>149740</v>
      </c>
      <c r="Q75" s="14"/>
    </row>
    <row r="76" spans="1:17" ht="75">
      <c r="A76" s="3"/>
      <c r="B76" s="24" t="s">
        <v>253</v>
      </c>
      <c r="C76" s="25">
        <v>1040</v>
      </c>
      <c r="D76" s="8" t="s">
        <v>254</v>
      </c>
      <c r="E76" s="100">
        <f t="shared" si="13"/>
        <v>900000</v>
      </c>
      <c r="F76" s="102">
        <v>900000</v>
      </c>
      <c r="G76" s="102"/>
      <c r="H76" s="102"/>
      <c r="I76" s="102"/>
      <c r="J76" s="100">
        <f t="shared" si="11"/>
        <v>0</v>
      </c>
      <c r="K76" s="102"/>
      <c r="L76" s="102"/>
      <c r="M76" s="102"/>
      <c r="N76" s="102"/>
      <c r="O76" s="102"/>
      <c r="P76" s="100">
        <f t="shared" si="14"/>
        <v>900000</v>
      </c>
      <c r="Q76" s="14"/>
    </row>
    <row r="77" spans="1:17" ht="30">
      <c r="A77" s="3"/>
      <c r="B77" s="4" t="s">
        <v>62</v>
      </c>
      <c r="C77" s="5" t="s">
        <v>45</v>
      </c>
      <c r="D77" s="6" t="s">
        <v>63</v>
      </c>
      <c r="E77" s="100">
        <f t="shared" si="13"/>
        <v>251175</v>
      </c>
      <c r="F77" s="102">
        <f>111175+140000</f>
        <v>251175</v>
      </c>
      <c r="G77" s="102"/>
      <c r="H77" s="102"/>
      <c r="I77" s="102"/>
      <c r="J77" s="100">
        <f t="shared" si="11"/>
        <v>0</v>
      </c>
      <c r="K77" s="102"/>
      <c r="L77" s="102"/>
      <c r="M77" s="102"/>
      <c r="N77" s="102"/>
      <c r="O77" s="102"/>
      <c r="P77" s="100">
        <f t="shared" si="14"/>
        <v>251175</v>
      </c>
      <c r="Q77" s="14"/>
    </row>
    <row r="78" spans="1:17" ht="30">
      <c r="A78" s="3"/>
      <c r="B78" s="4" t="s">
        <v>64</v>
      </c>
      <c r="C78" s="5" t="s">
        <v>45</v>
      </c>
      <c r="D78" s="6" t="s">
        <v>65</v>
      </c>
      <c r="E78" s="100">
        <f t="shared" si="13"/>
        <v>286700</v>
      </c>
      <c r="F78" s="102">
        <f>318837-32137</f>
        <v>286700</v>
      </c>
      <c r="G78" s="102">
        <v>221705</v>
      </c>
      <c r="H78" s="102">
        <v>8210</v>
      </c>
      <c r="I78" s="102"/>
      <c r="J78" s="100">
        <f t="shared" si="11"/>
        <v>0</v>
      </c>
      <c r="K78" s="102"/>
      <c r="L78" s="102"/>
      <c r="M78" s="102"/>
      <c r="N78" s="102"/>
      <c r="O78" s="102"/>
      <c r="P78" s="100">
        <f t="shared" si="14"/>
        <v>286700</v>
      </c>
      <c r="Q78" s="14"/>
    </row>
    <row r="79" spans="1:17" ht="30">
      <c r="A79" s="3"/>
      <c r="B79" s="4" t="s">
        <v>66</v>
      </c>
      <c r="C79" s="5" t="s">
        <v>45</v>
      </c>
      <c r="D79" s="6" t="s">
        <v>67</v>
      </c>
      <c r="E79" s="100">
        <f t="shared" si="13"/>
        <v>31000</v>
      </c>
      <c r="F79" s="102">
        <f>11000+20000</f>
        <v>31000</v>
      </c>
      <c r="G79" s="102"/>
      <c r="H79" s="102"/>
      <c r="I79" s="102"/>
      <c r="J79" s="100">
        <f t="shared" si="11"/>
        <v>0</v>
      </c>
      <c r="K79" s="102"/>
      <c r="L79" s="102"/>
      <c r="M79" s="102"/>
      <c r="N79" s="102"/>
      <c r="O79" s="102"/>
      <c r="P79" s="100">
        <f t="shared" si="14"/>
        <v>31000</v>
      </c>
      <c r="Q79" s="14"/>
    </row>
    <row r="80" spans="1:17" ht="30">
      <c r="A80" s="3"/>
      <c r="B80" s="4" t="s">
        <v>68</v>
      </c>
      <c r="C80" s="5" t="s">
        <v>45</v>
      </c>
      <c r="D80" s="6" t="s">
        <v>69</v>
      </c>
      <c r="E80" s="100">
        <f t="shared" si="13"/>
        <v>100000</v>
      </c>
      <c r="F80" s="102">
        <f>40000+60000</f>
        <v>100000</v>
      </c>
      <c r="G80" s="102"/>
      <c r="H80" s="102"/>
      <c r="I80" s="102"/>
      <c r="J80" s="100">
        <f>K80+N80</f>
        <v>0</v>
      </c>
      <c r="K80" s="102"/>
      <c r="L80" s="102"/>
      <c r="M80" s="102"/>
      <c r="N80" s="102"/>
      <c r="O80" s="102"/>
      <c r="P80" s="100">
        <f t="shared" si="14"/>
        <v>100000</v>
      </c>
      <c r="Q80" s="14"/>
    </row>
    <row r="81" spans="1:17" ht="30">
      <c r="A81" s="3"/>
      <c r="B81" s="4" t="s">
        <v>46</v>
      </c>
      <c r="C81" s="5" t="s">
        <v>45</v>
      </c>
      <c r="D81" s="6" t="s">
        <v>47</v>
      </c>
      <c r="E81" s="100">
        <f t="shared" si="13"/>
        <v>1025852</v>
      </c>
      <c r="F81" s="102">
        <f>1119869-94017</f>
        <v>1025852</v>
      </c>
      <c r="G81" s="102">
        <v>644784</v>
      </c>
      <c r="H81" s="102">
        <v>89215</v>
      </c>
      <c r="I81" s="102"/>
      <c r="J81" s="100">
        <f t="shared" si="11"/>
        <v>0</v>
      </c>
      <c r="K81" s="102"/>
      <c r="L81" s="102"/>
      <c r="M81" s="102"/>
      <c r="N81" s="102">
        <f>30000-30000</f>
        <v>0</v>
      </c>
      <c r="O81" s="102">
        <f>30000-30000</f>
        <v>0</v>
      </c>
      <c r="P81" s="100">
        <f t="shared" si="14"/>
        <v>1025852</v>
      </c>
      <c r="Q81" s="14"/>
    </row>
    <row r="82" spans="1:17" ht="15">
      <c r="A82" s="3"/>
      <c r="B82" s="4" t="s">
        <v>70</v>
      </c>
      <c r="C82" s="5" t="s">
        <v>45</v>
      </c>
      <c r="D82" s="6" t="s">
        <v>71</v>
      </c>
      <c r="E82" s="100">
        <f t="shared" si="13"/>
        <v>5663656</v>
      </c>
      <c r="F82" s="102">
        <f>6094460-430804</f>
        <v>5663656</v>
      </c>
      <c r="G82" s="102"/>
      <c r="H82" s="102"/>
      <c r="I82" s="102"/>
      <c r="J82" s="100">
        <f t="shared" si="11"/>
        <v>740000</v>
      </c>
      <c r="K82" s="102"/>
      <c r="L82" s="102"/>
      <c r="M82" s="102"/>
      <c r="N82" s="102">
        <v>740000</v>
      </c>
      <c r="O82" s="102">
        <v>740000</v>
      </c>
      <c r="P82" s="100">
        <f t="shared" si="14"/>
        <v>6403656</v>
      </c>
      <c r="Q82" s="14"/>
    </row>
    <row r="83" spans="1:17" ht="23.25" customHeight="1">
      <c r="A83" s="3"/>
      <c r="B83" s="4" t="s">
        <v>72</v>
      </c>
      <c r="C83" s="5" t="s">
        <v>45</v>
      </c>
      <c r="D83" s="6" t="s">
        <v>59</v>
      </c>
      <c r="E83" s="100">
        <f t="shared" si="13"/>
        <v>455410</v>
      </c>
      <c r="F83" s="102">
        <f>110390+221000+124020</f>
        <v>455410</v>
      </c>
      <c r="G83" s="102"/>
      <c r="H83" s="102"/>
      <c r="I83" s="102"/>
      <c r="J83" s="100">
        <f t="shared" si="11"/>
        <v>0</v>
      </c>
      <c r="K83" s="102"/>
      <c r="L83" s="102"/>
      <c r="M83" s="102"/>
      <c r="N83" s="102"/>
      <c r="O83" s="102"/>
      <c r="P83" s="100">
        <f t="shared" si="14"/>
        <v>455410</v>
      </c>
      <c r="Q83" s="14"/>
    </row>
    <row r="84" spans="1:17" ht="30">
      <c r="A84" s="3"/>
      <c r="B84" s="4" t="s">
        <v>73</v>
      </c>
      <c r="C84" s="5" t="s">
        <v>45</v>
      </c>
      <c r="D84" s="6" t="s">
        <v>74</v>
      </c>
      <c r="E84" s="100">
        <f t="shared" si="13"/>
        <v>1315450</v>
      </c>
      <c r="F84" s="102">
        <f>609996+10000-34546+300000+10000+15000+250000+155000</f>
        <v>1315450</v>
      </c>
      <c r="G84" s="102">
        <f>236618+45400</f>
        <v>282018</v>
      </c>
      <c r="H84" s="102">
        <v>10996</v>
      </c>
      <c r="I84" s="102"/>
      <c r="J84" s="100">
        <f t="shared" si="11"/>
        <v>190220</v>
      </c>
      <c r="K84" s="102"/>
      <c r="L84" s="102"/>
      <c r="M84" s="102"/>
      <c r="N84" s="102">
        <f>80000+250000+15220-155000</f>
        <v>190220</v>
      </c>
      <c r="O84" s="102">
        <f>80000+250000+15220-155000</f>
        <v>190220</v>
      </c>
      <c r="P84" s="100">
        <f t="shared" si="14"/>
        <v>1505670</v>
      </c>
      <c r="Q84" s="14"/>
    </row>
    <row r="85" spans="1:17" ht="60">
      <c r="A85" s="26"/>
      <c r="B85" s="4" t="s">
        <v>291</v>
      </c>
      <c r="C85" s="4" t="s">
        <v>45</v>
      </c>
      <c r="D85" s="27" t="s">
        <v>292</v>
      </c>
      <c r="E85" s="100">
        <f t="shared" si="13"/>
        <v>1613707</v>
      </c>
      <c r="F85" s="103">
        <f>1809130-195423</f>
        <v>1613707</v>
      </c>
      <c r="G85" s="103"/>
      <c r="H85" s="103"/>
      <c r="I85" s="103"/>
      <c r="J85" s="100">
        <f t="shared" si="11"/>
        <v>0</v>
      </c>
      <c r="K85" s="103"/>
      <c r="L85" s="103"/>
      <c r="M85" s="103"/>
      <c r="N85" s="103"/>
      <c r="O85" s="103"/>
      <c r="P85" s="100">
        <f t="shared" si="14"/>
        <v>1613707</v>
      </c>
      <c r="Q85" s="14"/>
    </row>
    <row r="86" spans="1:17" ht="30">
      <c r="A86" s="26"/>
      <c r="B86" s="28" t="s">
        <v>75</v>
      </c>
      <c r="C86" s="29" t="s">
        <v>45</v>
      </c>
      <c r="D86" s="30" t="s">
        <v>76</v>
      </c>
      <c r="E86" s="100">
        <f t="shared" si="13"/>
        <v>98137</v>
      </c>
      <c r="F86" s="103">
        <f>110010-11873</f>
        <v>98137</v>
      </c>
      <c r="G86" s="103"/>
      <c r="H86" s="103"/>
      <c r="I86" s="103"/>
      <c r="J86" s="100">
        <f t="shared" si="11"/>
        <v>0</v>
      </c>
      <c r="K86" s="103"/>
      <c r="L86" s="103"/>
      <c r="M86" s="103"/>
      <c r="N86" s="103"/>
      <c r="O86" s="103"/>
      <c r="P86" s="100">
        <f t="shared" si="14"/>
        <v>98137</v>
      </c>
      <c r="Q86" s="14"/>
    </row>
    <row r="87" spans="1:17" ht="15">
      <c r="A87" s="9" t="s">
        <v>77</v>
      </c>
      <c r="B87" s="10"/>
      <c r="C87" s="11"/>
      <c r="D87" s="12" t="s">
        <v>78</v>
      </c>
      <c r="E87" s="1">
        <f>F87+I87</f>
        <v>285517838.39</v>
      </c>
      <c r="F87" s="1">
        <f>F88+F89+F92+F94+F96+F98+F101+F103+F104+F105+F106+F107</f>
        <v>285517838.39</v>
      </c>
      <c r="G87" s="1">
        <f>G88+G89+G92+G94+G96+G98+G101+G103+G104+G105+G106</f>
        <v>164607104</v>
      </c>
      <c r="H87" s="1">
        <f>H88+H89+H92+H94+H96+H98+H101+H103+H104+H105+H106</f>
        <v>37314499</v>
      </c>
      <c r="I87" s="1">
        <f>I88+I89+I92+I94+I96+I98+I101+I103+I104+I105+I106</f>
        <v>0</v>
      </c>
      <c r="J87" s="1">
        <f t="shared" si="11"/>
        <v>19268837</v>
      </c>
      <c r="K87" s="1">
        <f>K88+K89+K92+K94+K96+K98+K101+K103+K104+K105+K106</f>
        <v>9797970</v>
      </c>
      <c r="L87" s="1">
        <f>L88+L89+L92+L94+L96+L98+L101+L103+L104+L105+L106</f>
        <v>4194795</v>
      </c>
      <c r="M87" s="1">
        <f>M88+M89+M92+M94+M96+M98+M101+M103+M104+M105+M106</f>
        <v>1922698</v>
      </c>
      <c r="N87" s="1">
        <f>N88+N89+N92+N94+N96+N98+N101+N103+N104+N105+N106</f>
        <v>9470867</v>
      </c>
      <c r="O87" s="1">
        <f>O88+O89+O92+O94+O96+O98+O101+O103+O104+O105+O106</f>
        <v>9238737</v>
      </c>
      <c r="P87" s="1">
        <f>E87+J87</f>
        <v>304786675.39</v>
      </c>
      <c r="Q87" s="15">
        <f>SUM(Q88:Q106)</f>
        <v>64000</v>
      </c>
    </row>
    <row r="88" spans="1:17" ht="15">
      <c r="A88" s="31"/>
      <c r="B88" s="32" t="s">
        <v>19</v>
      </c>
      <c r="C88" s="33" t="s">
        <v>18</v>
      </c>
      <c r="D88" s="34" t="s">
        <v>20</v>
      </c>
      <c r="E88" s="100">
        <f>F88+I88</f>
        <v>2003466</v>
      </c>
      <c r="F88" s="101">
        <f>2294807-208329-83012</f>
        <v>2003466</v>
      </c>
      <c r="G88" s="101">
        <f>1456847-68043</f>
        <v>1388804</v>
      </c>
      <c r="H88" s="101">
        <v>170404</v>
      </c>
      <c r="I88" s="101"/>
      <c r="J88" s="100">
        <f t="shared" si="11"/>
        <v>33600</v>
      </c>
      <c r="K88" s="101"/>
      <c r="L88" s="101"/>
      <c r="M88" s="101"/>
      <c r="N88" s="101">
        <v>33600</v>
      </c>
      <c r="O88" s="101">
        <v>33600</v>
      </c>
      <c r="P88" s="100">
        <f>E88+J88</f>
        <v>2037066</v>
      </c>
      <c r="Q88" s="14"/>
    </row>
    <row r="89" spans="1:17" ht="15">
      <c r="A89" s="3"/>
      <c r="B89" s="32" t="s">
        <v>271</v>
      </c>
      <c r="C89" s="5" t="s">
        <v>273</v>
      </c>
      <c r="D89" s="34" t="s">
        <v>249</v>
      </c>
      <c r="E89" s="100">
        <f aca="true" t="shared" si="15" ref="E89:E105">F89+I89</f>
        <v>155905869.39</v>
      </c>
      <c r="F89" s="101">
        <f>166847679-12670933+130000+9700+1570000+32970+5000-44800+26253.39</f>
        <v>155905869.39</v>
      </c>
      <c r="G89" s="101">
        <v>88362650</v>
      </c>
      <c r="H89" s="101">
        <v>24438664</v>
      </c>
      <c r="I89" s="101"/>
      <c r="J89" s="100">
        <f t="shared" si="11"/>
        <v>3904831</v>
      </c>
      <c r="K89" s="101">
        <v>1749901</v>
      </c>
      <c r="L89" s="101">
        <v>252400</v>
      </c>
      <c r="M89" s="101">
        <v>715436</v>
      </c>
      <c r="N89" s="101">
        <f>65130+1500000+500000+45000+44800</f>
        <v>2154930</v>
      </c>
      <c r="O89" s="101">
        <f>1500000+500000+45000+44800</f>
        <v>2089800</v>
      </c>
      <c r="P89" s="100">
        <f aca="true" t="shared" si="16" ref="P89:P107">E89+J89</f>
        <v>159810700.39</v>
      </c>
      <c r="Q89" s="14"/>
    </row>
    <row r="90" spans="1:17" ht="29.25" customHeight="1">
      <c r="A90" s="3"/>
      <c r="B90" s="32"/>
      <c r="C90" s="5"/>
      <c r="D90" s="34" t="s">
        <v>280</v>
      </c>
      <c r="E90" s="100">
        <f>F90+I90</f>
        <v>90533198</v>
      </c>
      <c r="F90" s="101">
        <f>101804880-9655366-1616316</f>
        <v>90533198</v>
      </c>
      <c r="G90" s="101">
        <v>67519700</v>
      </c>
      <c r="H90" s="101">
        <f>9775480-1616316</f>
        <v>8159164</v>
      </c>
      <c r="I90" s="101"/>
      <c r="J90" s="100">
        <f t="shared" si="11"/>
        <v>0</v>
      </c>
      <c r="K90" s="101"/>
      <c r="L90" s="101"/>
      <c r="M90" s="101"/>
      <c r="N90" s="101"/>
      <c r="O90" s="101"/>
      <c r="P90" s="100">
        <f t="shared" si="16"/>
        <v>90533198</v>
      </c>
      <c r="Q90" s="14"/>
    </row>
    <row r="91" spans="1:17" ht="30" hidden="1">
      <c r="A91" s="3"/>
      <c r="B91" s="32"/>
      <c r="C91" s="5"/>
      <c r="D91" s="34" t="s">
        <v>299</v>
      </c>
      <c r="E91" s="100">
        <f t="shared" si="15"/>
        <v>0</v>
      </c>
      <c r="F91" s="101"/>
      <c r="G91" s="101"/>
      <c r="H91" s="101"/>
      <c r="I91" s="101"/>
      <c r="J91" s="100">
        <f t="shared" si="11"/>
        <v>0</v>
      </c>
      <c r="K91" s="101"/>
      <c r="L91" s="101"/>
      <c r="M91" s="101"/>
      <c r="N91" s="101"/>
      <c r="O91" s="101"/>
      <c r="P91" s="100">
        <f t="shared" si="16"/>
        <v>0</v>
      </c>
      <c r="Q91" s="14"/>
    </row>
    <row r="92" spans="1:17" ht="93.75" customHeight="1">
      <c r="A92" s="3"/>
      <c r="B92" s="4" t="s">
        <v>268</v>
      </c>
      <c r="C92" s="5" t="s">
        <v>274</v>
      </c>
      <c r="D92" s="34" t="s">
        <v>250</v>
      </c>
      <c r="E92" s="100">
        <f t="shared" si="15"/>
        <v>27612127</v>
      </c>
      <c r="F92" s="101">
        <f>29850600-2412656+21000+39543+16240+97400</f>
        <v>27612127</v>
      </c>
      <c r="G92" s="101">
        <v>16871722</v>
      </c>
      <c r="H92" s="101">
        <v>4439368</v>
      </c>
      <c r="I92" s="101"/>
      <c r="J92" s="100">
        <f>K92+N92</f>
        <v>317396</v>
      </c>
      <c r="K92" s="101">
        <v>317396</v>
      </c>
      <c r="L92" s="101">
        <v>33548</v>
      </c>
      <c r="M92" s="101">
        <v>18000</v>
      </c>
      <c r="N92" s="101">
        <v>0</v>
      </c>
      <c r="O92" s="101">
        <v>0</v>
      </c>
      <c r="P92" s="100">
        <f t="shared" si="16"/>
        <v>27929523</v>
      </c>
      <c r="Q92" s="14"/>
    </row>
    <row r="93" spans="1:17" ht="30">
      <c r="A93" s="3"/>
      <c r="B93" s="4"/>
      <c r="C93" s="5"/>
      <c r="D93" s="34" t="s">
        <v>280</v>
      </c>
      <c r="E93" s="100">
        <f t="shared" si="15"/>
        <v>17504065</v>
      </c>
      <c r="F93" s="101">
        <f>19347630-1843565</f>
        <v>17504065</v>
      </c>
      <c r="G93" s="101">
        <v>12892020</v>
      </c>
      <c r="H93" s="101">
        <v>1775800</v>
      </c>
      <c r="I93" s="101"/>
      <c r="J93" s="100"/>
      <c r="K93" s="101"/>
      <c r="L93" s="101"/>
      <c r="M93" s="101"/>
      <c r="N93" s="101"/>
      <c r="O93" s="101"/>
      <c r="P93" s="100">
        <f t="shared" si="16"/>
        <v>17504065</v>
      </c>
      <c r="Q93" s="14"/>
    </row>
    <row r="94" spans="1:17" ht="45">
      <c r="A94" s="3"/>
      <c r="B94" s="4" t="s">
        <v>269</v>
      </c>
      <c r="C94" s="5" t="s">
        <v>275</v>
      </c>
      <c r="D94" s="34" t="s">
        <v>251</v>
      </c>
      <c r="E94" s="100">
        <f t="shared" si="15"/>
        <v>4747802</v>
      </c>
      <c r="F94" s="101">
        <f>5181670-433868</f>
        <v>4747802</v>
      </c>
      <c r="G94" s="101">
        <v>3034045</v>
      </c>
      <c r="H94" s="101">
        <v>595430</v>
      </c>
      <c r="I94" s="101"/>
      <c r="J94" s="100">
        <f t="shared" si="11"/>
        <v>421132</v>
      </c>
      <c r="K94" s="101">
        <v>421132</v>
      </c>
      <c r="L94" s="101">
        <v>218465</v>
      </c>
      <c r="M94" s="101">
        <v>35391</v>
      </c>
      <c r="N94" s="101">
        <v>0</v>
      </c>
      <c r="O94" s="101">
        <v>0</v>
      </c>
      <c r="P94" s="100">
        <f t="shared" si="16"/>
        <v>5168934</v>
      </c>
      <c r="Q94" s="14"/>
    </row>
    <row r="95" spans="1:17" ht="30">
      <c r="A95" s="3"/>
      <c r="B95" s="4"/>
      <c r="C95" s="5"/>
      <c r="D95" s="34" t="s">
        <v>280</v>
      </c>
      <c r="E95" s="100">
        <f t="shared" si="15"/>
        <v>3066724</v>
      </c>
      <c r="F95" s="101">
        <f>3398250-331526</f>
        <v>3066724</v>
      </c>
      <c r="G95" s="101">
        <v>2318380</v>
      </c>
      <c r="H95" s="101">
        <v>238300</v>
      </c>
      <c r="I95" s="101"/>
      <c r="J95" s="100"/>
      <c r="K95" s="101"/>
      <c r="L95" s="101"/>
      <c r="M95" s="101"/>
      <c r="N95" s="101"/>
      <c r="O95" s="101"/>
      <c r="P95" s="100">
        <f t="shared" si="16"/>
        <v>3066724</v>
      </c>
      <c r="Q95" s="14"/>
    </row>
    <row r="96" spans="1:17" ht="30">
      <c r="A96" s="3"/>
      <c r="B96" s="4" t="s">
        <v>270</v>
      </c>
      <c r="C96" s="5" t="s">
        <v>276</v>
      </c>
      <c r="D96" s="34" t="s">
        <v>252</v>
      </c>
      <c r="E96" s="100">
        <f t="shared" si="15"/>
        <v>8504564</v>
      </c>
      <c r="F96" s="101">
        <f>9260210-755646</f>
        <v>8504564</v>
      </c>
      <c r="G96" s="101">
        <v>5269470</v>
      </c>
      <c r="H96" s="101">
        <v>909388</v>
      </c>
      <c r="I96" s="101"/>
      <c r="J96" s="100">
        <f t="shared" si="11"/>
        <v>5720083</v>
      </c>
      <c r="K96" s="101">
        <v>5620083</v>
      </c>
      <c r="L96" s="101">
        <v>3132347</v>
      </c>
      <c r="M96" s="101">
        <v>673893</v>
      </c>
      <c r="N96" s="101">
        <v>100000</v>
      </c>
      <c r="O96" s="101"/>
      <c r="P96" s="100">
        <f t="shared" si="16"/>
        <v>14224647</v>
      </c>
      <c r="Q96" s="14"/>
    </row>
    <row r="97" spans="1:17" ht="30">
      <c r="A97" s="3"/>
      <c r="B97" s="4"/>
      <c r="C97" s="5"/>
      <c r="D97" s="34" t="s">
        <v>280</v>
      </c>
      <c r="E97" s="100">
        <f t="shared" si="15"/>
        <v>5276222</v>
      </c>
      <c r="F97" s="102">
        <f>5852020-575798</f>
        <v>5276222</v>
      </c>
      <c r="G97" s="102">
        <v>4026510</v>
      </c>
      <c r="H97" s="102">
        <v>363880</v>
      </c>
      <c r="I97" s="101"/>
      <c r="J97" s="100"/>
      <c r="K97" s="101"/>
      <c r="L97" s="101"/>
      <c r="M97" s="101"/>
      <c r="N97" s="101"/>
      <c r="O97" s="101"/>
      <c r="P97" s="100">
        <f t="shared" si="16"/>
        <v>5276222</v>
      </c>
      <c r="Q97" s="14"/>
    </row>
    <row r="98" spans="1:17" ht="30">
      <c r="A98" s="3"/>
      <c r="B98" s="4" t="s">
        <v>80</v>
      </c>
      <c r="C98" s="5" t="s">
        <v>79</v>
      </c>
      <c r="D98" s="6" t="s">
        <v>81</v>
      </c>
      <c r="E98" s="100">
        <f>F98+I98</f>
        <v>82898124</v>
      </c>
      <c r="F98" s="102">
        <f>90123735-6845097-100000+208716+364020-97400+69730-825580</f>
        <v>82898124</v>
      </c>
      <c r="G98" s="102">
        <v>47615376</v>
      </c>
      <c r="H98" s="102">
        <v>6539327</v>
      </c>
      <c r="I98" s="102"/>
      <c r="J98" s="100">
        <f>K98+N98</f>
        <v>4834288</v>
      </c>
      <c r="K98" s="102">
        <v>1689458</v>
      </c>
      <c r="L98" s="102">
        <v>558035</v>
      </c>
      <c r="M98" s="102">
        <v>479978</v>
      </c>
      <c r="N98" s="102">
        <f>67000+2340200+390000+160000+31800+87000+68830</f>
        <v>3144830</v>
      </c>
      <c r="O98" s="102">
        <f>2340200+390000+160000+31800+87000+68830</f>
        <v>3077830</v>
      </c>
      <c r="P98" s="100">
        <f t="shared" si="16"/>
        <v>87732412</v>
      </c>
      <c r="Q98" s="14"/>
    </row>
    <row r="99" spans="1:17" ht="28.5" customHeight="1">
      <c r="A99" s="3"/>
      <c r="B99" s="4"/>
      <c r="C99" s="5"/>
      <c r="D99" s="34" t="s">
        <v>280</v>
      </c>
      <c r="E99" s="100">
        <f>F99+I99</f>
        <v>47004522</v>
      </c>
      <c r="F99" s="102">
        <f>52207520-5202998</f>
        <v>47004522</v>
      </c>
      <c r="G99" s="102">
        <v>36383870</v>
      </c>
      <c r="H99" s="102">
        <v>2616200</v>
      </c>
      <c r="I99" s="102"/>
      <c r="J99" s="100"/>
      <c r="K99" s="102"/>
      <c r="L99" s="102"/>
      <c r="M99" s="102"/>
      <c r="N99" s="102"/>
      <c r="O99" s="102"/>
      <c r="P99" s="100">
        <f t="shared" si="16"/>
        <v>47004522</v>
      </c>
      <c r="Q99" s="14"/>
    </row>
    <row r="100" spans="1:17" ht="0.75" customHeight="1" hidden="1">
      <c r="A100" s="3"/>
      <c r="B100" s="4"/>
      <c r="C100" s="5"/>
      <c r="D100" s="6" t="s">
        <v>300</v>
      </c>
      <c r="E100" s="100">
        <f t="shared" si="15"/>
        <v>0</v>
      </c>
      <c r="F100" s="102"/>
      <c r="G100" s="102"/>
      <c r="H100" s="102"/>
      <c r="I100" s="102"/>
      <c r="J100" s="100">
        <f t="shared" si="11"/>
        <v>0</v>
      </c>
      <c r="K100" s="102"/>
      <c r="L100" s="102"/>
      <c r="M100" s="102"/>
      <c r="N100" s="102"/>
      <c r="O100" s="102"/>
      <c r="P100" s="100">
        <f t="shared" si="16"/>
        <v>0</v>
      </c>
      <c r="Q100" s="14"/>
    </row>
    <row r="101" spans="1:17" ht="15">
      <c r="A101" s="3"/>
      <c r="B101" s="4" t="s">
        <v>83</v>
      </c>
      <c r="C101" s="5" t="s">
        <v>82</v>
      </c>
      <c r="D101" s="6" t="s">
        <v>84</v>
      </c>
      <c r="E101" s="100">
        <f t="shared" si="15"/>
        <v>2389353</v>
      </c>
      <c r="F101" s="102">
        <f>1720307-156534+825580</f>
        <v>2389353</v>
      </c>
      <c r="G101" s="102">
        <v>1094643</v>
      </c>
      <c r="H101" s="102">
        <v>164241</v>
      </c>
      <c r="I101" s="102"/>
      <c r="J101" s="100">
        <f t="shared" si="11"/>
        <v>0</v>
      </c>
      <c r="K101" s="102"/>
      <c r="L101" s="102"/>
      <c r="M101" s="102"/>
      <c r="N101" s="102"/>
      <c r="O101" s="102"/>
      <c r="P101" s="100">
        <f t="shared" si="16"/>
        <v>2389353</v>
      </c>
      <c r="Q101" s="14"/>
    </row>
    <row r="102" spans="1:17" ht="30">
      <c r="A102" s="3"/>
      <c r="B102" s="4"/>
      <c r="C102" s="5"/>
      <c r="D102" s="34" t="s">
        <v>280</v>
      </c>
      <c r="E102" s="100">
        <f t="shared" si="15"/>
        <v>1086269</v>
      </c>
      <c r="F102" s="102">
        <f>1205900-119631</f>
        <v>1086269</v>
      </c>
      <c r="G102" s="102">
        <v>836450</v>
      </c>
      <c r="H102" s="102">
        <v>65800</v>
      </c>
      <c r="I102" s="102"/>
      <c r="J102" s="100"/>
      <c r="K102" s="102"/>
      <c r="L102" s="102"/>
      <c r="M102" s="102"/>
      <c r="N102" s="102"/>
      <c r="O102" s="102"/>
      <c r="P102" s="100">
        <f t="shared" si="16"/>
        <v>1086269</v>
      </c>
      <c r="Q102" s="14"/>
    </row>
    <row r="103" spans="1:17" ht="60">
      <c r="A103" s="3"/>
      <c r="B103" s="4" t="s">
        <v>85</v>
      </c>
      <c r="C103" s="5" t="s">
        <v>82</v>
      </c>
      <c r="D103" s="6" t="s">
        <v>86</v>
      </c>
      <c r="E103" s="100">
        <f t="shared" si="15"/>
        <v>1345733</v>
      </c>
      <c r="F103" s="102">
        <f>1484499-138766</f>
        <v>1345733</v>
      </c>
      <c r="G103" s="102">
        <v>970394</v>
      </c>
      <c r="H103" s="102">
        <v>57677</v>
      </c>
      <c r="I103" s="102"/>
      <c r="J103" s="100">
        <f t="shared" si="11"/>
        <v>0</v>
      </c>
      <c r="K103" s="102"/>
      <c r="L103" s="102"/>
      <c r="M103" s="102"/>
      <c r="N103" s="102"/>
      <c r="O103" s="102"/>
      <c r="P103" s="100">
        <f t="shared" si="16"/>
        <v>1345733</v>
      </c>
      <c r="Q103" s="14"/>
    </row>
    <row r="104" spans="1:17" ht="15">
      <c r="A104" s="3"/>
      <c r="B104" s="4">
        <v>150101</v>
      </c>
      <c r="C104" s="24" t="s">
        <v>259</v>
      </c>
      <c r="D104" s="6" t="s">
        <v>277</v>
      </c>
      <c r="E104" s="100">
        <f t="shared" si="15"/>
        <v>0</v>
      </c>
      <c r="F104" s="102"/>
      <c r="G104" s="102"/>
      <c r="H104" s="102"/>
      <c r="I104" s="102"/>
      <c r="J104" s="100">
        <f t="shared" si="11"/>
        <v>4037507</v>
      </c>
      <c r="K104" s="102"/>
      <c r="L104" s="102"/>
      <c r="M104" s="102"/>
      <c r="N104" s="102">
        <f>64000+590507+3383000</f>
        <v>4037507</v>
      </c>
      <c r="O104" s="102">
        <f>64000+590507+3383000</f>
        <v>4037507</v>
      </c>
      <c r="P104" s="100">
        <f t="shared" si="16"/>
        <v>4037507</v>
      </c>
      <c r="Q104" s="14">
        <v>64000</v>
      </c>
    </row>
    <row r="105" spans="1:17" ht="15">
      <c r="A105" s="3"/>
      <c r="B105" s="4">
        <v>200700</v>
      </c>
      <c r="C105" s="5" t="s">
        <v>227</v>
      </c>
      <c r="D105" s="6" t="s">
        <v>303</v>
      </c>
      <c r="E105" s="100">
        <f t="shared" si="15"/>
        <v>0</v>
      </c>
      <c r="F105" s="102"/>
      <c r="G105" s="102"/>
      <c r="H105" s="102"/>
      <c r="I105" s="102"/>
      <c r="J105" s="100">
        <f t="shared" si="11"/>
        <v>0</v>
      </c>
      <c r="K105" s="102"/>
      <c r="L105" s="102"/>
      <c r="M105" s="102"/>
      <c r="N105" s="102"/>
      <c r="O105" s="102"/>
      <c r="P105" s="100">
        <f t="shared" si="16"/>
        <v>0</v>
      </c>
      <c r="Q105" s="14"/>
    </row>
    <row r="106" spans="1:17" ht="15">
      <c r="A106" s="3"/>
      <c r="B106" s="4">
        <v>250404</v>
      </c>
      <c r="C106" s="5" t="s">
        <v>195</v>
      </c>
      <c r="D106" s="6" t="s">
        <v>59</v>
      </c>
      <c r="E106" s="100">
        <f>F106</f>
        <v>10800</v>
      </c>
      <c r="F106" s="102">
        <v>10800</v>
      </c>
      <c r="G106" s="102"/>
      <c r="H106" s="102"/>
      <c r="I106" s="102"/>
      <c r="J106" s="100">
        <f t="shared" si="11"/>
        <v>0</v>
      </c>
      <c r="K106" s="102"/>
      <c r="L106" s="102"/>
      <c r="M106" s="102"/>
      <c r="N106" s="102"/>
      <c r="O106" s="102"/>
      <c r="P106" s="100">
        <f t="shared" si="16"/>
        <v>10800</v>
      </c>
      <c r="Q106" s="14"/>
    </row>
    <row r="107" spans="1:17" ht="15">
      <c r="A107" s="3"/>
      <c r="B107" s="4">
        <v>250380</v>
      </c>
      <c r="C107" s="5">
        <v>180</v>
      </c>
      <c r="D107" s="6" t="s">
        <v>263</v>
      </c>
      <c r="E107" s="100">
        <f>F107</f>
        <v>100000</v>
      </c>
      <c r="F107" s="102">
        <v>100000</v>
      </c>
      <c r="G107" s="102"/>
      <c r="H107" s="102"/>
      <c r="I107" s="102"/>
      <c r="J107" s="100"/>
      <c r="K107" s="102"/>
      <c r="L107" s="102"/>
      <c r="M107" s="102"/>
      <c r="N107" s="102"/>
      <c r="O107" s="102"/>
      <c r="P107" s="100">
        <f t="shared" si="16"/>
        <v>100000</v>
      </c>
      <c r="Q107" s="14"/>
    </row>
    <row r="108" spans="1:17" ht="28.5" customHeight="1">
      <c r="A108" s="9" t="s">
        <v>87</v>
      </c>
      <c r="B108" s="10"/>
      <c r="C108" s="11"/>
      <c r="D108" s="12" t="s">
        <v>88</v>
      </c>
      <c r="E108" s="1">
        <f>F108+I108</f>
        <v>6877258</v>
      </c>
      <c r="F108" s="1">
        <f>F109+F111+F113+F115+F117+F120+F122+F124+F126+F128+F130+F132+F134+F136+F138+F140+F142+F144+F146+F148+F150+F152+F154+F156+F158+F160+F162+F163+F164+F165+F166+F168+F170+F172+F174</f>
        <v>6877258</v>
      </c>
      <c r="G108" s="1">
        <f>G109+G111+G113+G115+G117+G120+G122+G124+G126+G128+G130+G132+G134+G136+G138+G140+G142+G144+G146+G148+G150+G152+G154+G156+G158+G160+G162+G163+G164+G165+G166+G168+G170+G172+G174</f>
        <v>922950</v>
      </c>
      <c r="H108" s="1">
        <f>H109+H111+H113+H115+H117+H120+H122+H124+H126+H128+H130+H132+H134+H136+H138+H140+H142+H144+H146+H148+H150+H152+H154+H156+H158+H160+H162+H163+H164+H165+H166+H168+H170+H172+H174</f>
        <v>270830</v>
      </c>
      <c r="I108" s="1">
        <f>I109+I111+I113+I115+I117+I120+I122+I124+I126+I128+I130+I132+I134+I136+I138+I140+I142+I144+I146+I148+I150+I152+I154+I156+I158+I160+I162+I163+I164+I165+I166+I168+I170+I172+I174</f>
        <v>0</v>
      </c>
      <c r="J108" s="1">
        <f t="shared" si="11"/>
        <v>200000</v>
      </c>
      <c r="K108" s="1">
        <f>K109+K111+K113+K115+K117+K120+K122+K124+K126+K128+K130+K132+K134+K136+K138+K140+K142+K144+K146+K148+K150+K152+K154+K156+K158+K160+K162+K163+K164+K165+K166+K168+K170+K172+K174</f>
        <v>0</v>
      </c>
      <c r="L108" s="1">
        <f>L109+L111+L113+L115+L117+L120+L122+L124+L126+L128+L130+L132+L134+L136+L138+L140+L142+L144+L146+L148+L150+L152+L154+L156+L158+L160+L162+L163+L164+L165+L166+L168+L170+L172+L174</f>
        <v>0</v>
      </c>
      <c r="M108" s="1">
        <f>M109+M111+M113+M115+M117+M120+M122+M124+M126+M128+M130+M132+M134+M136+M138+M140+M142+M144+M146+M148+M150+M152+M154+M156+M158+M160+M162+M163+M164+M165+M166+M168+M170+M172+M174</f>
        <v>0</v>
      </c>
      <c r="N108" s="1">
        <f>N109+N111+N113+N115+N117+N120+N122+N124+N126+N128+N130+N132+N134+N136+N138+N140+N142+N144+N146+N148+N150+N152+N154+N156+N158+N160+N162+N163+N164+N165+N166+N168+N170+N172+N174</f>
        <v>200000</v>
      </c>
      <c r="O108" s="1">
        <f>O109+O111+O113+O115+O117+O120+O122+O124+O126+O128+O130+O132+O134+O136+O138+O140+O142+O144+O146+O148+O150+O152+O154+O156+O158+O160+O162+O163+O164+O165+O166+O168+O170+O172+O174</f>
        <v>200000</v>
      </c>
      <c r="P108" s="1">
        <f>E108+J108</f>
        <v>7077258</v>
      </c>
      <c r="Q108" s="1">
        <f>Q109+Q111+Q113+Q115+Q117+Q120+Q124+Q126+Q128+Q130+Q132+Q134+Q136+Q138+Q140+Q142+Q144+Q146+Q148+Q150+Q152+Q154+Q156+Q158+Q160+Q162+Q163+Q164+Q165+Q166+Q168+Q170+Q172+Q122</f>
        <v>200000</v>
      </c>
    </row>
    <row r="109" spans="1:17" ht="30" hidden="1">
      <c r="A109" s="3"/>
      <c r="B109" s="4" t="s">
        <v>89</v>
      </c>
      <c r="C109" s="35" t="s">
        <v>26</v>
      </c>
      <c r="D109" s="6" t="s">
        <v>90</v>
      </c>
      <c r="E109" s="104">
        <f>F109++I109</f>
        <v>0</v>
      </c>
      <c r="F109" s="102">
        <f>F110</f>
        <v>0</v>
      </c>
      <c r="G109" s="102"/>
      <c r="H109" s="102"/>
      <c r="I109" s="102"/>
      <c r="J109" s="100">
        <f t="shared" si="11"/>
        <v>0</v>
      </c>
      <c r="K109" s="102"/>
      <c r="L109" s="102"/>
      <c r="M109" s="102"/>
      <c r="N109" s="102"/>
      <c r="O109" s="102"/>
      <c r="P109" s="100">
        <f>E109+J109</f>
        <v>0</v>
      </c>
      <c r="Q109" s="14"/>
    </row>
    <row r="110" spans="1:17" ht="166.5" customHeight="1" hidden="1">
      <c r="A110" s="3"/>
      <c r="B110" s="4"/>
      <c r="C110" s="35"/>
      <c r="D110" s="16" t="s">
        <v>282</v>
      </c>
      <c r="E110" s="104">
        <f>F110++I110</f>
        <v>0</v>
      </c>
      <c r="F110" s="102"/>
      <c r="G110" s="102"/>
      <c r="H110" s="102"/>
      <c r="I110" s="102"/>
      <c r="J110" s="100">
        <f t="shared" si="11"/>
        <v>0</v>
      </c>
      <c r="K110" s="102"/>
      <c r="L110" s="102"/>
      <c r="M110" s="102"/>
      <c r="N110" s="102"/>
      <c r="O110" s="102"/>
      <c r="P110" s="100">
        <f aca="true" t="shared" si="17" ref="P110:P173">E110+J110</f>
        <v>0</v>
      </c>
      <c r="Q110" s="14"/>
    </row>
    <row r="111" spans="1:17" ht="280.5" customHeight="1" hidden="1">
      <c r="A111" s="3"/>
      <c r="B111" s="4" t="s">
        <v>92</v>
      </c>
      <c r="C111" s="35" t="s">
        <v>91</v>
      </c>
      <c r="D111" s="6" t="s">
        <v>93</v>
      </c>
      <c r="E111" s="104">
        <f aca="true" t="shared" si="18" ref="E111:E173">F111++I111</f>
        <v>0</v>
      </c>
      <c r="F111" s="102">
        <f>F112</f>
        <v>0</v>
      </c>
      <c r="G111" s="102"/>
      <c r="H111" s="102"/>
      <c r="I111" s="102"/>
      <c r="J111" s="100">
        <f t="shared" si="11"/>
        <v>0</v>
      </c>
      <c r="K111" s="102"/>
      <c r="L111" s="102"/>
      <c r="M111" s="102"/>
      <c r="N111" s="102"/>
      <c r="O111" s="102"/>
      <c r="P111" s="100">
        <f t="shared" si="17"/>
        <v>0</v>
      </c>
      <c r="Q111" s="14"/>
    </row>
    <row r="112" spans="1:17" ht="151.5" customHeight="1" hidden="1">
      <c r="A112" s="3"/>
      <c r="B112" s="4"/>
      <c r="C112" s="35"/>
      <c r="D112" s="16" t="s">
        <v>283</v>
      </c>
      <c r="E112" s="104">
        <f t="shared" si="18"/>
        <v>0</v>
      </c>
      <c r="F112" s="102"/>
      <c r="G112" s="102"/>
      <c r="H112" s="102"/>
      <c r="I112" s="102"/>
      <c r="J112" s="100">
        <f t="shared" si="11"/>
        <v>0</v>
      </c>
      <c r="K112" s="102"/>
      <c r="L112" s="102"/>
      <c r="M112" s="102"/>
      <c r="N112" s="102"/>
      <c r="O112" s="102"/>
      <c r="P112" s="100">
        <f t="shared" si="17"/>
        <v>0</v>
      </c>
      <c r="Q112" s="14"/>
    </row>
    <row r="113" spans="1:17" ht="243" customHeight="1" hidden="1">
      <c r="A113" s="3"/>
      <c r="B113" s="4" t="s">
        <v>94</v>
      </c>
      <c r="C113" s="35" t="s">
        <v>91</v>
      </c>
      <c r="D113" s="6" t="s">
        <v>95</v>
      </c>
      <c r="E113" s="104">
        <f t="shared" si="18"/>
        <v>0</v>
      </c>
      <c r="F113" s="102">
        <f>F114</f>
        <v>0</v>
      </c>
      <c r="G113" s="102"/>
      <c r="H113" s="102"/>
      <c r="I113" s="102"/>
      <c r="J113" s="100">
        <f t="shared" si="11"/>
        <v>0</v>
      </c>
      <c r="K113" s="102"/>
      <c r="L113" s="102"/>
      <c r="M113" s="102"/>
      <c r="N113" s="102"/>
      <c r="O113" s="102"/>
      <c r="P113" s="100">
        <f t="shared" si="17"/>
        <v>0</v>
      </c>
      <c r="Q113" s="14"/>
    </row>
    <row r="114" spans="1:17" ht="0.75" customHeight="1" hidden="1">
      <c r="A114" s="3"/>
      <c r="B114" s="4"/>
      <c r="C114" s="35"/>
      <c r="D114" s="16" t="s">
        <v>285</v>
      </c>
      <c r="E114" s="104">
        <f t="shared" si="18"/>
        <v>0</v>
      </c>
      <c r="F114" s="102"/>
      <c r="G114" s="102"/>
      <c r="H114" s="102"/>
      <c r="I114" s="102"/>
      <c r="J114" s="100">
        <f t="shared" si="11"/>
        <v>0</v>
      </c>
      <c r="K114" s="102"/>
      <c r="L114" s="102"/>
      <c r="M114" s="102"/>
      <c r="N114" s="102"/>
      <c r="O114" s="102"/>
      <c r="P114" s="100">
        <f t="shared" si="17"/>
        <v>0</v>
      </c>
      <c r="Q114" s="14"/>
    </row>
    <row r="115" spans="1:17" ht="230.25" customHeight="1">
      <c r="A115" s="3"/>
      <c r="B115" s="4" t="s">
        <v>96</v>
      </c>
      <c r="C115" s="35" t="s">
        <v>91</v>
      </c>
      <c r="D115" s="6" t="s">
        <v>97</v>
      </c>
      <c r="E115" s="104">
        <f t="shared" si="18"/>
        <v>0</v>
      </c>
      <c r="F115" s="102">
        <f>F116</f>
        <v>0</v>
      </c>
      <c r="G115" s="102"/>
      <c r="H115" s="102"/>
      <c r="I115" s="102"/>
      <c r="J115" s="100">
        <f t="shared" si="11"/>
        <v>200000</v>
      </c>
      <c r="K115" s="102"/>
      <c r="L115" s="102"/>
      <c r="M115" s="102"/>
      <c r="N115" s="102">
        <f>N116+200000</f>
        <v>200000</v>
      </c>
      <c r="O115" s="102">
        <f>O116+200000</f>
        <v>200000</v>
      </c>
      <c r="P115" s="100">
        <f t="shared" si="17"/>
        <v>200000</v>
      </c>
      <c r="Q115" s="52">
        <v>200000</v>
      </c>
    </row>
    <row r="116" spans="1:17" ht="272.25" customHeight="1">
      <c r="A116" s="3"/>
      <c r="B116" s="4"/>
      <c r="C116" s="35"/>
      <c r="D116" s="17" t="s">
        <v>284</v>
      </c>
      <c r="E116" s="104">
        <f>F116</f>
        <v>0</v>
      </c>
      <c r="F116" s="102">
        <f>1114000-1114000</f>
        <v>0</v>
      </c>
      <c r="G116" s="102"/>
      <c r="H116" s="102"/>
      <c r="I116" s="102"/>
      <c r="J116" s="100">
        <f t="shared" si="11"/>
        <v>0</v>
      </c>
      <c r="K116" s="102"/>
      <c r="L116" s="102"/>
      <c r="M116" s="102"/>
      <c r="N116" s="102">
        <f>200000-200000</f>
        <v>0</v>
      </c>
      <c r="O116" s="102">
        <f>200000-200000</f>
        <v>0</v>
      </c>
      <c r="P116" s="100">
        <f t="shared" si="17"/>
        <v>0</v>
      </c>
      <c r="Q116" s="14"/>
    </row>
    <row r="117" spans="1:17" ht="409.5" customHeight="1" hidden="1">
      <c r="A117" s="3"/>
      <c r="B117" s="4" t="s">
        <v>98</v>
      </c>
      <c r="C117" s="35" t="s">
        <v>91</v>
      </c>
      <c r="D117" s="6" t="s">
        <v>286</v>
      </c>
      <c r="E117" s="104">
        <f t="shared" si="18"/>
        <v>0</v>
      </c>
      <c r="F117" s="102"/>
      <c r="G117" s="102"/>
      <c r="H117" s="102"/>
      <c r="I117" s="102"/>
      <c r="J117" s="100">
        <f t="shared" si="11"/>
        <v>0</v>
      </c>
      <c r="K117" s="102"/>
      <c r="L117" s="102"/>
      <c r="M117" s="102"/>
      <c r="N117" s="102"/>
      <c r="O117" s="102"/>
      <c r="P117" s="100">
        <f t="shared" si="17"/>
        <v>0</v>
      </c>
      <c r="Q117" s="14"/>
    </row>
    <row r="118" spans="1:17" ht="384.75" customHeight="1" hidden="1">
      <c r="A118" s="3"/>
      <c r="B118" s="4"/>
      <c r="C118" s="35"/>
      <c r="D118" s="6" t="s">
        <v>287</v>
      </c>
      <c r="E118" s="104"/>
      <c r="F118" s="102"/>
      <c r="G118" s="102"/>
      <c r="H118" s="102"/>
      <c r="I118" s="102"/>
      <c r="J118" s="100"/>
      <c r="K118" s="102"/>
      <c r="L118" s="102"/>
      <c r="M118" s="102"/>
      <c r="N118" s="102"/>
      <c r="O118" s="102"/>
      <c r="P118" s="100">
        <f t="shared" si="17"/>
        <v>0</v>
      </c>
      <c r="Q118" s="14"/>
    </row>
    <row r="119" spans="1:17" ht="149.25" customHeight="1" hidden="1">
      <c r="A119" s="3"/>
      <c r="B119" s="4"/>
      <c r="C119" s="5"/>
      <c r="D119" s="16" t="s">
        <v>283</v>
      </c>
      <c r="E119" s="100">
        <f t="shared" si="18"/>
        <v>0</v>
      </c>
      <c r="F119" s="102"/>
      <c r="G119" s="102"/>
      <c r="H119" s="102"/>
      <c r="I119" s="102"/>
      <c r="J119" s="100">
        <f t="shared" si="11"/>
        <v>0</v>
      </c>
      <c r="K119" s="102"/>
      <c r="L119" s="102"/>
      <c r="M119" s="102"/>
      <c r="N119" s="102"/>
      <c r="O119" s="102"/>
      <c r="P119" s="100">
        <f t="shared" si="17"/>
        <v>0</v>
      </c>
      <c r="Q119" s="14"/>
    </row>
    <row r="120" spans="1:17" ht="118.5" customHeight="1" hidden="1">
      <c r="A120" s="3"/>
      <c r="B120" s="4" t="s">
        <v>100</v>
      </c>
      <c r="C120" s="35" t="s">
        <v>99</v>
      </c>
      <c r="D120" s="6" t="s">
        <v>101</v>
      </c>
      <c r="E120" s="104">
        <f t="shared" si="18"/>
        <v>0</v>
      </c>
      <c r="F120" s="102">
        <f>F121</f>
        <v>0</v>
      </c>
      <c r="G120" s="102"/>
      <c r="H120" s="102"/>
      <c r="I120" s="102"/>
      <c r="J120" s="100">
        <f t="shared" si="11"/>
        <v>0</v>
      </c>
      <c r="K120" s="102"/>
      <c r="L120" s="102"/>
      <c r="M120" s="102"/>
      <c r="N120" s="102"/>
      <c r="O120" s="102"/>
      <c r="P120" s="100">
        <f t="shared" si="17"/>
        <v>0</v>
      </c>
      <c r="Q120" s="14"/>
    </row>
    <row r="121" spans="1:17" ht="146.25" customHeight="1" hidden="1">
      <c r="A121" s="3"/>
      <c r="B121" s="4"/>
      <c r="C121" s="35"/>
      <c r="D121" s="16" t="s">
        <v>283</v>
      </c>
      <c r="E121" s="104">
        <f t="shared" si="18"/>
        <v>0</v>
      </c>
      <c r="F121" s="102"/>
      <c r="G121" s="102"/>
      <c r="H121" s="102"/>
      <c r="I121" s="102"/>
      <c r="J121" s="100">
        <f t="shared" si="11"/>
        <v>0</v>
      </c>
      <c r="K121" s="102"/>
      <c r="L121" s="102"/>
      <c r="M121" s="102"/>
      <c r="N121" s="102"/>
      <c r="O121" s="102"/>
      <c r="P121" s="100">
        <f t="shared" si="17"/>
        <v>0</v>
      </c>
      <c r="Q121" s="14"/>
    </row>
    <row r="122" spans="1:17" ht="108" customHeight="1" hidden="1">
      <c r="A122" s="3"/>
      <c r="B122" s="4" t="s">
        <v>255</v>
      </c>
      <c r="C122" s="35" t="s">
        <v>99</v>
      </c>
      <c r="D122" s="36" t="s">
        <v>256</v>
      </c>
      <c r="E122" s="104">
        <f t="shared" si="18"/>
        <v>0</v>
      </c>
      <c r="F122" s="102">
        <f>F123</f>
        <v>0</v>
      </c>
      <c r="G122" s="102"/>
      <c r="H122" s="102"/>
      <c r="I122" s="102"/>
      <c r="J122" s="100">
        <f t="shared" si="11"/>
        <v>0</v>
      </c>
      <c r="K122" s="102"/>
      <c r="L122" s="102"/>
      <c r="M122" s="102"/>
      <c r="N122" s="102"/>
      <c r="O122" s="102"/>
      <c r="P122" s="100">
        <f t="shared" si="17"/>
        <v>0</v>
      </c>
      <c r="Q122" s="14"/>
    </row>
    <row r="123" spans="1:17" ht="92.25" customHeight="1" hidden="1">
      <c r="A123" s="3"/>
      <c r="B123" s="4"/>
      <c r="C123" s="35"/>
      <c r="D123" s="16" t="s">
        <v>285</v>
      </c>
      <c r="E123" s="104">
        <f t="shared" si="18"/>
        <v>0</v>
      </c>
      <c r="F123" s="102"/>
      <c r="G123" s="102"/>
      <c r="H123" s="102"/>
      <c r="I123" s="102"/>
      <c r="J123" s="100">
        <f t="shared" si="11"/>
        <v>0</v>
      </c>
      <c r="K123" s="102"/>
      <c r="L123" s="102"/>
      <c r="M123" s="102"/>
      <c r="N123" s="102"/>
      <c r="O123" s="102"/>
      <c r="P123" s="100">
        <f t="shared" si="17"/>
        <v>0</v>
      </c>
      <c r="Q123" s="14"/>
    </row>
    <row r="124" spans="1:17" ht="105.75" customHeight="1" hidden="1">
      <c r="A124" s="3"/>
      <c r="B124" s="4" t="s">
        <v>102</v>
      </c>
      <c r="C124" s="35" t="s">
        <v>99</v>
      </c>
      <c r="D124" s="6" t="s">
        <v>103</v>
      </c>
      <c r="E124" s="104">
        <f t="shared" si="18"/>
        <v>0</v>
      </c>
      <c r="F124" s="102">
        <f>F125</f>
        <v>0</v>
      </c>
      <c r="G124" s="102"/>
      <c r="H124" s="102"/>
      <c r="I124" s="102"/>
      <c r="J124" s="100">
        <f t="shared" si="11"/>
        <v>0</v>
      </c>
      <c r="K124" s="102"/>
      <c r="L124" s="102"/>
      <c r="M124" s="102"/>
      <c r="N124" s="102"/>
      <c r="O124" s="102"/>
      <c r="P124" s="100">
        <f t="shared" si="17"/>
        <v>0</v>
      </c>
      <c r="Q124" s="14"/>
    </row>
    <row r="125" spans="1:17" ht="318" customHeight="1" hidden="1">
      <c r="A125" s="3"/>
      <c r="B125" s="4"/>
      <c r="C125" s="35"/>
      <c r="D125" s="17" t="s">
        <v>284</v>
      </c>
      <c r="E125" s="104">
        <f t="shared" si="18"/>
        <v>0</v>
      </c>
      <c r="F125" s="102"/>
      <c r="G125" s="102"/>
      <c r="H125" s="102"/>
      <c r="I125" s="102"/>
      <c r="J125" s="100">
        <f t="shared" si="11"/>
        <v>0</v>
      </c>
      <c r="K125" s="102"/>
      <c r="L125" s="102"/>
      <c r="M125" s="102"/>
      <c r="N125" s="102"/>
      <c r="O125" s="102"/>
      <c r="P125" s="100">
        <f t="shared" si="17"/>
        <v>0</v>
      </c>
      <c r="Q125" s="14"/>
    </row>
    <row r="126" spans="1:17" ht="215.25" customHeight="1" hidden="1">
      <c r="A126" s="3"/>
      <c r="B126" s="4" t="s">
        <v>104</v>
      </c>
      <c r="C126" s="35" t="s">
        <v>99</v>
      </c>
      <c r="D126" s="6" t="s">
        <v>105</v>
      </c>
      <c r="E126" s="104">
        <f t="shared" si="18"/>
        <v>0</v>
      </c>
      <c r="F126" s="102">
        <f>F127</f>
        <v>0</v>
      </c>
      <c r="G126" s="102"/>
      <c r="H126" s="102"/>
      <c r="I126" s="102"/>
      <c r="J126" s="100">
        <f t="shared" si="11"/>
        <v>0</v>
      </c>
      <c r="K126" s="102"/>
      <c r="L126" s="102"/>
      <c r="M126" s="102"/>
      <c r="N126" s="102"/>
      <c r="O126" s="102"/>
      <c r="P126" s="100">
        <f t="shared" si="17"/>
        <v>0</v>
      </c>
      <c r="Q126" s="14"/>
    </row>
    <row r="127" spans="1:17" ht="145.5" customHeight="1" hidden="1">
      <c r="A127" s="3"/>
      <c r="B127" s="4"/>
      <c r="C127" s="35"/>
      <c r="D127" s="16" t="s">
        <v>283</v>
      </c>
      <c r="E127" s="104">
        <f t="shared" si="18"/>
        <v>0</v>
      </c>
      <c r="F127" s="102"/>
      <c r="G127" s="102"/>
      <c r="H127" s="102"/>
      <c r="I127" s="102"/>
      <c r="J127" s="100">
        <f t="shared" si="11"/>
        <v>0</v>
      </c>
      <c r="K127" s="102"/>
      <c r="L127" s="102"/>
      <c r="M127" s="102"/>
      <c r="N127" s="102"/>
      <c r="O127" s="102"/>
      <c r="P127" s="100">
        <f t="shared" si="17"/>
        <v>0</v>
      </c>
      <c r="Q127" s="14"/>
    </row>
    <row r="128" spans="1:17" ht="51.75" customHeight="1" hidden="1">
      <c r="A128" s="3"/>
      <c r="B128" s="4" t="s">
        <v>106</v>
      </c>
      <c r="C128" s="35" t="s">
        <v>99</v>
      </c>
      <c r="D128" s="6" t="s">
        <v>107</v>
      </c>
      <c r="E128" s="104">
        <f t="shared" si="18"/>
        <v>0</v>
      </c>
      <c r="F128" s="102">
        <f>F129</f>
        <v>0</v>
      </c>
      <c r="G128" s="102"/>
      <c r="H128" s="102"/>
      <c r="I128" s="102"/>
      <c r="J128" s="100">
        <f t="shared" si="11"/>
        <v>0</v>
      </c>
      <c r="K128" s="102"/>
      <c r="L128" s="102"/>
      <c r="M128" s="102"/>
      <c r="N128" s="102"/>
      <c r="O128" s="102"/>
      <c r="P128" s="100">
        <f t="shared" si="17"/>
        <v>0</v>
      </c>
      <c r="Q128" s="14"/>
    </row>
    <row r="129" spans="1:17" ht="319.5" customHeight="1" hidden="1">
      <c r="A129" s="3"/>
      <c r="B129" s="4"/>
      <c r="C129" s="35"/>
      <c r="D129" s="17" t="s">
        <v>284</v>
      </c>
      <c r="E129" s="104">
        <f t="shared" si="18"/>
        <v>0</v>
      </c>
      <c r="F129" s="102"/>
      <c r="G129" s="102"/>
      <c r="H129" s="102"/>
      <c r="I129" s="102"/>
      <c r="J129" s="100">
        <f t="shared" si="11"/>
        <v>0</v>
      </c>
      <c r="K129" s="102"/>
      <c r="L129" s="102"/>
      <c r="M129" s="102"/>
      <c r="N129" s="102"/>
      <c r="O129" s="102"/>
      <c r="P129" s="100">
        <f t="shared" si="17"/>
        <v>0</v>
      </c>
      <c r="Q129" s="14"/>
    </row>
    <row r="130" spans="1:17" ht="146.25" customHeight="1" hidden="1">
      <c r="A130" s="3"/>
      <c r="B130" s="4" t="s">
        <v>108</v>
      </c>
      <c r="C130" s="35" t="s">
        <v>99</v>
      </c>
      <c r="D130" s="6" t="s">
        <v>109</v>
      </c>
      <c r="E130" s="104">
        <f t="shared" si="18"/>
        <v>0</v>
      </c>
      <c r="F130" s="102">
        <f>F131</f>
        <v>0</v>
      </c>
      <c r="G130" s="102"/>
      <c r="H130" s="102"/>
      <c r="I130" s="102"/>
      <c r="J130" s="100">
        <f t="shared" si="11"/>
        <v>0</v>
      </c>
      <c r="K130" s="102"/>
      <c r="L130" s="102"/>
      <c r="M130" s="102"/>
      <c r="N130" s="102"/>
      <c r="O130" s="102"/>
      <c r="P130" s="100">
        <f t="shared" si="17"/>
        <v>0</v>
      </c>
      <c r="Q130" s="14"/>
    </row>
    <row r="131" spans="1:17" ht="148.5" customHeight="1" hidden="1">
      <c r="A131" s="3"/>
      <c r="B131" s="4"/>
      <c r="C131" s="35"/>
      <c r="D131" s="16" t="s">
        <v>283</v>
      </c>
      <c r="E131" s="104">
        <f t="shared" si="18"/>
        <v>0</v>
      </c>
      <c r="F131" s="102"/>
      <c r="G131" s="102"/>
      <c r="H131" s="102"/>
      <c r="I131" s="102"/>
      <c r="J131" s="100">
        <f t="shared" si="11"/>
        <v>0</v>
      </c>
      <c r="K131" s="102"/>
      <c r="L131" s="102"/>
      <c r="M131" s="102"/>
      <c r="N131" s="102"/>
      <c r="O131" s="102"/>
      <c r="P131" s="100">
        <f t="shared" si="17"/>
        <v>0</v>
      </c>
      <c r="Q131" s="14"/>
    </row>
    <row r="132" spans="1:17" ht="162" customHeight="1" hidden="1">
      <c r="A132" s="3"/>
      <c r="B132" s="4" t="s">
        <v>110</v>
      </c>
      <c r="C132" s="35" t="s">
        <v>99</v>
      </c>
      <c r="D132" s="6" t="s">
        <v>111</v>
      </c>
      <c r="E132" s="104">
        <f t="shared" si="18"/>
        <v>0</v>
      </c>
      <c r="F132" s="102">
        <f>F133</f>
        <v>0</v>
      </c>
      <c r="G132" s="102"/>
      <c r="H132" s="102"/>
      <c r="I132" s="102"/>
      <c r="J132" s="100">
        <f t="shared" si="11"/>
        <v>0</v>
      </c>
      <c r="K132" s="102"/>
      <c r="L132" s="102"/>
      <c r="M132" s="102"/>
      <c r="N132" s="102"/>
      <c r="O132" s="102"/>
      <c r="P132" s="100">
        <f t="shared" si="17"/>
        <v>0</v>
      </c>
      <c r="Q132" s="14"/>
    </row>
    <row r="133" spans="1:17" ht="84.75" customHeight="1" hidden="1">
      <c r="A133" s="3"/>
      <c r="B133" s="4"/>
      <c r="C133" s="35"/>
      <c r="D133" s="16" t="s">
        <v>285</v>
      </c>
      <c r="E133" s="104">
        <f t="shared" si="18"/>
        <v>0</v>
      </c>
      <c r="F133" s="102"/>
      <c r="G133" s="102"/>
      <c r="H133" s="102"/>
      <c r="I133" s="102"/>
      <c r="J133" s="100">
        <f t="shared" si="11"/>
        <v>0</v>
      </c>
      <c r="K133" s="102"/>
      <c r="L133" s="102"/>
      <c r="M133" s="102"/>
      <c r="N133" s="102"/>
      <c r="O133" s="102"/>
      <c r="P133" s="100">
        <f t="shared" si="17"/>
        <v>0</v>
      </c>
      <c r="Q133" s="14"/>
    </row>
    <row r="134" spans="1:17" ht="15" hidden="1">
      <c r="A134" s="3"/>
      <c r="B134" s="4" t="s">
        <v>112</v>
      </c>
      <c r="C134" s="35" t="s">
        <v>51</v>
      </c>
      <c r="D134" s="6" t="s">
        <v>113</v>
      </c>
      <c r="E134" s="104">
        <f t="shared" si="18"/>
        <v>0</v>
      </c>
      <c r="F134" s="102">
        <f>F135</f>
        <v>0</v>
      </c>
      <c r="G134" s="102"/>
      <c r="H134" s="102"/>
      <c r="I134" s="102"/>
      <c r="J134" s="100">
        <f t="shared" si="11"/>
        <v>0</v>
      </c>
      <c r="K134" s="102"/>
      <c r="L134" s="102"/>
      <c r="M134" s="102"/>
      <c r="N134" s="102"/>
      <c r="O134" s="102"/>
      <c r="P134" s="100">
        <f t="shared" si="17"/>
        <v>0</v>
      </c>
      <c r="Q134" s="14"/>
    </row>
    <row r="135" spans="1:17" ht="133.5" customHeight="1" hidden="1">
      <c r="A135" s="3"/>
      <c r="B135" s="4"/>
      <c r="C135" s="35"/>
      <c r="D135" s="16" t="s">
        <v>281</v>
      </c>
      <c r="E135" s="104">
        <f t="shared" si="18"/>
        <v>0</v>
      </c>
      <c r="F135" s="102"/>
      <c r="G135" s="102"/>
      <c r="H135" s="102"/>
      <c r="I135" s="102"/>
      <c r="J135" s="100"/>
      <c r="K135" s="102"/>
      <c r="L135" s="102"/>
      <c r="M135" s="102"/>
      <c r="N135" s="102"/>
      <c r="O135" s="102"/>
      <c r="P135" s="100">
        <f t="shared" si="17"/>
        <v>0</v>
      </c>
      <c r="Q135" s="14"/>
    </row>
    <row r="136" spans="1:17" ht="30" hidden="1">
      <c r="A136" s="3"/>
      <c r="B136" s="4" t="s">
        <v>114</v>
      </c>
      <c r="C136" s="35" t="s">
        <v>51</v>
      </c>
      <c r="D136" s="6" t="s">
        <v>115</v>
      </c>
      <c r="E136" s="104">
        <f t="shared" si="18"/>
        <v>0</v>
      </c>
      <c r="F136" s="102">
        <f>F137</f>
        <v>0</v>
      </c>
      <c r="G136" s="102"/>
      <c r="H136" s="102"/>
      <c r="I136" s="102"/>
      <c r="J136" s="100">
        <f t="shared" si="11"/>
        <v>0</v>
      </c>
      <c r="K136" s="102"/>
      <c r="L136" s="102"/>
      <c r="M136" s="102"/>
      <c r="N136" s="102"/>
      <c r="O136" s="102"/>
      <c r="P136" s="100">
        <f t="shared" si="17"/>
        <v>0</v>
      </c>
      <c r="Q136" s="14"/>
    </row>
    <row r="137" spans="1:17" ht="132.75" customHeight="1" hidden="1">
      <c r="A137" s="3"/>
      <c r="B137" s="4"/>
      <c r="C137" s="35"/>
      <c r="D137" s="16" t="s">
        <v>281</v>
      </c>
      <c r="E137" s="104">
        <f t="shared" si="18"/>
        <v>0</v>
      </c>
      <c r="F137" s="102"/>
      <c r="G137" s="102"/>
      <c r="H137" s="102"/>
      <c r="I137" s="102"/>
      <c r="J137" s="100">
        <f t="shared" si="11"/>
        <v>0</v>
      </c>
      <c r="K137" s="102"/>
      <c r="L137" s="102"/>
      <c r="M137" s="102"/>
      <c r="N137" s="102"/>
      <c r="O137" s="102"/>
      <c r="P137" s="100">
        <f t="shared" si="17"/>
        <v>0</v>
      </c>
      <c r="Q137" s="14"/>
    </row>
    <row r="138" spans="1:17" ht="15" hidden="1">
      <c r="A138" s="3"/>
      <c r="B138" s="4" t="s">
        <v>116</v>
      </c>
      <c r="C138" s="35" t="s">
        <v>51</v>
      </c>
      <c r="D138" s="6" t="s">
        <v>117</v>
      </c>
      <c r="E138" s="104">
        <f t="shared" si="18"/>
        <v>0</v>
      </c>
      <c r="F138" s="102">
        <f>F139</f>
        <v>0</v>
      </c>
      <c r="G138" s="102"/>
      <c r="H138" s="102"/>
      <c r="I138" s="102"/>
      <c r="J138" s="100">
        <f t="shared" si="11"/>
        <v>0</v>
      </c>
      <c r="K138" s="102"/>
      <c r="L138" s="102"/>
      <c r="M138" s="102"/>
      <c r="N138" s="102"/>
      <c r="O138" s="102"/>
      <c r="P138" s="100">
        <f t="shared" si="17"/>
        <v>0</v>
      </c>
      <c r="Q138" s="14"/>
    </row>
    <row r="139" spans="1:17" ht="138.75" customHeight="1" hidden="1">
      <c r="A139" s="3"/>
      <c r="B139" s="4"/>
      <c r="C139" s="35"/>
      <c r="D139" s="16" t="s">
        <v>281</v>
      </c>
      <c r="E139" s="104">
        <f t="shared" si="18"/>
        <v>0</v>
      </c>
      <c r="F139" s="102"/>
      <c r="G139" s="102"/>
      <c r="H139" s="102"/>
      <c r="I139" s="102"/>
      <c r="J139" s="100">
        <f t="shared" si="11"/>
        <v>0</v>
      </c>
      <c r="K139" s="102"/>
      <c r="L139" s="102"/>
      <c r="M139" s="102"/>
      <c r="N139" s="102"/>
      <c r="O139" s="102"/>
      <c r="P139" s="100">
        <f t="shared" si="17"/>
        <v>0</v>
      </c>
      <c r="Q139" s="14"/>
    </row>
    <row r="140" spans="1:17" ht="30" hidden="1">
      <c r="A140" s="3"/>
      <c r="B140" s="4" t="s">
        <v>118</v>
      </c>
      <c r="C140" s="35" t="s">
        <v>51</v>
      </c>
      <c r="D140" s="6" t="s">
        <v>119</v>
      </c>
      <c r="E140" s="104">
        <f t="shared" si="18"/>
        <v>0</v>
      </c>
      <c r="F140" s="102">
        <f>F141</f>
        <v>0</v>
      </c>
      <c r="G140" s="102"/>
      <c r="H140" s="102"/>
      <c r="I140" s="102"/>
      <c r="J140" s="100">
        <f t="shared" si="11"/>
        <v>0</v>
      </c>
      <c r="K140" s="102"/>
      <c r="L140" s="102"/>
      <c r="M140" s="102"/>
      <c r="N140" s="102"/>
      <c r="O140" s="102"/>
      <c r="P140" s="100">
        <f t="shared" si="17"/>
        <v>0</v>
      </c>
      <c r="Q140" s="14"/>
    </row>
    <row r="141" spans="1:17" ht="130.5" customHeight="1" hidden="1">
      <c r="A141" s="3"/>
      <c r="B141" s="4"/>
      <c r="C141" s="35"/>
      <c r="D141" s="16" t="s">
        <v>281</v>
      </c>
      <c r="E141" s="104">
        <f t="shared" si="18"/>
        <v>0</v>
      </c>
      <c r="F141" s="102"/>
      <c r="G141" s="102"/>
      <c r="H141" s="102"/>
      <c r="I141" s="102"/>
      <c r="J141" s="100">
        <f t="shared" si="11"/>
        <v>0</v>
      </c>
      <c r="K141" s="102"/>
      <c r="L141" s="102"/>
      <c r="M141" s="102"/>
      <c r="N141" s="102"/>
      <c r="O141" s="102"/>
      <c r="P141" s="100">
        <f t="shared" si="17"/>
        <v>0</v>
      </c>
      <c r="Q141" s="14"/>
    </row>
    <row r="142" spans="1:17" ht="15" hidden="1">
      <c r="A142" s="3"/>
      <c r="B142" s="4" t="s">
        <v>120</v>
      </c>
      <c r="C142" s="35" t="s">
        <v>51</v>
      </c>
      <c r="D142" s="6" t="s">
        <v>121</v>
      </c>
      <c r="E142" s="104">
        <f t="shared" si="18"/>
        <v>0</v>
      </c>
      <c r="F142" s="102">
        <f>F143</f>
        <v>0</v>
      </c>
      <c r="G142" s="102"/>
      <c r="H142" s="102"/>
      <c r="I142" s="102"/>
      <c r="J142" s="100">
        <f t="shared" si="11"/>
        <v>0</v>
      </c>
      <c r="K142" s="102"/>
      <c r="L142" s="102"/>
      <c r="M142" s="102"/>
      <c r="N142" s="102"/>
      <c r="O142" s="102"/>
      <c r="P142" s="100">
        <f t="shared" si="17"/>
        <v>0</v>
      </c>
      <c r="Q142" s="14"/>
    </row>
    <row r="143" spans="1:17" ht="132.75" customHeight="1" hidden="1">
      <c r="A143" s="3"/>
      <c r="B143" s="4"/>
      <c r="C143" s="35"/>
      <c r="D143" s="16" t="s">
        <v>281</v>
      </c>
      <c r="E143" s="104">
        <f t="shared" si="18"/>
        <v>0</v>
      </c>
      <c r="F143" s="102"/>
      <c r="G143" s="102"/>
      <c r="H143" s="102"/>
      <c r="I143" s="102"/>
      <c r="J143" s="100">
        <f t="shared" si="11"/>
        <v>0</v>
      </c>
      <c r="K143" s="102"/>
      <c r="L143" s="102"/>
      <c r="M143" s="102"/>
      <c r="N143" s="102"/>
      <c r="O143" s="102"/>
      <c r="P143" s="100">
        <f t="shared" si="17"/>
        <v>0</v>
      </c>
      <c r="Q143" s="14"/>
    </row>
    <row r="144" spans="1:17" ht="15" hidden="1">
      <c r="A144" s="3"/>
      <c r="B144" s="4" t="s">
        <v>122</v>
      </c>
      <c r="C144" s="35" t="s">
        <v>51</v>
      </c>
      <c r="D144" s="6" t="s">
        <v>123</v>
      </c>
      <c r="E144" s="104">
        <f t="shared" si="18"/>
        <v>0</v>
      </c>
      <c r="F144" s="102">
        <f>F145</f>
        <v>0</v>
      </c>
      <c r="G144" s="102"/>
      <c r="H144" s="102"/>
      <c r="I144" s="102"/>
      <c r="J144" s="100">
        <f t="shared" si="11"/>
        <v>0</v>
      </c>
      <c r="K144" s="102"/>
      <c r="L144" s="102"/>
      <c r="M144" s="102"/>
      <c r="N144" s="102"/>
      <c r="O144" s="102"/>
      <c r="P144" s="100">
        <f t="shared" si="17"/>
        <v>0</v>
      </c>
      <c r="Q144" s="14"/>
    </row>
    <row r="145" spans="1:17" ht="132" customHeight="1" hidden="1">
      <c r="A145" s="3"/>
      <c r="B145" s="4"/>
      <c r="C145" s="35"/>
      <c r="D145" s="16" t="s">
        <v>281</v>
      </c>
      <c r="E145" s="104">
        <f t="shared" si="18"/>
        <v>0</v>
      </c>
      <c r="F145" s="102"/>
      <c r="G145" s="102"/>
      <c r="H145" s="102"/>
      <c r="I145" s="102"/>
      <c r="J145" s="100">
        <f t="shared" si="11"/>
        <v>0</v>
      </c>
      <c r="K145" s="102"/>
      <c r="L145" s="102"/>
      <c r="M145" s="102"/>
      <c r="N145" s="102"/>
      <c r="O145" s="102"/>
      <c r="P145" s="100">
        <f t="shared" si="17"/>
        <v>0</v>
      </c>
      <c r="Q145" s="14"/>
    </row>
    <row r="146" spans="1:17" ht="15" hidden="1">
      <c r="A146" s="3"/>
      <c r="B146" s="4" t="s">
        <v>124</v>
      </c>
      <c r="C146" s="35" t="s">
        <v>51</v>
      </c>
      <c r="D146" s="6" t="s">
        <v>125</v>
      </c>
      <c r="E146" s="104">
        <f t="shared" si="18"/>
        <v>0</v>
      </c>
      <c r="F146" s="102">
        <f>F147</f>
        <v>0</v>
      </c>
      <c r="G146" s="102"/>
      <c r="H146" s="102"/>
      <c r="I146" s="102"/>
      <c r="J146" s="100">
        <f t="shared" si="11"/>
        <v>0</v>
      </c>
      <c r="K146" s="102"/>
      <c r="L146" s="102"/>
      <c r="M146" s="102"/>
      <c r="N146" s="102"/>
      <c r="O146" s="102"/>
      <c r="P146" s="100">
        <f t="shared" si="17"/>
        <v>0</v>
      </c>
      <c r="Q146" s="14"/>
    </row>
    <row r="147" spans="1:17" ht="129" customHeight="1" hidden="1">
      <c r="A147" s="3"/>
      <c r="B147" s="4"/>
      <c r="C147" s="35"/>
      <c r="D147" s="16" t="s">
        <v>281</v>
      </c>
      <c r="E147" s="104">
        <f t="shared" si="18"/>
        <v>0</v>
      </c>
      <c r="F147" s="102"/>
      <c r="G147" s="102"/>
      <c r="H147" s="102"/>
      <c r="I147" s="102"/>
      <c r="J147" s="100">
        <f t="shared" si="11"/>
        <v>0</v>
      </c>
      <c r="K147" s="102"/>
      <c r="L147" s="102"/>
      <c r="M147" s="102"/>
      <c r="N147" s="102"/>
      <c r="O147" s="102"/>
      <c r="P147" s="100">
        <f t="shared" si="17"/>
        <v>0</v>
      </c>
      <c r="Q147" s="14"/>
    </row>
    <row r="148" spans="1:17" ht="38.25" customHeight="1" hidden="1">
      <c r="A148" s="3"/>
      <c r="B148" s="4" t="s">
        <v>126</v>
      </c>
      <c r="C148" s="35" t="s">
        <v>51</v>
      </c>
      <c r="D148" s="6" t="s">
        <v>127</v>
      </c>
      <c r="E148" s="104">
        <f t="shared" si="18"/>
        <v>0</v>
      </c>
      <c r="F148" s="102">
        <f>F149</f>
        <v>0</v>
      </c>
      <c r="G148" s="102"/>
      <c r="H148" s="102"/>
      <c r="I148" s="102"/>
      <c r="J148" s="100">
        <f t="shared" si="11"/>
        <v>0</v>
      </c>
      <c r="K148" s="102"/>
      <c r="L148" s="102"/>
      <c r="M148" s="102"/>
      <c r="N148" s="102"/>
      <c r="O148" s="102"/>
      <c r="P148" s="100">
        <f t="shared" si="17"/>
        <v>0</v>
      </c>
      <c r="Q148" s="14"/>
    </row>
    <row r="149" spans="1:17" ht="137.25" customHeight="1" hidden="1">
      <c r="A149" s="3"/>
      <c r="B149" s="4"/>
      <c r="C149" s="35"/>
      <c r="D149" s="16" t="s">
        <v>281</v>
      </c>
      <c r="E149" s="104">
        <f t="shared" si="18"/>
        <v>0</v>
      </c>
      <c r="F149" s="102"/>
      <c r="G149" s="102"/>
      <c r="H149" s="102"/>
      <c r="I149" s="102"/>
      <c r="J149" s="100">
        <f t="shared" si="11"/>
        <v>0</v>
      </c>
      <c r="K149" s="102"/>
      <c r="L149" s="102"/>
      <c r="M149" s="102"/>
      <c r="N149" s="102"/>
      <c r="O149" s="102"/>
      <c r="P149" s="100">
        <f t="shared" si="17"/>
        <v>0</v>
      </c>
      <c r="Q149" s="14"/>
    </row>
    <row r="150" spans="1:17" ht="30" hidden="1">
      <c r="A150" s="3"/>
      <c r="B150" s="4" t="s">
        <v>129</v>
      </c>
      <c r="C150" s="35" t="s">
        <v>128</v>
      </c>
      <c r="D150" s="6" t="s">
        <v>130</v>
      </c>
      <c r="E150" s="104">
        <f t="shared" si="18"/>
        <v>0</v>
      </c>
      <c r="F150" s="102">
        <f>F151</f>
        <v>0</v>
      </c>
      <c r="G150" s="102"/>
      <c r="H150" s="102"/>
      <c r="I150" s="102"/>
      <c r="J150" s="100">
        <f aca="true" t="shared" si="19" ref="J150:J174">K150+N150</f>
        <v>0</v>
      </c>
      <c r="K150" s="102"/>
      <c r="L150" s="102"/>
      <c r="M150" s="102"/>
      <c r="N150" s="102"/>
      <c r="O150" s="102"/>
      <c r="P150" s="100">
        <f t="shared" si="17"/>
        <v>0</v>
      </c>
      <c r="Q150" s="14"/>
    </row>
    <row r="151" spans="1:17" ht="150" customHeight="1" hidden="1">
      <c r="A151" s="3"/>
      <c r="B151" s="4"/>
      <c r="C151" s="35"/>
      <c r="D151" s="16" t="s">
        <v>283</v>
      </c>
      <c r="E151" s="104">
        <f t="shared" si="18"/>
        <v>0</v>
      </c>
      <c r="F151" s="102"/>
      <c r="G151" s="102"/>
      <c r="H151" s="102"/>
      <c r="I151" s="102"/>
      <c r="J151" s="100">
        <f t="shared" si="19"/>
        <v>0</v>
      </c>
      <c r="K151" s="102"/>
      <c r="L151" s="102"/>
      <c r="M151" s="102"/>
      <c r="N151" s="102"/>
      <c r="O151" s="102"/>
      <c r="P151" s="100">
        <f t="shared" si="17"/>
        <v>0</v>
      </c>
      <c r="Q151" s="14"/>
    </row>
    <row r="152" spans="1:17" ht="80.25" customHeight="1" hidden="1">
      <c r="A152" s="3"/>
      <c r="B152" s="4" t="s">
        <v>131</v>
      </c>
      <c r="C152" s="35" t="s">
        <v>128</v>
      </c>
      <c r="D152" s="6" t="s">
        <v>132</v>
      </c>
      <c r="E152" s="104">
        <f t="shared" si="18"/>
        <v>0</v>
      </c>
      <c r="F152" s="102">
        <f>F153</f>
        <v>0</v>
      </c>
      <c r="G152" s="102"/>
      <c r="H152" s="102"/>
      <c r="I152" s="102"/>
      <c r="J152" s="100">
        <f t="shared" si="19"/>
        <v>0</v>
      </c>
      <c r="K152" s="102"/>
      <c r="L152" s="102"/>
      <c r="M152" s="102"/>
      <c r="N152" s="102"/>
      <c r="O152" s="102"/>
      <c r="P152" s="100">
        <f t="shared" si="17"/>
        <v>0</v>
      </c>
      <c r="Q152" s="14"/>
    </row>
    <row r="153" spans="1:17" ht="90" customHeight="1" hidden="1">
      <c r="A153" s="3"/>
      <c r="B153" s="4"/>
      <c r="C153" s="35"/>
      <c r="D153" s="16" t="s">
        <v>285</v>
      </c>
      <c r="E153" s="104">
        <f t="shared" si="18"/>
        <v>0</v>
      </c>
      <c r="F153" s="102"/>
      <c r="G153" s="102"/>
      <c r="H153" s="102"/>
      <c r="I153" s="102"/>
      <c r="J153" s="100">
        <f t="shared" si="19"/>
        <v>0</v>
      </c>
      <c r="K153" s="102"/>
      <c r="L153" s="102"/>
      <c r="M153" s="102"/>
      <c r="N153" s="102"/>
      <c r="O153" s="102"/>
      <c r="P153" s="100">
        <f t="shared" si="17"/>
        <v>0</v>
      </c>
      <c r="Q153" s="14"/>
    </row>
    <row r="154" spans="1:17" ht="81.75" customHeight="1" hidden="1">
      <c r="A154" s="3"/>
      <c r="B154" s="4" t="s">
        <v>133</v>
      </c>
      <c r="C154" s="35" t="s">
        <v>128</v>
      </c>
      <c r="D154" s="6" t="s">
        <v>134</v>
      </c>
      <c r="E154" s="104">
        <f t="shared" si="18"/>
        <v>0</v>
      </c>
      <c r="F154" s="102">
        <f>F155</f>
        <v>0</v>
      </c>
      <c r="G154" s="102"/>
      <c r="H154" s="102"/>
      <c r="I154" s="102"/>
      <c r="J154" s="100">
        <f t="shared" si="19"/>
        <v>0</v>
      </c>
      <c r="K154" s="102"/>
      <c r="L154" s="102"/>
      <c r="M154" s="102"/>
      <c r="N154" s="102"/>
      <c r="O154" s="102"/>
      <c r="P154" s="100">
        <f t="shared" si="17"/>
        <v>0</v>
      </c>
      <c r="Q154" s="14"/>
    </row>
    <row r="155" spans="1:17" ht="151.5" customHeight="1" hidden="1">
      <c r="A155" s="3"/>
      <c r="B155" s="4"/>
      <c r="C155" s="35"/>
      <c r="D155" s="16" t="s">
        <v>283</v>
      </c>
      <c r="E155" s="104">
        <f t="shared" si="18"/>
        <v>0</v>
      </c>
      <c r="F155" s="102"/>
      <c r="G155" s="102"/>
      <c r="H155" s="102"/>
      <c r="I155" s="102"/>
      <c r="J155" s="100">
        <f t="shared" si="19"/>
        <v>0</v>
      </c>
      <c r="K155" s="102"/>
      <c r="L155" s="102"/>
      <c r="M155" s="102"/>
      <c r="N155" s="102"/>
      <c r="O155" s="102"/>
      <c r="P155" s="100">
        <f t="shared" si="17"/>
        <v>0</v>
      </c>
      <c r="Q155" s="14"/>
    </row>
    <row r="156" spans="1:17" ht="15">
      <c r="A156" s="3"/>
      <c r="B156" s="4" t="s">
        <v>136</v>
      </c>
      <c r="C156" s="35" t="s">
        <v>135</v>
      </c>
      <c r="D156" s="6" t="s">
        <v>137</v>
      </c>
      <c r="E156" s="104">
        <f t="shared" si="18"/>
        <v>5030208</v>
      </c>
      <c r="F156" s="102">
        <f>4291400+33108+100000+86000+8800+300000+33000+8000+36000+19000+21400+93500</f>
        <v>5030208</v>
      </c>
      <c r="G156" s="102"/>
      <c r="H156" s="102"/>
      <c r="I156" s="102"/>
      <c r="J156" s="100">
        <f t="shared" si="19"/>
        <v>0</v>
      </c>
      <c r="K156" s="102"/>
      <c r="L156" s="102"/>
      <c r="M156" s="102"/>
      <c r="N156" s="102"/>
      <c r="O156" s="102"/>
      <c r="P156" s="100">
        <f t="shared" si="17"/>
        <v>5030208</v>
      </c>
      <c r="Q156" s="14"/>
    </row>
    <row r="157" spans="1:17" ht="30">
      <c r="A157" s="3"/>
      <c r="B157" s="4"/>
      <c r="C157" s="35"/>
      <c r="D157" s="6" t="s">
        <v>369</v>
      </c>
      <c r="E157" s="104">
        <f t="shared" si="18"/>
        <v>27000</v>
      </c>
      <c r="F157" s="102">
        <f>8000+19000</f>
        <v>27000</v>
      </c>
      <c r="G157" s="102"/>
      <c r="H157" s="102"/>
      <c r="I157" s="102"/>
      <c r="J157" s="100">
        <f t="shared" si="19"/>
        <v>0</v>
      </c>
      <c r="K157" s="102"/>
      <c r="L157" s="102"/>
      <c r="M157" s="102"/>
      <c r="N157" s="102"/>
      <c r="O157" s="102"/>
      <c r="P157" s="100">
        <f t="shared" si="17"/>
        <v>27000</v>
      </c>
      <c r="Q157" s="14"/>
    </row>
    <row r="158" spans="1:17" ht="30" hidden="1">
      <c r="A158" s="3"/>
      <c r="B158" s="4" t="s">
        <v>139</v>
      </c>
      <c r="C158" s="35" t="s">
        <v>138</v>
      </c>
      <c r="D158" s="6" t="s">
        <v>140</v>
      </c>
      <c r="E158" s="104">
        <f t="shared" si="18"/>
        <v>0</v>
      </c>
      <c r="F158" s="102">
        <f>F159</f>
        <v>0</v>
      </c>
      <c r="G158" s="102"/>
      <c r="H158" s="102"/>
      <c r="I158" s="102"/>
      <c r="J158" s="100">
        <f t="shared" si="19"/>
        <v>0</v>
      </c>
      <c r="K158" s="102"/>
      <c r="L158" s="102"/>
      <c r="M158" s="102"/>
      <c r="N158" s="102"/>
      <c r="O158" s="102"/>
      <c r="P158" s="100">
        <f t="shared" si="17"/>
        <v>0</v>
      </c>
      <c r="Q158" s="14"/>
    </row>
    <row r="159" spans="1:17" ht="137.25" customHeight="1" hidden="1">
      <c r="A159" s="3"/>
      <c r="B159" s="4"/>
      <c r="C159" s="35"/>
      <c r="D159" s="16" t="s">
        <v>281</v>
      </c>
      <c r="E159" s="104">
        <f t="shared" si="18"/>
        <v>0</v>
      </c>
      <c r="F159" s="102"/>
      <c r="G159" s="102"/>
      <c r="H159" s="102"/>
      <c r="I159" s="102"/>
      <c r="J159" s="100">
        <f t="shared" si="19"/>
        <v>0</v>
      </c>
      <c r="K159" s="102"/>
      <c r="L159" s="102"/>
      <c r="M159" s="102"/>
      <c r="N159" s="102"/>
      <c r="O159" s="102"/>
      <c r="P159" s="100">
        <f t="shared" si="17"/>
        <v>0</v>
      </c>
      <c r="Q159" s="14"/>
    </row>
    <row r="160" spans="1:17" ht="96.75" customHeight="1" hidden="1">
      <c r="A160" s="3"/>
      <c r="B160" s="4" t="s">
        <v>141</v>
      </c>
      <c r="C160" s="35" t="s">
        <v>128</v>
      </c>
      <c r="D160" s="6" t="s">
        <v>142</v>
      </c>
      <c r="E160" s="104">
        <f t="shared" si="18"/>
        <v>0</v>
      </c>
      <c r="F160" s="102">
        <f>F161</f>
        <v>0</v>
      </c>
      <c r="G160" s="102"/>
      <c r="H160" s="102"/>
      <c r="I160" s="102"/>
      <c r="J160" s="100">
        <f t="shared" si="19"/>
        <v>0</v>
      </c>
      <c r="K160" s="102"/>
      <c r="L160" s="102"/>
      <c r="M160" s="102"/>
      <c r="N160" s="102"/>
      <c r="O160" s="102"/>
      <c r="P160" s="100">
        <f t="shared" si="17"/>
        <v>0</v>
      </c>
      <c r="Q160" s="14"/>
    </row>
    <row r="161" spans="1:17" ht="88.5" customHeight="1" hidden="1">
      <c r="A161" s="3"/>
      <c r="B161" s="4"/>
      <c r="C161" s="35"/>
      <c r="D161" s="16" t="s">
        <v>285</v>
      </c>
      <c r="E161" s="104">
        <f t="shared" si="18"/>
        <v>0</v>
      </c>
      <c r="F161" s="102"/>
      <c r="G161" s="102"/>
      <c r="H161" s="102"/>
      <c r="I161" s="102"/>
      <c r="J161" s="100">
        <f t="shared" si="19"/>
        <v>0</v>
      </c>
      <c r="K161" s="102"/>
      <c r="L161" s="102"/>
      <c r="M161" s="102"/>
      <c r="N161" s="102"/>
      <c r="O161" s="102"/>
      <c r="P161" s="100">
        <f t="shared" si="17"/>
        <v>0</v>
      </c>
      <c r="Q161" s="14"/>
    </row>
    <row r="162" spans="1:17" ht="110.25" customHeight="1" hidden="1">
      <c r="A162" s="3"/>
      <c r="B162" s="4" t="s">
        <v>143</v>
      </c>
      <c r="C162" s="35" t="s">
        <v>138</v>
      </c>
      <c r="D162" s="6" t="s">
        <v>144</v>
      </c>
      <c r="E162" s="104">
        <f t="shared" si="18"/>
        <v>0</v>
      </c>
      <c r="F162" s="102"/>
      <c r="G162" s="102"/>
      <c r="H162" s="102"/>
      <c r="I162" s="102"/>
      <c r="J162" s="100">
        <f t="shared" si="19"/>
        <v>0</v>
      </c>
      <c r="K162" s="102"/>
      <c r="L162" s="102"/>
      <c r="M162" s="102"/>
      <c r="N162" s="102"/>
      <c r="O162" s="102"/>
      <c r="P162" s="100">
        <f t="shared" si="17"/>
        <v>0</v>
      </c>
      <c r="Q162" s="14"/>
    </row>
    <row r="163" spans="1:17" ht="120" customHeight="1" hidden="1">
      <c r="A163" s="3"/>
      <c r="B163" s="4" t="s">
        <v>145</v>
      </c>
      <c r="C163" s="35" t="s">
        <v>128</v>
      </c>
      <c r="D163" s="6" t="s">
        <v>146</v>
      </c>
      <c r="E163" s="104">
        <f t="shared" si="18"/>
        <v>0</v>
      </c>
      <c r="F163" s="102"/>
      <c r="G163" s="102"/>
      <c r="H163" s="102"/>
      <c r="I163" s="102"/>
      <c r="J163" s="100">
        <f t="shared" si="19"/>
        <v>0</v>
      </c>
      <c r="K163" s="102"/>
      <c r="L163" s="102"/>
      <c r="M163" s="102"/>
      <c r="N163" s="102"/>
      <c r="O163" s="102"/>
      <c r="P163" s="100">
        <f t="shared" si="17"/>
        <v>0</v>
      </c>
      <c r="Q163" s="14"/>
    </row>
    <row r="164" spans="1:17" ht="30">
      <c r="A164" s="3"/>
      <c r="B164" s="4" t="s">
        <v>147</v>
      </c>
      <c r="C164" s="35" t="s">
        <v>91</v>
      </c>
      <c r="D164" s="6" t="s">
        <v>148</v>
      </c>
      <c r="E164" s="104">
        <f t="shared" si="18"/>
        <v>320800</v>
      </c>
      <c r="F164" s="102">
        <f>285460+35340</f>
        <v>320800</v>
      </c>
      <c r="G164" s="102"/>
      <c r="H164" s="102"/>
      <c r="I164" s="102"/>
      <c r="J164" s="100">
        <f t="shared" si="19"/>
        <v>0</v>
      </c>
      <c r="K164" s="102"/>
      <c r="L164" s="102"/>
      <c r="M164" s="102"/>
      <c r="N164" s="102"/>
      <c r="O164" s="102"/>
      <c r="P164" s="100">
        <f t="shared" si="17"/>
        <v>320800</v>
      </c>
      <c r="Q164" s="14"/>
    </row>
    <row r="165" spans="1:17" ht="15">
      <c r="A165" s="3"/>
      <c r="B165" s="4" t="s">
        <v>149</v>
      </c>
      <c r="C165" s="35" t="s">
        <v>135</v>
      </c>
      <c r="D165" s="6" t="s">
        <v>150</v>
      </c>
      <c r="E165" s="104">
        <f t="shared" si="18"/>
        <v>1526250</v>
      </c>
      <c r="F165" s="102">
        <f>1658160-131910</f>
        <v>1526250</v>
      </c>
      <c r="G165" s="102">
        <v>922950</v>
      </c>
      <c r="H165" s="102">
        <v>270830</v>
      </c>
      <c r="I165" s="102"/>
      <c r="J165" s="100">
        <f t="shared" si="19"/>
        <v>0</v>
      </c>
      <c r="K165" s="102"/>
      <c r="L165" s="102"/>
      <c r="M165" s="102"/>
      <c r="N165" s="102"/>
      <c r="O165" s="102"/>
      <c r="P165" s="100">
        <f t="shared" si="17"/>
        <v>1526250</v>
      </c>
      <c r="Q165" s="14"/>
    </row>
    <row r="166" spans="1:17" ht="30" hidden="1">
      <c r="A166" s="3"/>
      <c r="B166" s="4" t="s">
        <v>151</v>
      </c>
      <c r="C166" s="35" t="s">
        <v>138</v>
      </c>
      <c r="D166" s="6" t="s">
        <v>152</v>
      </c>
      <c r="E166" s="104">
        <f t="shared" si="18"/>
        <v>0</v>
      </c>
      <c r="F166" s="102">
        <f>F167</f>
        <v>0</v>
      </c>
      <c r="G166" s="102"/>
      <c r="H166" s="102"/>
      <c r="I166" s="102"/>
      <c r="J166" s="100">
        <f t="shared" si="19"/>
        <v>0</v>
      </c>
      <c r="K166" s="102"/>
      <c r="L166" s="102"/>
      <c r="M166" s="102"/>
      <c r="N166" s="102"/>
      <c r="O166" s="102"/>
      <c r="P166" s="100">
        <f t="shared" si="17"/>
        <v>0</v>
      </c>
      <c r="Q166" s="14"/>
    </row>
    <row r="167" spans="1:17" ht="138.75" customHeight="1" hidden="1">
      <c r="A167" s="3"/>
      <c r="B167" s="4"/>
      <c r="C167" s="35"/>
      <c r="D167" s="16" t="s">
        <v>281</v>
      </c>
      <c r="E167" s="104">
        <f t="shared" si="18"/>
        <v>0</v>
      </c>
      <c r="F167" s="102"/>
      <c r="G167" s="102"/>
      <c r="H167" s="102"/>
      <c r="I167" s="102"/>
      <c r="J167" s="100">
        <f t="shared" si="19"/>
        <v>0</v>
      </c>
      <c r="K167" s="102"/>
      <c r="L167" s="102"/>
      <c r="M167" s="102"/>
      <c r="N167" s="102"/>
      <c r="O167" s="102"/>
      <c r="P167" s="100">
        <f t="shared" si="17"/>
        <v>0</v>
      </c>
      <c r="Q167" s="14"/>
    </row>
    <row r="168" spans="1:17" ht="56.25" customHeight="1">
      <c r="A168" s="3"/>
      <c r="B168" s="4" t="s">
        <v>153</v>
      </c>
      <c r="C168" s="35" t="s">
        <v>99</v>
      </c>
      <c r="D168" s="6" t="s">
        <v>154</v>
      </c>
      <c r="E168" s="104">
        <f t="shared" si="18"/>
        <v>0</v>
      </c>
      <c r="F168" s="102">
        <f>F169</f>
        <v>0</v>
      </c>
      <c r="G168" s="102"/>
      <c r="H168" s="102"/>
      <c r="I168" s="102"/>
      <c r="J168" s="100">
        <f t="shared" si="19"/>
        <v>0</v>
      </c>
      <c r="K168" s="102"/>
      <c r="L168" s="102"/>
      <c r="M168" s="102"/>
      <c r="N168" s="102"/>
      <c r="O168" s="102"/>
      <c r="P168" s="100">
        <f t="shared" si="17"/>
        <v>0</v>
      </c>
      <c r="Q168" s="14"/>
    </row>
    <row r="169" spans="1:17" ht="317.25" customHeight="1">
      <c r="A169" s="3"/>
      <c r="B169" s="4"/>
      <c r="C169" s="35"/>
      <c r="D169" s="17" t="s">
        <v>284</v>
      </c>
      <c r="E169" s="104">
        <f t="shared" si="18"/>
        <v>0</v>
      </c>
      <c r="F169" s="102">
        <f>770000-770000</f>
        <v>0</v>
      </c>
      <c r="G169" s="102"/>
      <c r="H169" s="102"/>
      <c r="I169" s="102"/>
      <c r="J169" s="100">
        <f t="shared" si="19"/>
        <v>0</v>
      </c>
      <c r="K169" s="102"/>
      <c r="L169" s="102"/>
      <c r="M169" s="102"/>
      <c r="N169" s="102"/>
      <c r="O169" s="102"/>
      <c r="P169" s="100">
        <f t="shared" si="17"/>
        <v>0</v>
      </c>
      <c r="Q169" s="14"/>
    </row>
    <row r="170" spans="1:17" ht="54" customHeight="1">
      <c r="A170" s="3"/>
      <c r="B170" s="4" t="s">
        <v>155</v>
      </c>
      <c r="C170" s="35" t="s">
        <v>99</v>
      </c>
      <c r="D170" s="6" t="s">
        <v>156</v>
      </c>
      <c r="E170" s="104">
        <f t="shared" si="18"/>
        <v>0</v>
      </c>
      <c r="F170" s="102">
        <f>F171</f>
        <v>0</v>
      </c>
      <c r="G170" s="102"/>
      <c r="H170" s="102"/>
      <c r="I170" s="102"/>
      <c r="J170" s="100">
        <f t="shared" si="19"/>
        <v>0</v>
      </c>
      <c r="K170" s="102"/>
      <c r="L170" s="102"/>
      <c r="M170" s="102"/>
      <c r="N170" s="102"/>
      <c r="O170" s="102"/>
      <c r="P170" s="100">
        <f t="shared" si="17"/>
        <v>0</v>
      </c>
      <c r="Q170" s="14"/>
    </row>
    <row r="171" spans="1:17" ht="279.75" customHeight="1">
      <c r="A171" s="3"/>
      <c r="B171" s="4"/>
      <c r="C171" s="35"/>
      <c r="D171" s="17" t="s">
        <v>284</v>
      </c>
      <c r="E171" s="104">
        <f t="shared" si="18"/>
        <v>0</v>
      </c>
      <c r="F171" s="102">
        <f>2800000-2800000</f>
        <v>0</v>
      </c>
      <c r="G171" s="102"/>
      <c r="H171" s="102"/>
      <c r="I171" s="102"/>
      <c r="J171" s="100">
        <f t="shared" si="19"/>
        <v>0</v>
      </c>
      <c r="K171" s="102"/>
      <c r="L171" s="102"/>
      <c r="M171" s="102"/>
      <c r="N171" s="102"/>
      <c r="O171" s="102"/>
      <c r="P171" s="100">
        <f t="shared" si="17"/>
        <v>0</v>
      </c>
      <c r="Q171" s="14"/>
    </row>
    <row r="172" spans="1:17" ht="45">
      <c r="A172" s="3"/>
      <c r="B172" s="4" t="s">
        <v>157</v>
      </c>
      <c r="C172" s="35" t="s">
        <v>99</v>
      </c>
      <c r="D172" s="6" t="s">
        <v>158</v>
      </c>
      <c r="E172" s="104">
        <f t="shared" si="18"/>
        <v>0</v>
      </c>
      <c r="F172" s="102">
        <f>F173</f>
        <v>0</v>
      </c>
      <c r="G172" s="102"/>
      <c r="H172" s="102"/>
      <c r="I172" s="102"/>
      <c r="J172" s="100">
        <f t="shared" si="19"/>
        <v>0</v>
      </c>
      <c r="K172" s="102"/>
      <c r="L172" s="102"/>
      <c r="M172" s="102"/>
      <c r="N172" s="102"/>
      <c r="O172" s="102"/>
      <c r="P172" s="100">
        <f t="shared" si="17"/>
        <v>0</v>
      </c>
      <c r="Q172" s="14"/>
    </row>
    <row r="173" spans="1:18" ht="280.5" customHeight="1">
      <c r="A173" s="3"/>
      <c r="B173" s="4"/>
      <c r="C173" s="35"/>
      <c r="D173" s="17" t="s">
        <v>284</v>
      </c>
      <c r="E173" s="104">
        <f t="shared" si="18"/>
        <v>0</v>
      </c>
      <c r="F173" s="102">
        <f>13305000-13305000</f>
        <v>0</v>
      </c>
      <c r="G173" s="102"/>
      <c r="H173" s="102"/>
      <c r="I173" s="102"/>
      <c r="J173" s="100">
        <f t="shared" si="19"/>
        <v>0</v>
      </c>
      <c r="K173" s="102"/>
      <c r="L173" s="102"/>
      <c r="M173" s="102"/>
      <c r="N173" s="102"/>
      <c r="O173" s="102"/>
      <c r="P173" s="100">
        <f t="shared" si="17"/>
        <v>0</v>
      </c>
      <c r="Q173" s="14"/>
      <c r="R173" s="130">
        <f>SUM(R176:R177)</f>
        <v>144920827</v>
      </c>
    </row>
    <row r="174" spans="1:17" s="133" customFormat="1" ht="25.5" customHeight="1" hidden="1">
      <c r="A174" s="3"/>
      <c r="B174" s="4">
        <v>250404</v>
      </c>
      <c r="C174" s="5" t="s">
        <v>195</v>
      </c>
      <c r="D174" s="6" t="s">
        <v>59</v>
      </c>
      <c r="E174" s="100">
        <f>F174</f>
        <v>0</v>
      </c>
      <c r="F174" s="102"/>
      <c r="G174" s="102"/>
      <c r="H174" s="102"/>
      <c r="I174" s="102"/>
      <c r="J174" s="100">
        <f t="shared" si="19"/>
        <v>0</v>
      </c>
      <c r="K174" s="102"/>
      <c r="L174" s="102"/>
      <c r="M174" s="102"/>
      <c r="N174" s="102"/>
      <c r="O174" s="102"/>
      <c r="P174" s="100">
        <f>E174+J174</f>
        <v>0</v>
      </c>
      <c r="Q174" s="14"/>
    </row>
    <row r="175" spans="1:19" s="59" customFormat="1" ht="30">
      <c r="A175" s="53" t="s">
        <v>325</v>
      </c>
      <c r="B175" s="48"/>
      <c r="C175" s="48"/>
      <c r="D175" s="97" t="s">
        <v>366</v>
      </c>
      <c r="E175" s="119">
        <f>SUM(F175,I175)</f>
        <v>144920827</v>
      </c>
      <c r="F175" s="119">
        <f>SUM(F176,F177,F179,F181,F185,F188,F192,F194,F196,F198,F200,F202,F204,F206,F208,F210,F212,F214,F216,F218,F220,F222,F226,F230:F233,F234,F236,F237:F239,F190,F228,F224)+F183</f>
        <v>144920827</v>
      </c>
      <c r="G175" s="119">
        <f>SUM(G176,G177,G179,G181,G185,G188,G192,G194,G196,G198,G200,G202,G204,G206,G208,G210,G212,G214,G216,G218,G220,G222,G226,G230:G233,G234,G236,G237:G239,G190,G228,G224)</f>
        <v>7598202</v>
      </c>
      <c r="H175" s="119">
        <f>SUM(H176,H177,H179,H181,H185,H188,H192,H194,H196,H198,H200,H202,H204,H206,H208,H210,H212,H214,H216,H218,H220,H222,H226,H230:H233,H234,H236,H237:H239,H190,H228,H224)</f>
        <v>391000</v>
      </c>
      <c r="I175" s="119">
        <f>SUM(I176,I177,I179,I181,I185,I188,I192,I194,I196,I198,I200,I202,I204,I206,I208,I210,I212,I214,I216,I218,I220,I222,I226,I230:I233,I234,I236,I237:I239,I190,I228,I224)</f>
        <v>0</v>
      </c>
      <c r="J175" s="119">
        <f>SUM(K175,N175)</f>
        <v>41199</v>
      </c>
      <c r="K175" s="119">
        <f>SUM(K176,K177,K179,K181,K185,K188,K192,K194,K196,K198,K200,K202,K204,K206,K208,K210,K212,K214,K216,K218,K220,K222,K226,K230:K233,K234,K236,K237:K239,K190,K228,K224)</f>
        <v>34000</v>
      </c>
      <c r="L175" s="119">
        <f>SUM(L176,L177,L179,L181,L185,L188,L192,L194,L196,L198,L200,L202,L204,L206,L208,L210,L212,L214,L216,L218,L220,L222,L226,L230:L233,L234,L236,L237:L239,L190,L228,L224)</f>
        <v>24200</v>
      </c>
      <c r="M175" s="119">
        <f>SUM(M176,M177,M179,M181,M185,M188,M192,M194,M196,M198,M200,M202,M204,M206,M208,M210,M212,M214,M216,M218,M220,M222,M226,M230:M233,M234,M236,M237:M239,M190,M228,M224)</f>
        <v>0</v>
      </c>
      <c r="N175" s="119">
        <f>SUM(N176,N177,N179,N181,N185,N188,N192,N194,N196,N198,N200,N202,N204,N206,N208,N210,N212,N214,N216,N218,N220,N222,N226,N230:N233,N234,N236,N237:N239,N190,N228,N224)</f>
        <v>7199</v>
      </c>
      <c r="O175" s="119">
        <f>SUM(O176,O177,O179,O181,O185,O188,O192,O194,O196,O198,O200,O202,O204,O206,O208,O210,O212,O214,O216,O218,O220,O222,O226,O230:O233,O234,O236,O237:O239,O190,O228,O224)</f>
        <v>7199</v>
      </c>
      <c r="P175" s="119">
        <f>SUM(J175,E175)</f>
        <v>144962026</v>
      </c>
      <c r="Q175" s="119">
        <f>SUM(Q176,Q177,Q179,Q181,Q185,Q188,Q192,Q194,Q196,Q198,Q200,Q202,Q204,Q206,Q208,Q210,Q212,Q214,Q216,Q218,Q220,Q222,Q226,Q230:Q233,Q234,Q236,Q237:Q239,Q190,Q228,Q224)</f>
        <v>0</v>
      </c>
      <c r="R175" s="71">
        <f>37879727.4</f>
        <v>37879727.4</v>
      </c>
      <c r="S175" s="59">
        <f>2152937.67</f>
        <v>2152937.67</v>
      </c>
    </row>
    <row r="176" spans="1:18" s="59" customFormat="1" ht="15">
      <c r="A176" s="51"/>
      <c r="B176" s="51" t="s">
        <v>19</v>
      </c>
      <c r="C176" s="51" t="s">
        <v>18</v>
      </c>
      <c r="D176" s="57" t="s">
        <v>326</v>
      </c>
      <c r="E176" s="105">
        <f>SUM(F176,I176)</f>
        <v>5753796</v>
      </c>
      <c r="F176" s="114">
        <f>6234110-642063+161749</f>
        <v>5753796</v>
      </c>
      <c r="G176" s="114">
        <f>4489951+132581</f>
        <v>4622532</v>
      </c>
      <c r="H176" s="114">
        <v>0</v>
      </c>
      <c r="I176" s="114"/>
      <c r="J176" s="105">
        <f>SUM(K176,N176)</f>
        <v>0</v>
      </c>
      <c r="K176" s="114"/>
      <c r="L176" s="114"/>
      <c r="M176" s="114"/>
      <c r="N176" s="114"/>
      <c r="O176" s="114"/>
      <c r="P176" s="105">
        <f>SUM(E176,J176)</f>
        <v>5753796</v>
      </c>
      <c r="Q176" s="128"/>
      <c r="R176" s="58">
        <f>SUM(F177,F179,F181,F183,F185,F188,F190,F192,F194,F196,F198,F200,F202,F204,F206,F208,F210,F212,F214,F216,F218,F220,F222,F226,F228,F230,F234,F231,F239)</f>
        <v>134809441</v>
      </c>
    </row>
    <row r="177" spans="1:18" s="47" customFormat="1" ht="30">
      <c r="A177" s="51"/>
      <c r="B177" s="18" t="s">
        <v>89</v>
      </c>
      <c r="C177" s="72" t="s">
        <v>26</v>
      </c>
      <c r="D177" s="8" t="s">
        <v>90</v>
      </c>
      <c r="E177" s="104">
        <f>F177++I177</f>
        <v>3340526</v>
      </c>
      <c r="F177" s="2">
        <f>F178</f>
        <v>3340526</v>
      </c>
      <c r="G177" s="2"/>
      <c r="H177" s="2"/>
      <c r="I177" s="2"/>
      <c r="J177" s="100">
        <f aca="true" t="shared" si="20" ref="J177:J235">K177+N177</f>
        <v>0</v>
      </c>
      <c r="K177" s="2"/>
      <c r="L177" s="2"/>
      <c r="M177" s="2"/>
      <c r="N177" s="2"/>
      <c r="O177" s="2"/>
      <c r="P177" s="105">
        <f aca="true" t="shared" si="21" ref="P177:P239">SUM(E177,J177)</f>
        <v>3340526</v>
      </c>
      <c r="Q177" s="73"/>
      <c r="R177" s="63">
        <f>SUM(E236:E238,E176)</f>
        <v>10111386</v>
      </c>
    </row>
    <row r="178" spans="1:18" s="47" customFormat="1" ht="135">
      <c r="A178" s="51"/>
      <c r="B178" s="18"/>
      <c r="C178" s="72"/>
      <c r="D178" s="57" t="s">
        <v>282</v>
      </c>
      <c r="E178" s="104">
        <f>F178++I178</f>
        <v>3340526</v>
      </c>
      <c r="F178" s="2">
        <v>3340526</v>
      </c>
      <c r="G178" s="2"/>
      <c r="H178" s="2"/>
      <c r="I178" s="2"/>
      <c r="J178" s="100">
        <f t="shared" si="20"/>
        <v>0</v>
      </c>
      <c r="K178" s="2"/>
      <c r="L178" s="2"/>
      <c r="M178" s="2"/>
      <c r="N178" s="2"/>
      <c r="O178" s="2"/>
      <c r="P178" s="105">
        <f t="shared" si="21"/>
        <v>3340526</v>
      </c>
      <c r="Q178" s="73"/>
      <c r="R178" s="63"/>
    </row>
    <row r="179" spans="1:18" s="47" customFormat="1" ht="225">
      <c r="A179" s="51"/>
      <c r="B179" s="18" t="s">
        <v>92</v>
      </c>
      <c r="C179" s="72" t="s">
        <v>91</v>
      </c>
      <c r="D179" s="8" t="s">
        <v>93</v>
      </c>
      <c r="E179" s="104">
        <f aca="true" t="shared" si="22" ref="E179:E235">F179++I179</f>
        <v>5700000</v>
      </c>
      <c r="F179" s="2">
        <f>F180</f>
        <v>5700000</v>
      </c>
      <c r="G179" s="2"/>
      <c r="H179" s="2"/>
      <c r="I179" s="2"/>
      <c r="J179" s="100">
        <f t="shared" si="20"/>
        <v>0</v>
      </c>
      <c r="K179" s="2"/>
      <c r="L179" s="2"/>
      <c r="M179" s="2"/>
      <c r="N179" s="2"/>
      <c r="O179" s="2"/>
      <c r="P179" s="105">
        <f t="shared" si="21"/>
        <v>5700000</v>
      </c>
      <c r="Q179" s="73"/>
      <c r="R179" s="63"/>
    </row>
    <row r="180" spans="1:18" s="47" customFormat="1" ht="120">
      <c r="A180" s="51"/>
      <c r="B180" s="18"/>
      <c r="C180" s="72"/>
      <c r="D180" s="57" t="s">
        <v>283</v>
      </c>
      <c r="E180" s="104">
        <f t="shared" si="22"/>
        <v>5700000</v>
      </c>
      <c r="F180" s="2">
        <f>15000000-3000000-6300000</f>
        <v>5700000</v>
      </c>
      <c r="G180" s="2"/>
      <c r="H180" s="2"/>
      <c r="I180" s="2"/>
      <c r="J180" s="100">
        <f t="shared" si="20"/>
        <v>0</v>
      </c>
      <c r="K180" s="2"/>
      <c r="L180" s="2"/>
      <c r="M180" s="2"/>
      <c r="N180" s="2"/>
      <c r="O180" s="2"/>
      <c r="P180" s="105">
        <f t="shared" si="21"/>
        <v>5700000</v>
      </c>
      <c r="Q180" s="73"/>
      <c r="R180" s="63"/>
    </row>
    <row r="181" spans="1:18" s="47" customFormat="1" ht="195">
      <c r="A181" s="51"/>
      <c r="B181" s="18" t="s">
        <v>94</v>
      </c>
      <c r="C181" s="72" t="s">
        <v>91</v>
      </c>
      <c r="D181" s="8" t="s">
        <v>95</v>
      </c>
      <c r="E181" s="104">
        <f t="shared" si="22"/>
        <v>22500</v>
      </c>
      <c r="F181" s="2">
        <f>F182</f>
        <v>22500</v>
      </c>
      <c r="G181" s="2"/>
      <c r="H181" s="2"/>
      <c r="I181" s="2"/>
      <c r="J181" s="100">
        <f t="shared" si="20"/>
        <v>0</v>
      </c>
      <c r="K181" s="2"/>
      <c r="L181" s="2"/>
      <c r="M181" s="2"/>
      <c r="N181" s="2"/>
      <c r="O181" s="2"/>
      <c r="P181" s="105">
        <f t="shared" si="21"/>
        <v>22500</v>
      </c>
      <c r="Q181" s="73"/>
      <c r="R181" s="63"/>
    </row>
    <row r="182" spans="1:18" s="47" customFormat="1" ht="75">
      <c r="A182" s="51"/>
      <c r="B182" s="18"/>
      <c r="C182" s="72"/>
      <c r="D182" s="57" t="s">
        <v>285</v>
      </c>
      <c r="E182" s="104">
        <f t="shared" si="22"/>
        <v>22500</v>
      </c>
      <c r="F182" s="2">
        <v>22500</v>
      </c>
      <c r="G182" s="2"/>
      <c r="H182" s="2"/>
      <c r="I182" s="2"/>
      <c r="J182" s="100">
        <f t="shared" si="20"/>
        <v>0</v>
      </c>
      <c r="K182" s="2"/>
      <c r="L182" s="2"/>
      <c r="M182" s="2"/>
      <c r="N182" s="2"/>
      <c r="O182" s="2"/>
      <c r="P182" s="105">
        <f t="shared" si="21"/>
        <v>22500</v>
      </c>
      <c r="Q182" s="73"/>
      <c r="R182" s="63"/>
    </row>
    <row r="183" spans="1:18" s="47" customFormat="1" ht="225">
      <c r="A183" s="51"/>
      <c r="B183" s="18" t="s">
        <v>96</v>
      </c>
      <c r="C183" s="72" t="s">
        <v>91</v>
      </c>
      <c r="D183" s="8" t="s">
        <v>97</v>
      </c>
      <c r="E183" s="104">
        <f t="shared" si="22"/>
        <v>0</v>
      </c>
      <c r="F183" s="2">
        <f>F184</f>
        <v>0</v>
      </c>
      <c r="G183" s="2"/>
      <c r="H183" s="2"/>
      <c r="I183" s="2"/>
      <c r="J183" s="100">
        <f t="shared" si="20"/>
        <v>0</v>
      </c>
      <c r="K183" s="2"/>
      <c r="L183" s="2"/>
      <c r="M183" s="2"/>
      <c r="N183" s="2">
        <f>N184</f>
        <v>0</v>
      </c>
      <c r="O183" s="2">
        <f>O184</f>
        <v>0</v>
      </c>
      <c r="P183" s="105">
        <f t="shared" si="21"/>
        <v>0</v>
      </c>
      <c r="Q183" s="66">
        <f>200000-147380.15</f>
        <v>52619.850000000006</v>
      </c>
      <c r="R183" s="63"/>
    </row>
    <row r="184" spans="1:18" s="47" customFormat="1" ht="285">
      <c r="A184" s="51"/>
      <c r="B184" s="18"/>
      <c r="C184" s="72"/>
      <c r="D184" s="74" t="s">
        <v>284</v>
      </c>
      <c r="E184" s="104">
        <f t="shared" si="22"/>
        <v>0</v>
      </c>
      <c r="F184" s="2">
        <f>2000-2000</f>
        <v>0</v>
      </c>
      <c r="G184" s="2"/>
      <c r="H184" s="2"/>
      <c r="I184" s="2"/>
      <c r="J184" s="100">
        <f t="shared" si="20"/>
        <v>0</v>
      </c>
      <c r="K184" s="2"/>
      <c r="L184" s="2"/>
      <c r="M184" s="2"/>
      <c r="N184" s="2"/>
      <c r="O184" s="2"/>
      <c r="P184" s="105">
        <f t="shared" si="21"/>
        <v>0</v>
      </c>
      <c r="Q184" s="73"/>
      <c r="R184" s="63"/>
    </row>
    <row r="185" spans="1:18" s="47" customFormat="1" ht="360">
      <c r="A185" s="51"/>
      <c r="B185" s="18" t="s">
        <v>98</v>
      </c>
      <c r="C185" s="72" t="s">
        <v>91</v>
      </c>
      <c r="D185" s="8" t="s">
        <v>286</v>
      </c>
      <c r="E185" s="104">
        <f t="shared" si="22"/>
        <v>1200000</v>
      </c>
      <c r="F185" s="2">
        <f>F187</f>
        <v>1200000</v>
      </c>
      <c r="G185" s="2"/>
      <c r="H185" s="2"/>
      <c r="I185" s="2"/>
      <c r="J185" s="100">
        <f t="shared" si="20"/>
        <v>0</v>
      </c>
      <c r="K185" s="2"/>
      <c r="L185" s="2"/>
      <c r="M185" s="2"/>
      <c r="N185" s="2"/>
      <c r="O185" s="2"/>
      <c r="P185" s="105">
        <f t="shared" si="21"/>
        <v>1200000</v>
      </c>
      <c r="Q185" s="73"/>
      <c r="R185" s="63"/>
    </row>
    <row r="186" spans="1:18" s="47" customFormat="1" ht="330">
      <c r="A186" s="51"/>
      <c r="B186" s="18"/>
      <c r="C186" s="72"/>
      <c r="D186" s="8" t="s">
        <v>287</v>
      </c>
      <c r="E186" s="104"/>
      <c r="F186" s="2"/>
      <c r="G186" s="2"/>
      <c r="H186" s="2"/>
      <c r="I186" s="2"/>
      <c r="J186" s="100"/>
      <c r="K186" s="2"/>
      <c r="L186" s="2"/>
      <c r="M186" s="2"/>
      <c r="N186" s="2"/>
      <c r="O186" s="2"/>
      <c r="P186" s="105">
        <f t="shared" si="21"/>
        <v>0</v>
      </c>
      <c r="Q186" s="73"/>
      <c r="R186" s="63"/>
    </row>
    <row r="187" spans="1:18" s="47" customFormat="1" ht="120">
      <c r="A187" s="51"/>
      <c r="B187" s="18"/>
      <c r="C187" s="7"/>
      <c r="D187" s="57" t="s">
        <v>283</v>
      </c>
      <c r="E187" s="100">
        <f>F187++I187</f>
        <v>1200000</v>
      </c>
      <c r="F187" s="2">
        <f>1413000-113000-100000</f>
        <v>1200000</v>
      </c>
      <c r="G187" s="2"/>
      <c r="H187" s="2"/>
      <c r="I187" s="2"/>
      <c r="J187" s="100">
        <f t="shared" si="20"/>
        <v>0</v>
      </c>
      <c r="K187" s="2"/>
      <c r="L187" s="2"/>
      <c r="M187" s="2"/>
      <c r="N187" s="2"/>
      <c r="O187" s="2"/>
      <c r="P187" s="105">
        <f t="shared" si="21"/>
        <v>1200000</v>
      </c>
      <c r="Q187" s="73"/>
      <c r="R187" s="63"/>
    </row>
    <row r="188" spans="1:18" s="47" customFormat="1" ht="90">
      <c r="A188" s="51"/>
      <c r="B188" s="18" t="s">
        <v>100</v>
      </c>
      <c r="C188" s="72" t="s">
        <v>99</v>
      </c>
      <c r="D188" s="8" t="s">
        <v>101</v>
      </c>
      <c r="E188" s="104">
        <f t="shared" si="22"/>
        <v>1200000</v>
      </c>
      <c r="F188" s="2">
        <f>F189</f>
        <v>1200000</v>
      </c>
      <c r="G188" s="2"/>
      <c r="H188" s="2"/>
      <c r="I188" s="2"/>
      <c r="J188" s="100">
        <f t="shared" si="20"/>
        <v>0</v>
      </c>
      <c r="K188" s="2"/>
      <c r="L188" s="2"/>
      <c r="M188" s="2"/>
      <c r="N188" s="2"/>
      <c r="O188" s="2"/>
      <c r="P188" s="105">
        <f t="shared" si="21"/>
        <v>1200000</v>
      </c>
      <c r="Q188" s="73"/>
      <c r="R188" s="63"/>
    </row>
    <row r="189" spans="1:18" s="47" customFormat="1" ht="120">
      <c r="A189" s="51"/>
      <c r="B189" s="18"/>
      <c r="C189" s="72"/>
      <c r="D189" s="57" t="s">
        <v>283</v>
      </c>
      <c r="E189" s="104">
        <f t="shared" si="22"/>
        <v>1200000</v>
      </c>
      <c r="F189" s="2">
        <f>1860000-560000-100000</f>
        <v>1200000</v>
      </c>
      <c r="G189" s="2"/>
      <c r="H189" s="2"/>
      <c r="I189" s="2"/>
      <c r="J189" s="100">
        <f t="shared" si="20"/>
        <v>0</v>
      </c>
      <c r="K189" s="2"/>
      <c r="L189" s="2"/>
      <c r="M189" s="2"/>
      <c r="N189" s="2"/>
      <c r="O189" s="2"/>
      <c r="P189" s="105">
        <f t="shared" si="21"/>
        <v>1200000</v>
      </c>
      <c r="Q189" s="73"/>
      <c r="R189" s="63"/>
    </row>
    <row r="190" spans="1:18" s="47" customFormat="1" ht="90">
      <c r="A190" s="51"/>
      <c r="B190" s="18" t="s">
        <v>255</v>
      </c>
      <c r="C190" s="72" t="s">
        <v>99</v>
      </c>
      <c r="D190" s="99" t="s">
        <v>256</v>
      </c>
      <c r="E190" s="104">
        <f t="shared" si="22"/>
        <v>0</v>
      </c>
      <c r="F190" s="2">
        <f>F191</f>
        <v>0</v>
      </c>
      <c r="G190" s="2"/>
      <c r="H190" s="2"/>
      <c r="I190" s="2"/>
      <c r="J190" s="100">
        <f t="shared" si="20"/>
        <v>0</v>
      </c>
      <c r="K190" s="2"/>
      <c r="L190" s="2"/>
      <c r="M190" s="2"/>
      <c r="N190" s="2"/>
      <c r="O190" s="2"/>
      <c r="P190" s="105">
        <f t="shared" si="21"/>
        <v>0</v>
      </c>
      <c r="Q190" s="73"/>
      <c r="R190" s="63"/>
    </row>
    <row r="191" spans="1:18" s="47" customFormat="1" ht="75">
      <c r="A191" s="51"/>
      <c r="B191" s="18"/>
      <c r="C191" s="72"/>
      <c r="D191" s="57" t="s">
        <v>285</v>
      </c>
      <c r="E191" s="104">
        <f t="shared" si="22"/>
        <v>0</v>
      </c>
      <c r="F191" s="2">
        <f>1000-1000</f>
        <v>0</v>
      </c>
      <c r="G191" s="2"/>
      <c r="H191" s="2"/>
      <c r="I191" s="2"/>
      <c r="J191" s="100">
        <f t="shared" si="20"/>
        <v>0</v>
      </c>
      <c r="K191" s="2"/>
      <c r="L191" s="2"/>
      <c r="M191" s="2"/>
      <c r="N191" s="2"/>
      <c r="O191" s="2"/>
      <c r="P191" s="105">
        <f t="shared" si="21"/>
        <v>0</v>
      </c>
      <c r="Q191" s="73"/>
      <c r="R191" s="63"/>
    </row>
    <row r="192" spans="1:18" s="47" customFormat="1" ht="75">
      <c r="A192" s="51"/>
      <c r="B192" s="18" t="s">
        <v>102</v>
      </c>
      <c r="C192" s="72" t="s">
        <v>99</v>
      </c>
      <c r="D192" s="8" t="s">
        <v>103</v>
      </c>
      <c r="E192" s="104">
        <f t="shared" si="22"/>
        <v>0</v>
      </c>
      <c r="F192" s="2">
        <f>F193</f>
        <v>0</v>
      </c>
      <c r="G192" s="2"/>
      <c r="H192" s="2"/>
      <c r="I192" s="2"/>
      <c r="J192" s="100">
        <f t="shared" si="20"/>
        <v>0</v>
      </c>
      <c r="K192" s="2"/>
      <c r="L192" s="2"/>
      <c r="M192" s="2"/>
      <c r="N192" s="2"/>
      <c r="O192" s="2"/>
      <c r="P192" s="105">
        <f t="shared" si="21"/>
        <v>0</v>
      </c>
      <c r="Q192" s="73"/>
      <c r="R192" s="63"/>
    </row>
    <row r="193" spans="1:18" s="47" customFormat="1" ht="285">
      <c r="A193" s="51"/>
      <c r="B193" s="18"/>
      <c r="C193" s="72"/>
      <c r="D193" s="74" t="s">
        <v>284</v>
      </c>
      <c r="E193" s="104">
        <f t="shared" si="22"/>
        <v>0</v>
      </c>
      <c r="F193" s="2">
        <f>8500-8500</f>
        <v>0</v>
      </c>
      <c r="G193" s="2"/>
      <c r="H193" s="2"/>
      <c r="I193" s="2"/>
      <c r="J193" s="100">
        <f t="shared" si="20"/>
        <v>0</v>
      </c>
      <c r="K193" s="2"/>
      <c r="L193" s="2"/>
      <c r="M193" s="2"/>
      <c r="N193" s="2"/>
      <c r="O193" s="2"/>
      <c r="P193" s="105">
        <f t="shared" si="21"/>
        <v>0</v>
      </c>
      <c r="Q193" s="73"/>
      <c r="R193" s="63"/>
    </row>
    <row r="194" spans="1:18" s="47" customFormat="1" ht="195">
      <c r="A194" s="51"/>
      <c r="B194" s="18" t="s">
        <v>104</v>
      </c>
      <c r="C194" s="72" t="s">
        <v>99</v>
      </c>
      <c r="D194" s="8" t="s">
        <v>105</v>
      </c>
      <c r="E194" s="104">
        <f t="shared" si="22"/>
        <v>23000</v>
      </c>
      <c r="F194" s="2">
        <f>F195</f>
        <v>23000</v>
      </c>
      <c r="G194" s="2"/>
      <c r="H194" s="2"/>
      <c r="I194" s="2"/>
      <c r="J194" s="100">
        <f t="shared" si="20"/>
        <v>0</v>
      </c>
      <c r="K194" s="2"/>
      <c r="L194" s="2"/>
      <c r="M194" s="2"/>
      <c r="N194" s="2"/>
      <c r="O194" s="2"/>
      <c r="P194" s="105">
        <f t="shared" si="21"/>
        <v>23000</v>
      </c>
      <c r="Q194" s="73"/>
      <c r="R194" s="63"/>
    </row>
    <row r="195" spans="1:18" s="47" customFormat="1" ht="120">
      <c r="A195" s="51"/>
      <c r="B195" s="18"/>
      <c r="C195" s="72"/>
      <c r="D195" s="57" t="s">
        <v>283</v>
      </c>
      <c r="E195" s="104">
        <f t="shared" si="22"/>
        <v>23000</v>
      </c>
      <c r="F195" s="2">
        <f>27000-1000-3000</f>
        <v>23000</v>
      </c>
      <c r="G195" s="2"/>
      <c r="H195" s="2"/>
      <c r="I195" s="2"/>
      <c r="J195" s="100">
        <f t="shared" si="20"/>
        <v>0</v>
      </c>
      <c r="K195" s="2"/>
      <c r="L195" s="2"/>
      <c r="M195" s="2"/>
      <c r="N195" s="2"/>
      <c r="O195" s="2"/>
      <c r="P195" s="105">
        <f t="shared" si="21"/>
        <v>23000</v>
      </c>
      <c r="Q195" s="73"/>
      <c r="R195" s="63"/>
    </row>
    <row r="196" spans="1:18" s="47" customFormat="1" ht="30">
      <c r="A196" s="51"/>
      <c r="B196" s="18" t="s">
        <v>106</v>
      </c>
      <c r="C196" s="72" t="s">
        <v>99</v>
      </c>
      <c r="D196" s="8" t="s">
        <v>107</v>
      </c>
      <c r="E196" s="104">
        <f t="shared" si="22"/>
        <v>0</v>
      </c>
      <c r="F196" s="2">
        <f>F197</f>
        <v>0</v>
      </c>
      <c r="G196" s="2"/>
      <c r="H196" s="2"/>
      <c r="I196" s="2"/>
      <c r="J196" s="100">
        <f t="shared" si="20"/>
        <v>0</v>
      </c>
      <c r="K196" s="2"/>
      <c r="L196" s="2"/>
      <c r="M196" s="2"/>
      <c r="N196" s="2"/>
      <c r="O196" s="2"/>
      <c r="P196" s="105">
        <f t="shared" si="21"/>
        <v>0</v>
      </c>
      <c r="Q196" s="73"/>
      <c r="R196" s="63"/>
    </row>
    <row r="197" spans="1:18" s="47" customFormat="1" ht="285">
      <c r="A197" s="51"/>
      <c r="B197" s="18"/>
      <c r="C197" s="72"/>
      <c r="D197" s="74" t="s">
        <v>284</v>
      </c>
      <c r="E197" s="104">
        <f t="shared" si="22"/>
        <v>0</v>
      </c>
      <c r="F197" s="2">
        <f>340200-340200</f>
        <v>0</v>
      </c>
      <c r="G197" s="2"/>
      <c r="H197" s="2"/>
      <c r="I197" s="2"/>
      <c r="J197" s="100">
        <f t="shared" si="20"/>
        <v>0</v>
      </c>
      <c r="K197" s="2"/>
      <c r="L197" s="2"/>
      <c r="M197" s="2"/>
      <c r="N197" s="2"/>
      <c r="O197" s="2"/>
      <c r="P197" s="105">
        <f t="shared" si="21"/>
        <v>0</v>
      </c>
      <c r="Q197" s="73"/>
      <c r="R197" s="63"/>
    </row>
    <row r="198" spans="1:18" s="47" customFormat="1" ht="120">
      <c r="A198" s="51"/>
      <c r="B198" s="18" t="s">
        <v>108</v>
      </c>
      <c r="C198" s="72" t="s">
        <v>99</v>
      </c>
      <c r="D198" s="8" t="s">
        <v>109</v>
      </c>
      <c r="E198" s="104">
        <f t="shared" si="22"/>
        <v>1865500</v>
      </c>
      <c r="F198" s="2">
        <f>F199</f>
        <v>1865500</v>
      </c>
      <c r="G198" s="2"/>
      <c r="H198" s="2"/>
      <c r="I198" s="2"/>
      <c r="J198" s="100">
        <f t="shared" si="20"/>
        <v>0</v>
      </c>
      <c r="K198" s="2"/>
      <c r="L198" s="2"/>
      <c r="M198" s="2"/>
      <c r="N198" s="2"/>
      <c r="O198" s="2"/>
      <c r="P198" s="105">
        <f t="shared" si="21"/>
        <v>1865500</v>
      </c>
      <c r="Q198" s="73"/>
      <c r="R198" s="63"/>
    </row>
    <row r="199" spans="1:18" s="47" customFormat="1" ht="120">
      <c r="A199" s="51"/>
      <c r="B199" s="18"/>
      <c r="C199" s="72"/>
      <c r="D199" s="57" t="s">
        <v>283</v>
      </c>
      <c r="E199" s="104">
        <f t="shared" si="22"/>
        <v>1865500</v>
      </c>
      <c r="F199" s="2">
        <f>2600000-600000-134500</f>
        <v>1865500</v>
      </c>
      <c r="G199" s="2"/>
      <c r="H199" s="2"/>
      <c r="I199" s="2"/>
      <c r="J199" s="100">
        <f t="shared" si="20"/>
        <v>0</v>
      </c>
      <c r="K199" s="2"/>
      <c r="L199" s="2"/>
      <c r="M199" s="2"/>
      <c r="N199" s="2"/>
      <c r="O199" s="2"/>
      <c r="P199" s="105">
        <f t="shared" si="21"/>
        <v>1865500</v>
      </c>
      <c r="Q199" s="73"/>
      <c r="R199" s="63"/>
    </row>
    <row r="200" spans="1:18" s="47" customFormat="1" ht="135">
      <c r="A200" s="51"/>
      <c r="B200" s="18" t="s">
        <v>110</v>
      </c>
      <c r="C200" s="72" t="s">
        <v>99</v>
      </c>
      <c r="D200" s="8" t="s">
        <v>111</v>
      </c>
      <c r="E200" s="104">
        <f t="shared" si="22"/>
        <v>10700</v>
      </c>
      <c r="F200" s="2">
        <f>F201</f>
        <v>10700</v>
      </c>
      <c r="G200" s="2"/>
      <c r="H200" s="2"/>
      <c r="I200" s="2"/>
      <c r="J200" s="100">
        <f t="shared" si="20"/>
        <v>0</v>
      </c>
      <c r="K200" s="2"/>
      <c r="L200" s="2"/>
      <c r="M200" s="2"/>
      <c r="N200" s="2"/>
      <c r="O200" s="2"/>
      <c r="P200" s="105">
        <f t="shared" si="21"/>
        <v>10700</v>
      </c>
      <c r="Q200" s="73"/>
      <c r="R200" s="63"/>
    </row>
    <row r="201" spans="1:18" s="47" customFormat="1" ht="75">
      <c r="A201" s="51"/>
      <c r="B201" s="18"/>
      <c r="C201" s="72"/>
      <c r="D201" s="57" t="s">
        <v>285</v>
      </c>
      <c r="E201" s="104">
        <f t="shared" si="22"/>
        <v>10700</v>
      </c>
      <c r="F201" s="2">
        <v>10700</v>
      </c>
      <c r="G201" s="2"/>
      <c r="H201" s="2"/>
      <c r="I201" s="2"/>
      <c r="J201" s="100">
        <f t="shared" si="20"/>
        <v>0</v>
      </c>
      <c r="K201" s="2"/>
      <c r="L201" s="2"/>
      <c r="M201" s="2"/>
      <c r="N201" s="2"/>
      <c r="O201" s="2"/>
      <c r="P201" s="105">
        <f t="shared" si="21"/>
        <v>10700</v>
      </c>
      <c r="Q201" s="73"/>
      <c r="R201" s="63"/>
    </row>
    <row r="202" spans="1:18" s="47" customFormat="1" ht="15">
      <c r="A202" s="51"/>
      <c r="B202" s="18" t="s">
        <v>112</v>
      </c>
      <c r="C202" s="72" t="s">
        <v>51</v>
      </c>
      <c r="D202" s="8" t="s">
        <v>113</v>
      </c>
      <c r="E202" s="104">
        <f t="shared" si="22"/>
        <v>700500</v>
      </c>
      <c r="F202" s="2">
        <f>F203</f>
        <v>700500</v>
      </c>
      <c r="G202" s="2"/>
      <c r="H202" s="2"/>
      <c r="I202" s="2"/>
      <c r="J202" s="100">
        <f t="shared" si="20"/>
        <v>0</v>
      </c>
      <c r="K202" s="2"/>
      <c r="L202" s="2"/>
      <c r="M202" s="2"/>
      <c r="N202" s="2"/>
      <c r="O202" s="2"/>
      <c r="P202" s="105">
        <f t="shared" si="21"/>
        <v>700500</v>
      </c>
      <c r="Q202" s="73"/>
      <c r="R202" s="63"/>
    </row>
    <row r="203" spans="1:18" s="47" customFormat="1" ht="105">
      <c r="A203" s="51"/>
      <c r="B203" s="18"/>
      <c r="C203" s="72"/>
      <c r="D203" s="57" t="s">
        <v>281</v>
      </c>
      <c r="E203" s="104">
        <f t="shared" si="22"/>
        <v>700500</v>
      </c>
      <c r="F203" s="2">
        <v>700500</v>
      </c>
      <c r="G203" s="2"/>
      <c r="H203" s="2"/>
      <c r="I203" s="2"/>
      <c r="J203" s="100"/>
      <c r="K203" s="2"/>
      <c r="L203" s="2"/>
      <c r="M203" s="2"/>
      <c r="N203" s="2"/>
      <c r="O203" s="2"/>
      <c r="P203" s="105">
        <f t="shared" si="21"/>
        <v>700500</v>
      </c>
      <c r="Q203" s="73"/>
      <c r="R203" s="63"/>
    </row>
    <row r="204" spans="1:18" s="47" customFormat="1" ht="30">
      <c r="A204" s="51"/>
      <c r="B204" s="18" t="s">
        <v>114</v>
      </c>
      <c r="C204" s="72" t="s">
        <v>51</v>
      </c>
      <c r="D204" s="8" t="s">
        <v>115</v>
      </c>
      <c r="E204" s="104">
        <f t="shared" si="22"/>
        <v>520160</v>
      </c>
      <c r="F204" s="2">
        <f>F205</f>
        <v>520160</v>
      </c>
      <c r="G204" s="2"/>
      <c r="H204" s="2"/>
      <c r="I204" s="2"/>
      <c r="J204" s="100">
        <f t="shared" si="20"/>
        <v>0</v>
      </c>
      <c r="K204" s="2"/>
      <c r="L204" s="2"/>
      <c r="M204" s="2"/>
      <c r="N204" s="2"/>
      <c r="O204" s="2"/>
      <c r="P204" s="105">
        <f t="shared" si="21"/>
        <v>520160</v>
      </c>
      <c r="Q204" s="73"/>
      <c r="R204" s="63"/>
    </row>
    <row r="205" spans="1:18" s="47" customFormat="1" ht="105">
      <c r="A205" s="51"/>
      <c r="B205" s="18"/>
      <c r="C205" s="72"/>
      <c r="D205" s="57" t="s">
        <v>281</v>
      </c>
      <c r="E205" s="104">
        <f t="shared" si="22"/>
        <v>520160</v>
      </c>
      <c r="F205" s="2">
        <f>480160+40000</f>
        <v>520160</v>
      </c>
      <c r="G205" s="2"/>
      <c r="H205" s="2"/>
      <c r="I205" s="2"/>
      <c r="J205" s="100">
        <f t="shared" si="20"/>
        <v>0</v>
      </c>
      <c r="K205" s="2"/>
      <c r="L205" s="2"/>
      <c r="M205" s="2"/>
      <c r="N205" s="2"/>
      <c r="O205" s="2"/>
      <c r="P205" s="105">
        <f t="shared" si="21"/>
        <v>520160</v>
      </c>
      <c r="Q205" s="73"/>
      <c r="R205" s="63"/>
    </row>
    <row r="206" spans="1:18" s="47" customFormat="1" ht="15">
      <c r="A206" s="51"/>
      <c r="B206" s="18" t="s">
        <v>116</v>
      </c>
      <c r="C206" s="72" t="s">
        <v>51</v>
      </c>
      <c r="D206" s="8" t="s">
        <v>117</v>
      </c>
      <c r="E206" s="104">
        <f t="shared" si="22"/>
        <v>36717000</v>
      </c>
      <c r="F206" s="2">
        <f>F207</f>
        <v>36717000</v>
      </c>
      <c r="G206" s="2"/>
      <c r="H206" s="2"/>
      <c r="I206" s="2"/>
      <c r="J206" s="100">
        <f t="shared" si="20"/>
        <v>0</v>
      </c>
      <c r="K206" s="2"/>
      <c r="L206" s="2"/>
      <c r="M206" s="2"/>
      <c r="N206" s="2"/>
      <c r="O206" s="2"/>
      <c r="P206" s="105">
        <f t="shared" si="21"/>
        <v>36717000</v>
      </c>
      <c r="Q206" s="73"/>
      <c r="R206" s="63"/>
    </row>
    <row r="207" spans="1:18" s="47" customFormat="1" ht="105">
      <c r="A207" s="51"/>
      <c r="B207" s="18"/>
      <c r="C207" s="72"/>
      <c r="D207" s="57" t="s">
        <v>281</v>
      </c>
      <c r="E207" s="104">
        <f t="shared" si="22"/>
        <v>36717000</v>
      </c>
      <c r="F207" s="2">
        <f>39346000-2344000-285000</f>
        <v>36717000</v>
      </c>
      <c r="G207" s="2"/>
      <c r="H207" s="2"/>
      <c r="I207" s="2"/>
      <c r="J207" s="100">
        <f t="shared" si="20"/>
        <v>0</v>
      </c>
      <c r="K207" s="2"/>
      <c r="L207" s="2"/>
      <c r="M207" s="2"/>
      <c r="N207" s="2"/>
      <c r="O207" s="2"/>
      <c r="P207" s="105">
        <f t="shared" si="21"/>
        <v>36717000</v>
      </c>
      <c r="Q207" s="73"/>
      <c r="R207" s="63"/>
    </row>
    <row r="208" spans="1:18" s="47" customFormat="1" ht="30">
      <c r="A208" s="51"/>
      <c r="B208" s="18" t="s">
        <v>118</v>
      </c>
      <c r="C208" s="72" t="s">
        <v>51</v>
      </c>
      <c r="D208" s="8" t="s">
        <v>119</v>
      </c>
      <c r="E208" s="104">
        <f t="shared" si="22"/>
        <v>3475200</v>
      </c>
      <c r="F208" s="2">
        <f>F209</f>
        <v>3475200</v>
      </c>
      <c r="G208" s="2"/>
      <c r="H208" s="2"/>
      <c r="I208" s="2"/>
      <c r="J208" s="100">
        <f t="shared" si="20"/>
        <v>0</v>
      </c>
      <c r="K208" s="2"/>
      <c r="L208" s="2"/>
      <c r="M208" s="2"/>
      <c r="N208" s="2"/>
      <c r="O208" s="2"/>
      <c r="P208" s="105">
        <f t="shared" si="21"/>
        <v>3475200</v>
      </c>
      <c r="Q208" s="73"/>
      <c r="R208" s="63"/>
    </row>
    <row r="209" spans="1:18" s="47" customFormat="1" ht="105">
      <c r="A209" s="51"/>
      <c r="B209" s="18"/>
      <c r="C209" s="72"/>
      <c r="D209" s="57" t="s">
        <v>281</v>
      </c>
      <c r="E209" s="104">
        <f t="shared" si="22"/>
        <v>3475200</v>
      </c>
      <c r="F209" s="2">
        <f>3300200+175000</f>
        <v>3475200</v>
      </c>
      <c r="G209" s="2"/>
      <c r="H209" s="2"/>
      <c r="I209" s="2"/>
      <c r="J209" s="100">
        <f t="shared" si="20"/>
        <v>0</v>
      </c>
      <c r="K209" s="2"/>
      <c r="L209" s="2"/>
      <c r="M209" s="2"/>
      <c r="N209" s="2"/>
      <c r="O209" s="2"/>
      <c r="P209" s="105">
        <f t="shared" si="21"/>
        <v>3475200</v>
      </c>
      <c r="Q209" s="73"/>
      <c r="R209" s="63"/>
    </row>
    <row r="210" spans="1:18" s="47" customFormat="1" ht="15">
      <c r="A210" s="51"/>
      <c r="B210" s="18" t="s">
        <v>120</v>
      </c>
      <c r="C210" s="72" t="s">
        <v>51</v>
      </c>
      <c r="D210" s="8" t="s">
        <v>121</v>
      </c>
      <c r="E210" s="104">
        <f t="shared" si="22"/>
        <v>10156000</v>
      </c>
      <c r="F210" s="2">
        <f>F211</f>
        <v>10156000</v>
      </c>
      <c r="G210" s="2"/>
      <c r="H210" s="2"/>
      <c r="I210" s="2"/>
      <c r="J210" s="100">
        <f t="shared" si="20"/>
        <v>0</v>
      </c>
      <c r="K210" s="2"/>
      <c r="L210" s="2"/>
      <c r="M210" s="2"/>
      <c r="N210" s="2"/>
      <c r="O210" s="2"/>
      <c r="P210" s="105">
        <f t="shared" si="21"/>
        <v>10156000</v>
      </c>
      <c r="Q210" s="73"/>
      <c r="R210" s="63"/>
    </row>
    <row r="211" spans="1:18" s="47" customFormat="1" ht="105">
      <c r="A211" s="51"/>
      <c r="B211" s="18"/>
      <c r="C211" s="72"/>
      <c r="D211" s="57" t="s">
        <v>281</v>
      </c>
      <c r="E211" s="104">
        <f t="shared" si="22"/>
        <v>10156000</v>
      </c>
      <c r="F211" s="2">
        <v>10156000</v>
      </c>
      <c r="G211" s="2"/>
      <c r="H211" s="2"/>
      <c r="I211" s="2"/>
      <c r="J211" s="100">
        <f t="shared" si="20"/>
        <v>0</v>
      </c>
      <c r="K211" s="2"/>
      <c r="L211" s="2"/>
      <c r="M211" s="2"/>
      <c r="N211" s="2"/>
      <c r="O211" s="2"/>
      <c r="P211" s="105">
        <f t="shared" si="21"/>
        <v>10156000</v>
      </c>
      <c r="Q211" s="73"/>
      <c r="R211" s="63"/>
    </row>
    <row r="212" spans="1:18" s="47" customFormat="1" ht="15">
      <c r="A212" s="51"/>
      <c r="B212" s="18" t="s">
        <v>122</v>
      </c>
      <c r="C212" s="72" t="s">
        <v>51</v>
      </c>
      <c r="D212" s="8" t="s">
        <v>123</v>
      </c>
      <c r="E212" s="104">
        <f t="shared" si="22"/>
        <v>1722340</v>
      </c>
      <c r="F212" s="2">
        <f>F213</f>
        <v>1722340</v>
      </c>
      <c r="G212" s="2"/>
      <c r="H212" s="2"/>
      <c r="I212" s="2"/>
      <c r="J212" s="100">
        <f t="shared" si="20"/>
        <v>0</v>
      </c>
      <c r="K212" s="2"/>
      <c r="L212" s="2"/>
      <c r="M212" s="2"/>
      <c r="N212" s="2"/>
      <c r="O212" s="2"/>
      <c r="P212" s="105">
        <f t="shared" si="21"/>
        <v>1722340</v>
      </c>
      <c r="Q212" s="73"/>
      <c r="R212" s="63"/>
    </row>
    <row r="213" spans="1:18" s="47" customFormat="1" ht="105">
      <c r="A213" s="51"/>
      <c r="B213" s="18"/>
      <c r="C213" s="72"/>
      <c r="D213" s="57" t="s">
        <v>281</v>
      </c>
      <c r="E213" s="104">
        <f t="shared" si="22"/>
        <v>1722340</v>
      </c>
      <c r="F213" s="2">
        <v>1722340</v>
      </c>
      <c r="G213" s="2"/>
      <c r="H213" s="2"/>
      <c r="I213" s="2"/>
      <c r="J213" s="100">
        <f t="shared" si="20"/>
        <v>0</v>
      </c>
      <c r="K213" s="2"/>
      <c r="L213" s="2"/>
      <c r="M213" s="2"/>
      <c r="N213" s="2"/>
      <c r="O213" s="2"/>
      <c r="P213" s="105">
        <f t="shared" si="21"/>
        <v>1722340</v>
      </c>
      <c r="Q213" s="73"/>
      <c r="R213" s="63"/>
    </row>
    <row r="214" spans="1:18" s="47" customFormat="1" ht="15">
      <c r="A214" s="51"/>
      <c r="B214" s="18" t="s">
        <v>124</v>
      </c>
      <c r="C214" s="72" t="s">
        <v>51</v>
      </c>
      <c r="D214" s="8" t="s">
        <v>125</v>
      </c>
      <c r="E214" s="104">
        <f t="shared" si="22"/>
        <v>50500</v>
      </c>
      <c r="F214" s="2">
        <f>F215</f>
        <v>50500</v>
      </c>
      <c r="G214" s="2"/>
      <c r="H214" s="2"/>
      <c r="I214" s="2"/>
      <c r="J214" s="100">
        <f t="shared" si="20"/>
        <v>0</v>
      </c>
      <c r="K214" s="2"/>
      <c r="L214" s="2"/>
      <c r="M214" s="2"/>
      <c r="N214" s="2"/>
      <c r="O214" s="2"/>
      <c r="P214" s="105">
        <f t="shared" si="21"/>
        <v>50500</v>
      </c>
      <c r="Q214" s="73"/>
      <c r="R214" s="63"/>
    </row>
    <row r="215" spans="1:18" s="47" customFormat="1" ht="105">
      <c r="A215" s="51"/>
      <c r="B215" s="18"/>
      <c r="C215" s="72"/>
      <c r="D215" s="57" t="s">
        <v>281</v>
      </c>
      <c r="E215" s="104">
        <f t="shared" si="22"/>
        <v>50500</v>
      </c>
      <c r="F215" s="2">
        <v>50500</v>
      </c>
      <c r="G215" s="2"/>
      <c r="H215" s="2"/>
      <c r="I215" s="2"/>
      <c r="J215" s="100">
        <f t="shared" si="20"/>
        <v>0</v>
      </c>
      <c r="K215" s="2"/>
      <c r="L215" s="2"/>
      <c r="M215" s="2"/>
      <c r="N215" s="2"/>
      <c r="O215" s="2"/>
      <c r="P215" s="105">
        <f t="shared" si="21"/>
        <v>50500</v>
      </c>
      <c r="Q215" s="73"/>
      <c r="R215" s="63"/>
    </row>
    <row r="216" spans="1:18" s="47" customFormat="1" ht="30">
      <c r="A216" s="51"/>
      <c r="B216" s="18" t="s">
        <v>126</v>
      </c>
      <c r="C216" s="72" t="s">
        <v>51</v>
      </c>
      <c r="D216" s="8" t="s">
        <v>127</v>
      </c>
      <c r="E216" s="104">
        <f t="shared" si="22"/>
        <v>13031500</v>
      </c>
      <c r="F216" s="2">
        <f>F217</f>
        <v>13031500</v>
      </c>
      <c r="G216" s="2"/>
      <c r="H216" s="2"/>
      <c r="I216" s="2"/>
      <c r="J216" s="100">
        <f t="shared" si="20"/>
        <v>0</v>
      </c>
      <c r="K216" s="2"/>
      <c r="L216" s="2"/>
      <c r="M216" s="2"/>
      <c r="N216" s="2"/>
      <c r="O216" s="2"/>
      <c r="P216" s="105">
        <f t="shared" si="21"/>
        <v>13031500</v>
      </c>
      <c r="Q216" s="73"/>
      <c r="R216" s="63"/>
    </row>
    <row r="217" spans="1:18" s="47" customFormat="1" ht="105">
      <c r="A217" s="51"/>
      <c r="B217" s="18"/>
      <c r="C217" s="72"/>
      <c r="D217" s="57" t="s">
        <v>281</v>
      </c>
      <c r="E217" s="104">
        <f t="shared" si="22"/>
        <v>13031500</v>
      </c>
      <c r="F217" s="2">
        <f>14109000-1077500</f>
        <v>13031500</v>
      </c>
      <c r="G217" s="2"/>
      <c r="H217" s="2"/>
      <c r="I217" s="2"/>
      <c r="J217" s="100">
        <f t="shared" si="20"/>
        <v>0</v>
      </c>
      <c r="K217" s="2"/>
      <c r="L217" s="2"/>
      <c r="M217" s="2"/>
      <c r="N217" s="2"/>
      <c r="O217" s="2"/>
      <c r="P217" s="105">
        <f t="shared" si="21"/>
        <v>13031500</v>
      </c>
      <c r="Q217" s="73"/>
      <c r="R217" s="63"/>
    </row>
    <row r="218" spans="1:18" s="47" customFormat="1" ht="30">
      <c r="A218" s="51"/>
      <c r="B218" s="18" t="s">
        <v>129</v>
      </c>
      <c r="C218" s="72" t="s">
        <v>128</v>
      </c>
      <c r="D218" s="8" t="s">
        <v>130</v>
      </c>
      <c r="E218" s="104">
        <f t="shared" si="22"/>
        <v>40903000</v>
      </c>
      <c r="F218" s="2">
        <f>F219</f>
        <v>40903000</v>
      </c>
      <c r="G218" s="2"/>
      <c r="H218" s="2"/>
      <c r="I218" s="2"/>
      <c r="J218" s="100">
        <f t="shared" si="20"/>
        <v>0</v>
      </c>
      <c r="K218" s="2"/>
      <c r="L218" s="2"/>
      <c r="M218" s="2"/>
      <c r="N218" s="2"/>
      <c r="O218" s="2"/>
      <c r="P218" s="105">
        <f t="shared" si="21"/>
        <v>40903000</v>
      </c>
      <c r="Q218" s="73"/>
      <c r="R218" s="63"/>
    </row>
    <row r="219" spans="1:18" s="47" customFormat="1" ht="120">
      <c r="A219" s="51"/>
      <c r="B219" s="18"/>
      <c r="C219" s="72"/>
      <c r="D219" s="57" t="s">
        <v>283</v>
      </c>
      <c r="E219" s="104">
        <f t="shared" si="22"/>
        <v>40903000</v>
      </c>
      <c r="F219" s="2">
        <f>53000000-18234500+6300000-162500</f>
        <v>40903000</v>
      </c>
      <c r="G219" s="2"/>
      <c r="H219" s="2"/>
      <c r="I219" s="2"/>
      <c r="J219" s="100">
        <f t="shared" si="20"/>
        <v>0</v>
      </c>
      <c r="K219" s="2"/>
      <c r="L219" s="2"/>
      <c r="M219" s="2"/>
      <c r="N219" s="2"/>
      <c r="O219" s="2"/>
      <c r="P219" s="105">
        <f t="shared" si="21"/>
        <v>40903000</v>
      </c>
      <c r="Q219" s="73"/>
      <c r="R219" s="63"/>
    </row>
    <row r="220" spans="1:18" s="47" customFormat="1" ht="45">
      <c r="A220" s="51"/>
      <c r="B220" s="18" t="s">
        <v>131</v>
      </c>
      <c r="C220" s="72" t="s">
        <v>128</v>
      </c>
      <c r="D220" s="8" t="s">
        <v>132</v>
      </c>
      <c r="E220" s="104">
        <f t="shared" si="22"/>
        <v>15600</v>
      </c>
      <c r="F220" s="2">
        <f>F221</f>
        <v>15600</v>
      </c>
      <c r="G220" s="2"/>
      <c r="H220" s="2"/>
      <c r="I220" s="2"/>
      <c r="J220" s="100">
        <f t="shared" si="20"/>
        <v>0</v>
      </c>
      <c r="K220" s="2"/>
      <c r="L220" s="2"/>
      <c r="M220" s="2"/>
      <c r="N220" s="2"/>
      <c r="O220" s="2"/>
      <c r="P220" s="105">
        <f t="shared" si="21"/>
        <v>15600</v>
      </c>
      <c r="Q220" s="73"/>
      <c r="R220" s="63"/>
    </row>
    <row r="221" spans="1:18" s="47" customFormat="1" ht="74.25" customHeight="1">
      <c r="A221" s="51"/>
      <c r="B221" s="18"/>
      <c r="C221" s="72"/>
      <c r="D221" s="57" t="s">
        <v>285</v>
      </c>
      <c r="E221" s="104">
        <f t="shared" si="22"/>
        <v>15600</v>
      </c>
      <c r="F221" s="2">
        <f>9400+6200</f>
        <v>15600</v>
      </c>
      <c r="G221" s="2"/>
      <c r="H221" s="2"/>
      <c r="I221" s="2"/>
      <c r="J221" s="100">
        <f t="shared" si="20"/>
        <v>0</v>
      </c>
      <c r="K221" s="2"/>
      <c r="L221" s="2"/>
      <c r="M221" s="2"/>
      <c r="N221" s="2"/>
      <c r="O221" s="2"/>
      <c r="P221" s="105">
        <f t="shared" si="21"/>
        <v>15600</v>
      </c>
      <c r="Q221" s="73"/>
      <c r="R221" s="63"/>
    </row>
    <row r="222" spans="1:18" s="47" customFormat="1" ht="17.25" customHeight="1" hidden="1">
      <c r="A222" s="51"/>
      <c r="B222" s="18" t="s">
        <v>133</v>
      </c>
      <c r="C222" s="72" t="s">
        <v>128</v>
      </c>
      <c r="D222" s="8" t="s">
        <v>134</v>
      </c>
      <c r="E222" s="104">
        <f t="shared" si="22"/>
        <v>0</v>
      </c>
      <c r="F222" s="2">
        <f>F223</f>
        <v>0</v>
      </c>
      <c r="G222" s="2"/>
      <c r="H222" s="2"/>
      <c r="I222" s="2"/>
      <c r="J222" s="100">
        <f t="shared" si="20"/>
        <v>0</v>
      </c>
      <c r="K222" s="2"/>
      <c r="L222" s="2"/>
      <c r="M222" s="2"/>
      <c r="N222" s="2"/>
      <c r="O222" s="2"/>
      <c r="P222" s="105">
        <f t="shared" si="21"/>
        <v>0</v>
      </c>
      <c r="Q222" s="73"/>
      <c r="R222" s="63"/>
    </row>
    <row r="223" spans="1:18" s="47" customFormat="1" ht="23.25" customHeight="1" hidden="1">
      <c r="A223" s="51"/>
      <c r="B223" s="18"/>
      <c r="C223" s="72"/>
      <c r="D223" s="57" t="s">
        <v>283</v>
      </c>
      <c r="E223" s="104">
        <f t="shared" si="22"/>
        <v>0</v>
      </c>
      <c r="F223" s="2">
        <v>0</v>
      </c>
      <c r="G223" s="2"/>
      <c r="H223" s="2"/>
      <c r="I223" s="2"/>
      <c r="J223" s="100">
        <f t="shared" si="20"/>
        <v>0</v>
      </c>
      <c r="K223" s="2"/>
      <c r="L223" s="2"/>
      <c r="M223" s="2"/>
      <c r="N223" s="2"/>
      <c r="O223" s="2"/>
      <c r="P223" s="105">
        <f t="shared" si="21"/>
        <v>0</v>
      </c>
      <c r="Q223" s="73"/>
      <c r="R223" s="63"/>
    </row>
    <row r="224" spans="1:18" s="47" customFormat="1" ht="18" customHeight="1" hidden="1">
      <c r="A224" s="51"/>
      <c r="B224" s="18" t="s">
        <v>136</v>
      </c>
      <c r="C224" s="72" t="s">
        <v>135</v>
      </c>
      <c r="D224" s="8" t="s">
        <v>137</v>
      </c>
      <c r="E224" s="104">
        <f t="shared" si="22"/>
        <v>0</v>
      </c>
      <c r="F224" s="2"/>
      <c r="G224" s="2"/>
      <c r="H224" s="2"/>
      <c r="I224" s="2"/>
      <c r="J224" s="100">
        <f t="shared" si="20"/>
        <v>0</v>
      </c>
      <c r="K224" s="2"/>
      <c r="L224" s="2"/>
      <c r="M224" s="2"/>
      <c r="N224" s="2"/>
      <c r="O224" s="2"/>
      <c r="P224" s="105">
        <f t="shared" si="21"/>
        <v>0</v>
      </c>
      <c r="Q224" s="73"/>
      <c r="R224" s="63"/>
    </row>
    <row r="225" spans="1:18" s="47" customFormat="1" ht="30" customHeight="1" hidden="1">
      <c r="A225" s="51"/>
      <c r="B225" s="18"/>
      <c r="C225" s="72"/>
      <c r="D225" s="8" t="s">
        <v>298</v>
      </c>
      <c r="E225" s="104">
        <f t="shared" si="22"/>
        <v>0</v>
      </c>
      <c r="F225" s="2"/>
      <c r="G225" s="2"/>
      <c r="H225" s="2"/>
      <c r="I225" s="2"/>
      <c r="J225" s="100">
        <f t="shared" si="20"/>
        <v>0</v>
      </c>
      <c r="K225" s="2"/>
      <c r="L225" s="2"/>
      <c r="M225" s="2"/>
      <c r="N225" s="2"/>
      <c r="O225" s="2"/>
      <c r="P225" s="105">
        <f t="shared" si="21"/>
        <v>0</v>
      </c>
      <c r="Q225" s="73"/>
      <c r="R225" s="63"/>
    </row>
    <row r="226" spans="1:18" s="47" customFormat="1" ht="30">
      <c r="A226" s="51"/>
      <c r="B226" s="18" t="s">
        <v>139</v>
      </c>
      <c r="C226" s="72" t="s">
        <v>138</v>
      </c>
      <c r="D226" s="8" t="s">
        <v>140</v>
      </c>
      <c r="E226" s="104">
        <f t="shared" si="22"/>
        <v>2827500</v>
      </c>
      <c r="F226" s="2">
        <f>F227</f>
        <v>2827500</v>
      </c>
      <c r="G226" s="2"/>
      <c r="H226" s="2"/>
      <c r="I226" s="2"/>
      <c r="J226" s="100">
        <f t="shared" si="20"/>
        <v>0</v>
      </c>
      <c r="K226" s="2"/>
      <c r="L226" s="2"/>
      <c r="M226" s="2"/>
      <c r="N226" s="2"/>
      <c r="O226" s="2"/>
      <c r="P226" s="105">
        <f t="shared" si="21"/>
        <v>2827500</v>
      </c>
      <c r="Q226" s="73"/>
      <c r="R226" s="63"/>
    </row>
    <row r="227" spans="1:18" s="47" customFormat="1" ht="103.5" customHeight="1">
      <c r="A227" s="51"/>
      <c r="B227" s="18"/>
      <c r="C227" s="72"/>
      <c r="D227" s="57" t="s">
        <v>281</v>
      </c>
      <c r="E227" s="104">
        <f t="shared" si="22"/>
        <v>2827500</v>
      </c>
      <c r="F227" s="2">
        <v>2827500</v>
      </c>
      <c r="G227" s="2"/>
      <c r="H227" s="2"/>
      <c r="I227" s="2"/>
      <c r="J227" s="100">
        <f t="shared" si="20"/>
        <v>0</v>
      </c>
      <c r="K227" s="2"/>
      <c r="L227" s="2"/>
      <c r="M227" s="2"/>
      <c r="N227" s="2"/>
      <c r="O227" s="2"/>
      <c r="P227" s="105">
        <f t="shared" si="21"/>
        <v>2827500</v>
      </c>
      <c r="Q227" s="73"/>
      <c r="R227" s="63"/>
    </row>
    <row r="228" spans="1:18" s="47" customFormat="1" ht="0.75" customHeight="1" hidden="1">
      <c r="A228" s="51"/>
      <c r="B228" s="18" t="s">
        <v>141</v>
      </c>
      <c r="C228" s="72" t="s">
        <v>128</v>
      </c>
      <c r="D228" s="8" t="s">
        <v>142</v>
      </c>
      <c r="E228" s="104">
        <f t="shared" si="22"/>
        <v>0</v>
      </c>
      <c r="F228" s="2">
        <f>F229</f>
        <v>0</v>
      </c>
      <c r="G228" s="2"/>
      <c r="H228" s="2"/>
      <c r="I228" s="2"/>
      <c r="J228" s="100">
        <f t="shared" si="20"/>
        <v>0</v>
      </c>
      <c r="K228" s="2"/>
      <c r="L228" s="2"/>
      <c r="M228" s="2"/>
      <c r="N228" s="2"/>
      <c r="O228" s="2"/>
      <c r="P228" s="105">
        <f t="shared" si="21"/>
        <v>0</v>
      </c>
      <c r="Q228" s="73"/>
      <c r="R228" s="63"/>
    </row>
    <row r="229" spans="1:18" s="47" customFormat="1" ht="36.75" customHeight="1" hidden="1">
      <c r="A229" s="51"/>
      <c r="B229" s="18"/>
      <c r="C229" s="72"/>
      <c r="D229" s="57" t="s">
        <v>285</v>
      </c>
      <c r="E229" s="104">
        <f t="shared" si="22"/>
        <v>0</v>
      </c>
      <c r="F229" s="2">
        <v>0</v>
      </c>
      <c r="G229" s="2"/>
      <c r="H229" s="2"/>
      <c r="I229" s="2"/>
      <c r="J229" s="100">
        <f t="shared" si="20"/>
        <v>0</v>
      </c>
      <c r="K229" s="2"/>
      <c r="L229" s="2"/>
      <c r="M229" s="2"/>
      <c r="N229" s="2"/>
      <c r="O229" s="2"/>
      <c r="P229" s="105">
        <f t="shared" si="21"/>
        <v>0</v>
      </c>
      <c r="Q229" s="73"/>
      <c r="R229" s="63"/>
    </row>
    <row r="230" spans="1:18" s="47" customFormat="1" ht="90">
      <c r="A230" s="51"/>
      <c r="B230" s="18" t="s">
        <v>143</v>
      </c>
      <c r="C230" s="72" t="s">
        <v>138</v>
      </c>
      <c r="D230" s="8" t="s">
        <v>144</v>
      </c>
      <c r="E230" s="104">
        <f t="shared" si="22"/>
        <v>377260</v>
      </c>
      <c r="F230" s="2">
        <v>377260</v>
      </c>
      <c r="G230" s="2"/>
      <c r="H230" s="2"/>
      <c r="I230" s="2"/>
      <c r="J230" s="100">
        <f t="shared" si="20"/>
        <v>0</v>
      </c>
      <c r="K230" s="2"/>
      <c r="L230" s="2"/>
      <c r="M230" s="2"/>
      <c r="N230" s="2"/>
      <c r="O230" s="2"/>
      <c r="P230" s="105">
        <f t="shared" si="21"/>
        <v>377260</v>
      </c>
      <c r="Q230" s="73"/>
      <c r="R230" s="63"/>
    </row>
    <row r="231" spans="1:18" s="47" customFormat="1" ht="87.75" customHeight="1">
      <c r="A231" s="51"/>
      <c r="B231" s="18" t="s">
        <v>145</v>
      </c>
      <c r="C231" s="72" t="s">
        <v>128</v>
      </c>
      <c r="D231" s="8" t="s">
        <v>146</v>
      </c>
      <c r="E231" s="104">
        <f t="shared" si="22"/>
        <v>1271355</v>
      </c>
      <c r="F231" s="2">
        <f>1271100+255</f>
        <v>1271355</v>
      </c>
      <c r="G231" s="2"/>
      <c r="H231" s="2"/>
      <c r="I231" s="2"/>
      <c r="J231" s="100">
        <f t="shared" si="20"/>
        <v>0</v>
      </c>
      <c r="K231" s="2"/>
      <c r="L231" s="2"/>
      <c r="M231" s="2"/>
      <c r="N231" s="2"/>
      <c r="O231" s="2"/>
      <c r="P231" s="105">
        <f t="shared" si="21"/>
        <v>1271355</v>
      </c>
      <c r="Q231" s="73"/>
      <c r="R231" s="63"/>
    </row>
    <row r="232" spans="1:18" s="47" customFormat="1" ht="1.5" customHeight="1" hidden="1">
      <c r="A232" s="51"/>
      <c r="B232" s="18" t="s">
        <v>147</v>
      </c>
      <c r="C232" s="72" t="s">
        <v>91</v>
      </c>
      <c r="D232" s="8" t="s">
        <v>148</v>
      </c>
      <c r="E232" s="104">
        <f t="shared" si="22"/>
        <v>0</v>
      </c>
      <c r="F232" s="2"/>
      <c r="G232" s="2"/>
      <c r="H232" s="2"/>
      <c r="I232" s="2"/>
      <c r="J232" s="100">
        <f t="shared" si="20"/>
        <v>0</v>
      </c>
      <c r="K232" s="2"/>
      <c r="L232" s="2"/>
      <c r="M232" s="2"/>
      <c r="N232" s="2"/>
      <c r="O232" s="2"/>
      <c r="P232" s="105">
        <f t="shared" si="21"/>
        <v>0</v>
      </c>
      <c r="Q232" s="73"/>
      <c r="R232" s="63"/>
    </row>
    <row r="233" spans="1:18" s="47" customFormat="1" ht="27" customHeight="1" hidden="1">
      <c r="A233" s="51"/>
      <c r="B233" s="18" t="s">
        <v>149</v>
      </c>
      <c r="C233" s="72" t="s">
        <v>135</v>
      </c>
      <c r="D233" s="8" t="s">
        <v>150</v>
      </c>
      <c r="E233" s="104">
        <f t="shared" si="22"/>
        <v>0</v>
      </c>
      <c r="F233" s="2">
        <v>0</v>
      </c>
      <c r="G233" s="2">
        <v>0</v>
      </c>
      <c r="H233" s="2">
        <v>0</v>
      </c>
      <c r="I233" s="2"/>
      <c r="J233" s="100">
        <f t="shared" si="20"/>
        <v>0</v>
      </c>
      <c r="K233" s="2"/>
      <c r="L233" s="2"/>
      <c r="M233" s="2"/>
      <c r="N233" s="2"/>
      <c r="O233" s="2"/>
      <c r="P233" s="105">
        <f t="shared" si="21"/>
        <v>0</v>
      </c>
      <c r="Q233" s="73"/>
      <c r="R233" s="63"/>
    </row>
    <row r="234" spans="1:18" s="47" customFormat="1" ht="30">
      <c r="A234" s="51"/>
      <c r="B234" s="18" t="s">
        <v>151</v>
      </c>
      <c r="C234" s="72" t="s">
        <v>138</v>
      </c>
      <c r="D234" s="8" t="s">
        <v>152</v>
      </c>
      <c r="E234" s="104">
        <f t="shared" si="22"/>
        <v>9679300</v>
      </c>
      <c r="F234" s="2">
        <f>F235</f>
        <v>9679300</v>
      </c>
      <c r="G234" s="2"/>
      <c r="H234" s="2"/>
      <c r="I234" s="2"/>
      <c r="J234" s="100">
        <f t="shared" si="20"/>
        <v>0</v>
      </c>
      <c r="K234" s="2"/>
      <c r="L234" s="2"/>
      <c r="M234" s="2"/>
      <c r="N234" s="2"/>
      <c r="O234" s="2"/>
      <c r="P234" s="105">
        <f t="shared" si="21"/>
        <v>9679300</v>
      </c>
      <c r="Q234" s="73"/>
      <c r="R234" s="63"/>
    </row>
    <row r="235" spans="1:18" s="47" customFormat="1" ht="105">
      <c r="A235" s="51"/>
      <c r="B235" s="18"/>
      <c r="C235" s="72"/>
      <c r="D235" s="57" t="s">
        <v>281</v>
      </c>
      <c r="E235" s="104">
        <f t="shared" si="22"/>
        <v>9679300</v>
      </c>
      <c r="F235" s="2">
        <f>9707800-98500+70000</f>
        <v>9679300</v>
      </c>
      <c r="G235" s="2"/>
      <c r="H235" s="2"/>
      <c r="I235" s="2"/>
      <c r="J235" s="100">
        <f t="shared" si="20"/>
        <v>0</v>
      </c>
      <c r="K235" s="2"/>
      <c r="L235" s="2"/>
      <c r="M235" s="2"/>
      <c r="N235" s="2"/>
      <c r="O235" s="2"/>
      <c r="P235" s="105">
        <f t="shared" si="21"/>
        <v>9679300</v>
      </c>
      <c r="Q235" s="73"/>
      <c r="R235" s="63"/>
    </row>
    <row r="236" spans="1:18" s="59" customFormat="1" ht="21.75" customHeight="1">
      <c r="A236" s="51"/>
      <c r="B236" s="48">
        <v>90412</v>
      </c>
      <c r="C236" s="48">
        <v>1090</v>
      </c>
      <c r="D236" s="57" t="s">
        <v>137</v>
      </c>
      <c r="E236" s="105">
        <f>SUM(F236,I236)</f>
        <v>16240</v>
      </c>
      <c r="F236" s="114">
        <v>16240</v>
      </c>
      <c r="G236" s="114"/>
      <c r="H236" s="114"/>
      <c r="I236" s="114"/>
      <c r="J236" s="105">
        <f>SUM(K236,N236)</f>
        <v>0</v>
      </c>
      <c r="K236" s="114"/>
      <c r="L236" s="114"/>
      <c r="M236" s="114"/>
      <c r="N236" s="114"/>
      <c r="O236" s="114"/>
      <c r="P236" s="105">
        <f t="shared" si="21"/>
        <v>16240</v>
      </c>
      <c r="Q236" s="128"/>
      <c r="R236" s="63"/>
    </row>
    <row r="237" spans="1:18" s="59" customFormat="1" ht="30">
      <c r="A237" s="51"/>
      <c r="B237" s="48">
        <v>91209</v>
      </c>
      <c r="C237" s="48">
        <v>1030</v>
      </c>
      <c r="D237" s="57" t="s">
        <v>327</v>
      </c>
      <c r="E237" s="105">
        <f>SUM(F237,I237)</f>
        <v>50000</v>
      </c>
      <c r="F237" s="114">
        <f>13540+36460</f>
        <v>50000</v>
      </c>
      <c r="G237" s="114"/>
      <c r="H237" s="114"/>
      <c r="I237" s="114"/>
      <c r="J237" s="105">
        <f>SUM(K237,N237)</f>
        <v>0</v>
      </c>
      <c r="K237" s="114"/>
      <c r="L237" s="114"/>
      <c r="M237" s="114"/>
      <c r="N237" s="114"/>
      <c r="O237" s="114"/>
      <c r="P237" s="105">
        <f t="shared" si="21"/>
        <v>50000</v>
      </c>
      <c r="Q237" s="128"/>
      <c r="R237" s="63"/>
    </row>
    <row r="238" spans="1:18" s="59" customFormat="1" ht="29.25" customHeight="1">
      <c r="A238" s="51"/>
      <c r="B238" s="48" t="s">
        <v>328</v>
      </c>
      <c r="C238" s="48" t="s">
        <v>329</v>
      </c>
      <c r="D238" s="57" t="s">
        <v>330</v>
      </c>
      <c r="E238" s="105">
        <f>SUM(F238,I238)</f>
        <v>4291350</v>
      </c>
      <c r="F238" s="114">
        <f>4666870-425520+50000</f>
        <v>4291350</v>
      </c>
      <c r="G238" s="114">
        <v>2975670</v>
      </c>
      <c r="H238" s="114">
        <v>391000</v>
      </c>
      <c r="I238" s="114"/>
      <c r="J238" s="105">
        <f>SUM(K238,N238)</f>
        <v>41199</v>
      </c>
      <c r="K238" s="114">
        <v>34000</v>
      </c>
      <c r="L238" s="114">
        <v>24200</v>
      </c>
      <c r="M238" s="114"/>
      <c r="N238" s="114">
        <v>7199</v>
      </c>
      <c r="O238" s="114">
        <v>7199</v>
      </c>
      <c r="P238" s="105">
        <f t="shared" si="21"/>
        <v>4332549</v>
      </c>
      <c r="Q238" s="128"/>
      <c r="R238" s="64">
        <f>SUM(R241:R242)</f>
        <v>151490166</v>
      </c>
    </row>
    <row r="239" spans="1:18" s="76" customFormat="1" ht="19.5" customHeight="1" hidden="1">
      <c r="A239" s="51"/>
      <c r="B239" s="65">
        <v>250404</v>
      </c>
      <c r="C239" s="75" t="s">
        <v>195</v>
      </c>
      <c r="D239" s="2" t="s">
        <v>59</v>
      </c>
      <c r="E239" s="100">
        <f>F239</f>
        <v>0</v>
      </c>
      <c r="F239" s="2"/>
      <c r="G239" s="2"/>
      <c r="H239" s="2"/>
      <c r="I239" s="2"/>
      <c r="J239" s="100">
        <f>K239+N239</f>
        <v>0</v>
      </c>
      <c r="K239" s="2"/>
      <c r="L239" s="2"/>
      <c r="M239" s="2"/>
      <c r="N239" s="2"/>
      <c r="O239" s="2"/>
      <c r="P239" s="105">
        <f t="shared" si="21"/>
        <v>0</v>
      </c>
      <c r="Q239" s="66"/>
      <c r="R239" s="63"/>
    </row>
    <row r="240" spans="1:18" s="62" customFormat="1" ht="30">
      <c r="A240" s="53" t="s">
        <v>331</v>
      </c>
      <c r="B240" s="54"/>
      <c r="C240" s="61"/>
      <c r="D240" s="141" t="s">
        <v>367</v>
      </c>
      <c r="E240" s="1">
        <f>F240+I240</f>
        <v>151490166</v>
      </c>
      <c r="F240" s="1">
        <f>F241+F242+F244+F246+F248+F250+F253+F255+F257+F259+F261+F263+F265+F267+F269+F271+F273+F275+F277+F279+F281+F283+F285+F287+F289+F291+F293+F295+F296+F297+F298+F299+F301+F302+F303+F304</f>
        <v>151490166</v>
      </c>
      <c r="G240" s="1">
        <f>G241+G242+G244+G246+G248+G250+G253+G255+G257+G259+G261+G263+G265+G267+G269+G271+G273+G275+G277+G279+G281+G283+G285+G287+G289+G291+G293+G295+G296+G297+G298+G299+G301+G302+G303+G304</f>
        <v>7262084</v>
      </c>
      <c r="H240" s="1">
        <f>H241+H242+H244+H246+H248+H250+H253+H255+H257+H259+H261+H263+H265+H267+H269+H271+H273+H275+H277+H279+H281+H283+H285+H287+H289+H291+H293+H295+H296+H297+H298+H299+H301+H302+H303+H304</f>
        <v>456321</v>
      </c>
      <c r="I240" s="1">
        <f>I241+I242+I244+I246+I248+I250+I253+I255+I257+I259+I261+I263+I265+I267+I269+I271+I273+I275+I277+I279+I281+I283+I285+I287+I289+I291+I293+I295+I296+I297+I298+I299+I301+I302+I303+I304</f>
        <v>0</v>
      </c>
      <c r="J240" s="1">
        <f aca="true" t="shared" si="23" ref="J240:J303">K240+N240</f>
        <v>316900</v>
      </c>
      <c r="K240" s="1">
        <f>K241+K242+K244+K246+K248+K250+K253+K255+K257+K259+K261+K263+K265+K267+K269+K271+K273+K275+K277+K279+K281+K283+K285+K287+K289+K291+K293+K295+K296+K297+K298+K299+K301+K302+K303+K304</f>
        <v>41900</v>
      </c>
      <c r="L240" s="1">
        <f>L241+L242+L244+L246+L248+L250+L253+L255+L257+L259+L261+L263+L265+L267+L269+L271+L273+L275+L277+L279+L281+L283+L285+L287+L289+L291+L293+L295+L296+L297+L298+L299+L301+L302+L303+L304</f>
        <v>26700</v>
      </c>
      <c r="M240" s="1">
        <f>M241+M242+M244+M246+M248+M250+M253+M255+M257+M259+M261+M263+M265+M267+M269+M271+M273+M275+M277+M279+M281+M283+M285+M287+M289+M291+M293+M295+M296+M297+M298+M299+M301+M302+M303+M304</f>
        <v>0</v>
      </c>
      <c r="N240" s="1">
        <f>N241+N242+N244+N246+N248+N250+N253+N255+N257+N259+N261+N263+N265+N267+N269+N271+N273+N275+N277+N279+N281+N283+N285+N287+N289+N291+N293+N295+N296+N297+N298+N299+N301+N302+N303+N304</f>
        <v>275000</v>
      </c>
      <c r="O240" s="1">
        <f>O241+O242+O244+O246+O248+O250+O253+O255+O257+O259+O261+O263+O265+O267+O269+O271+O273+O275+O277+O279+O281+O283+O285+O287+O289+O291+O293+O295+O296+O297+O298+O299+O301+O302+O303+O304</f>
        <v>275000</v>
      </c>
      <c r="P240" s="1">
        <f>E240+J240</f>
        <v>151807066</v>
      </c>
      <c r="Q240" s="1">
        <f>Q241+Q242+Q244+Q246+Q248+Q250+Q253+Q255+Q257+Q259+Q261+Q263+Q265+Q267+Q269+Q271+Q273+Q275+Q277+Q279+Q281+Q283+Q285+Q287+Q289+Q291+Q293+Q295+Q296+Q297+Q298+Q299+Q301+Q302+Q303+Q304</f>
        <v>0</v>
      </c>
      <c r="R240" s="63">
        <f>43162931.33</f>
        <v>43162931.33</v>
      </c>
    </row>
    <row r="241" spans="1:18" s="62" customFormat="1" ht="15">
      <c r="A241" s="51"/>
      <c r="B241" s="18" t="s">
        <v>19</v>
      </c>
      <c r="C241" s="7" t="s">
        <v>18</v>
      </c>
      <c r="D241" s="8" t="s">
        <v>20</v>
      </c>
      <c r="E241" s="100">
        <f>F241+I241</f>
        <v>6129768</v>
      </c>
      <c r="F241" s="2">
        <f>6368529-624132+385371</f>
        <v>6129768</v>
      </c>
      <c r="G241" s="2">
        <f>4364555+315878</f>
        <v>4680433</v>
      </c>
      <c r="H241" s="2">
        <v>326541</v>
      </c>
      <c r="I241" s="2"/>
      <c r="J241" s="100">
        <f t="shared" si="23"/>
        <v>275000</v>
      </c>
      <c r="K241" s="2"/>
      <c r="L241" s="2"/>
      <c r="M241" s="2"/>
      <c r="N241" s="2">
        <v>275000</v>
      </c>
      <c r="O241" s="2">
        <v>275000</v>
      </c>
      <c r="P241" s="100">
        <f>E241+J241</f>
        <v>6404768</v>
      </c>
      <c r="Q241" s="49"/>
      <c r="R241" s="63">
        <f>SUM(F242,F244,F246,F248,F250,F253,F257,F261,F263,F265,F267,F269,F271,F273,F275,F277,F279,F281,F283,F285,F287,F291,F295,F296,F299,F304)</f>
        <v>141829898</v>
      </c>
    </row>
    <row r="242" spans="1:18" s="77" customFormat="1" ht="30">
      <c r="A242" s="51"/>
      <c r="B242" s="18" t="s">
        <v>89</v>
      </c>
      <c r="C242" s="72" t="s">
        <v>26</v>
      </c>
      <c r="D242" s="8" t="s">
        <v>90</v>
      </c>
      <c r="E242" s="104">
        <f>F242++I242</f>
        <v>1714080</v>
      </c>
      <c r="F242" s="2">
        <f>F243</f>
        <v>1714080</v>
      </c>
      <c r="G242" s="2"/>
      <c r="H242" s="2"/>
      <c r="I242" s="2"/>
      <c r="J242" s="100">
        <f t="shared" si="23"/>
        <v>0</v>
      </c>
      <c r="K242" s="2"/>
      <c r="L242" s="2"/>
      <c r="M242" s="2"/>
      <c r="N242" s="2"/>
      <c r="O242" s="2"/>
      <c r="P242" s="100">
        <f aca="true" t="shared" si="24" ref="P242:P303">E242+J242</f>
        <v>1714080</v>
      </c>
      <c r="Q242" s="73"/>
      <c r="R242" s="76">
        <f>SUM(E241,E301:E303)</f>
        <v>9660268</v>
      </c>
    </row>
    <row r="243" spans="1:18" s="77" customFormat="1" ht="135">
      <c r="A243" s="51"/>
      <c r="B243" s="18"/>
      <c r="C243" s="72"/>
      <c r="D243" s="57" t="s">
        <v>282</v>
      </c>
      <c r="E243" s="104">
        <f>F243++I243</f>
        <v>1714080</v>
      </c>
      <c r="F243" s="2">
        <v>1714080</v>
      </c>
      <c r="G243" s="2"/>
      <c r="H243" s="2"/>
      <c r="I243" s="2"/>
      <c r="J243" s="100">
        <f t="shared" si="23"/>
        <v>0</v>
      </c>
      <c r="K243" s="2"/>
      <c r="L243" s="2"/>
      <c r="M243" s="2"/>
      <c r="N243" s="2"/>
      <c r="O243" s="2"/>
      <c r="P243" s="100">
        <f t="shared" si="24"/>
        <v>1714080</v>
      </c>
      <c r="Q243" s="73"/>
      <c r="R243" s="63"/>
    </row>
    <row r="244" spans="1:18" s="77" customFormat="1" ht="225">
      <c r="A244" s="51"/>
      <c r="B244" s="18" t="s">
        <v>92</v>
      </c>
      <c r="C244" s="72" t="s">
        <v>91</v>
      </c>
      <c r="D244" s="8" t="s">
        <v>93</v>
      </c>
      <c r="E244" s="104">
        <f aca="true" t="shared" si="25" ref="E244:E300">F244++I244</f>
        <v>9600000</v>
      </c>
      <c r="F244" s="2">
        <f>F245</f>
        <v>9600000</v>
      </c>
      <c r="G244" s="2"/>
      <c r="H244" s="2"/>
      <c r="I244" s="2"/>
      <c r="J244" s="100">
        <f t="shared" si="23"/>
        <v>0</v>
      </c>
      <c r="K244" s="2"/>
      <c r="L244" s="2"/>
      <c r="M244" s="2"/>
      <c r="N244" s="2"/>
      <c r="O244" s="2"/>
      <c r="P244" s="100">
        <f t="shared" si="24"/>
        <v>9600000</v>
      </c>
      <c r="Q244" s="73"/>
      <c r="R244" s="63"/>
    </row>
    <row r="245" spans="1:18" s="77" customFormat="1" ht="119.25" customHeight="1">
      <c r="A245" s="51"/>
      <c r="B245" s="18"/>
      <c r="C245" s="72"/>
      <c r="D245" s="57" t="s">
        <v>283</v>
      </c>
      <c r="E245" s="104">
        <f t="shared" si="25"/>
        <v>9600000</v>
      </c>
      <c r="F245" s="2">
        <f>10600000-1000000</f>
        <v>9600000</v>
      </c>
      <c r="G245" s="2"/>
      <c r="H245" s="2"/>
      <c r="I245" s="2"/>
      <c r="J245" s="100">
        <f t="shared" si="23"/>
        <v>0</v>
      </c>
      <c r="K245" s="2"/>
      <c r="L245" s="2"/>
      <c r="M245" s="2"/>
      <c r="N245" s="2"/>
      <c r="O245" s="2"/>
      <c r="P245" s="100">
        <f t="shared" si="24"/>
        <v>9600000</v>
      </c>
      <c r="Q245" s="73"/>
      <c r="R245" s="63"/>
    </row>
    <row r="246" spans="1:18" s="77" customFormat="1" ht="24.75" customHeight="1" hidden="1">
      <c r="A246" s="51"/>
      <c r="B246" s="18" t="s">
        <v>94</v>
      </c>
      <c r="C246" s="72" t="s">
        <v>91</v>
      </c>
      <c r="D246" s="8" t="s">
        <v>95</v>
      </c>
      <c r="E246" s="104">
        <f t="shared" si="25"/>
        <v>0</v>
      </c>
      <c r="F246" s="2">
        <f>F247</f>
        <v>0</v>
      </c>
      <c r="G246" s="2"/>
      <c r="H246" s="2"/>
      <c r="I246" s="2"/>
      <c r="J246" s="100">
        <f t="shared" si="23"/>
        <v>0</v>
      </c>
      <c r="K246" s="2"/>
      <c r="L246" s="2"/>
      <c r="M246" s="2"/>
      <c r="N246" s="2"/>
      <c r="O246" s="2"/>
      <c r="P246" s="100">
        <f t="shared" si="24"/>
        <v>0</v>
      </c>
      <c r="Q246" s="73"/>
      <c r="R246" s="63"/>
    </row>
    <row r="247" spans="1:18" s="77" customFormat="1" ht="36.75" customHeight="1" hidden="1">
      <c r="A247" s="51"/>
      <c r="B247" s="18"/>
      <c r="C247" s="72"/>
      <c r="D247" s="57" t="s">
        <v>285</v>
      </c>
      <c r="E247" s="104">
        <f t="shared" si="25"/>
        <v>0</v>
      </c>
      <c r="F247" s="2">
        <v>0</v>
      </c>
      <c r="G247" s="2"/>
      <c r="H247" s="2"/>
      <c r="I247" s="2"/>
      <c r="J247" s="100">
        <f t="shared" si="23"/>
        <v>0</v>
      </c>
      <c r="K247" s="2"/>
      <c r="L247" s="2"/>
      <c r="M247" s="2"/>
      <c r="N247" s="2"/>
      <c r="O247" s="2"/>
      <c r="P247" s="100">
        <f t="shared" si="24"/>
        <v>0</v>
      </c>
      <c r="Q247" s="73"/>
      <c r="R247" s="63"/>
    </row>
    <row r="248" spans="1:18" s="77" customFormat="1" ht="225">
      <c r="A248" s="51"/>
      <c r="B248" s="18" t="s">
        <v>96</v>
      </c>
      <c r="C248" s="72" t="s">
        <v>91</v>
      </c>
      <c r="D248" s="8" t="s">
        <v>97</v>
      </c>
      <c r="E248" s="104">
        <f t="shared" si="25"/>
        <v>0</v>
      </c>
      <c r="F248" s="2">
        <f>F249</f>
        <v>0</v>
      </c>
      <c r="G248" s="2"/>
      <c r="H248" s="2"/>
      <c r="I248" s="2"/>
      <c r="J248" s="100">
        <f t="shared" si="23"/>
        <v>0</v>
      </c>
      <c r="K248" s="2"/>
      <c r="L248" s="2"/>
      <c r="M248" s="2"/>
      <c r="N248" s="2">
        <f>N249</f>
        <v>0</v>
      </c>
      <c r="O248" s="2">
        <f>O249</f>
        <v>0</v>
      </c>
      <c r="P248" s="100">
        <f t="shared" si="24"/>
        <v>0</v>
      </c>
      <c r="Q248" s="66"/>
      <c r="R248" s="63"/>
    </row>
    <row r="249" spans="1:18" s="77" customFormat="1" ht="285">
      <c r="A249" s="51"/>
      <c r="B249" s="18"/>
      <c r="C249" s="72"/>
      <c r="D249" s="74" t="s">
        <v>284</v>
      </c>
      <c r="E249" s="104">
        <f t="shared" si="25"/>
        <v>0</v>
      </c>
      <c r="F249" s="2">
        <f>56800-56800</f>
        <v>0</v>
      </c>
      <c r="G249" s="2"/>
      <c r="H249" s="2"/>
      <c r="I249" s="2"/>
      <c r="J249" s="100">
        <f t="shared" si="23"/>
        <v>0</v>
      </c>
      <c r="K249" s="2"/>
      <c r="L249" s="2"/>
      <c r="M249" s="2"/>
      <c r="N249" s="2"/>
      <c r="O249" s="2"/>
      <c r="P249" s="100">
        <f t="shared" si="24"/>
        <v>0</v>
      </c>
      <c r="Q249" s="73"/>
      <c r="R249" s="63"/>
    </row>
    <row r="250" spans="1:18" s="77" customFormat="1" ht="360">
      <c r="A250" s="51"/>
      <c r="B250" s="18" t="s">
        <v>98</v>
      </c>
      <c r="C250" s="72" t="s">
        <v>91</v>
      </c>
      <c r="D250" s="8" t="s">
        <v>286</v>
      </c>
      <c r="E250" s="104">
        <f t="shared" si="25"/>
        <v>3500000</v>
      </c>
      <c r="F250" s="2">
        <f>F252</f>
        <v>3500000</v>
      </c>
      <c r="G250" s="2"/>
      <c r="H250" s="2"/>
      <c r="I250" s="2"/>
      <c r="J250" s="100">
        <f t="shared" si="23"/>
        <v>0</v>
      </c>
      <c r="K250" s="2"/>
      <c r="L250" s="2"/>
      <c r="M250" s="2"/>
      <c r="N250" s="2"/>
      <c r="O250" s="2"/>
      <c r="P250" s="100">
        <f t="shared" si="24"/>
        <v>3500000</v>
      </c>
      <c r="Q250" s="73"/>
      <c r="R250" s="63"/>
    </row>
    <row r="251" spans="1:18" s="77" customFormat="1" ht="330">
      <c r="A251" s="51"/>
      <c r="B251" s="18"/>
      <c r="C251" s="72"/>
      <c r="D251" s="8" t="s">
        <v>287</v>
      </c>
      <c r="E251" s="104"/>
      <c r="F251" s="2"/>
      <c r="G251" s="2"/>
      <c r="H251" s="2"/>
      <c r="I251" s="2"/>
      <c r="J251" s="100"/>
      <c r="K251" s="2"/>
      <c r="L251" s="2"/>
      <c r="M251" s="2"/>
      <c r="N251" s="2"/>
      <c r="O251" s="2"/>
      <c r="P251" s="100"/>
      <c r="Q251" s="73"/>
      <c r="R251" s="63"/>
    </row>
    <row r="252" spans="1:18" s="77" customFormat="1" ht="120">
      <c r="A252" s="51"/>
      <c r="B252" s="18"/>
      <c r="C252" s="7"/>
      <c r="D252" s="57" t="s">
        <v>283</v>
      </c>
      <c r="E252" s="100">
        <f t="shared" si="25"/>
        <v>3500000</v>
      </c>
      <c r="F252" s="2">
        <v>3500000</v>
      </c>
      <c r="G252" s="2"/>
      <c r="H252" s="2"/>
      <c r="I252" s="2"/>
      <c r="J252" s="100">
        <f t="shared" si="23"/>
        <v>0</v>
      </c>
      <c r="K252" s="2"/>
      <c r="L252" s="2"/>
      <c r="M252" s="2"/>
      <c r="N252" s="2"/>
      <c r="O252" s="2"/>
      <c r="P252" s="100">
        <f t="shared" si="24"/>
        <v>3500000</v>
      </c>
      <c r="Q252" s="73"/>
      <c r="R252" s="63"/>
    </row>
    <row r="253" spans="1:18" s="77" customFormat="1" ht="90">
      <c r="A253" s="51"/>
      <c r="B253" s="18" t="s">
        <v>100</v>
      </c>
      <c r="C253" s="72" t="s">
        <v>99</v>
      </c>
      <c r="D253" s="8" t="s">
        <v>101</v>
      </c>
      <c r="E253" s="104">
        <f t="shared" si="25"/>
        <v>3600000</v>
      </c>
      <c r="F253" s="2">
        <f>F254</f>
        <v>3600000</v>
      </c>
      <c r="G253" s="2"/>
      <c r="H253" s="2"/>
      <c r="I253" s="2"/>
      <c r="J253" s="100">
        <f t="shared" si="23"/>
        <v>0</v>
      </c>
      <c r="K253" s="2"/>
      <c r="L253" s="2"/>
      <c r="M253" s="2"/>
      <c r="N253" s="2"/>
      <c r="O253" s="2"/>
      <c r="P253" s="100">
        <f t="shared" si="24"/>
        <v>3600000</v>
      </c>
      <c r="Q253" s="73"/>
      <c r="R253" s="63"/>
    </row>
    <row r="254" spans="1:18" s="77" customFormat="1" ht="119.25" customHeight="1">
      <c r="A254" s="51"/>
      <c r="B254" s="18"/>
      <c r="C254" s="72"/>
      <c r="D254" s="57" t="s">
        <v>283</v>
      </c>
      <c r="E254" s="104">
        <f t="shared" si="25"/>
        <v>3600000</v>
      </c>
      <c r="F254" s="2">
        <f>3800000-200000</f>
        <v>3600000</v>
      </c>
      <c r="G254" s="2"/>
      <c r="H254" s="2"/>
      <c r="I254" s="2"/>
      <c r="J254" s="100">
        <f t="shared" si="23"/>
        <v>0</v>
      </c>
      <c r="K254" s="2"/>
      <c r="L254" s="2"/>
      <c r="M254" s="2"/>
      <c r="N254" s="2"/>
      <c r="O254" s="2"/>
      <c r="P254" s="100">
        <f t="shared" si="24"/>
        <v>3600000</v>
      </c>
      <c r="Q254" s="73"/>
      <c r="R254" s="63"/>
    </row>
    <row r="255" spans="1:18" s="77" customFormat="1" ht="1.5" customHeight="1" hidden="1">
      <c r="A255" s="51"/>
      <c r="B255" s="18" t="s">
        <v>255</v>
      </c>
      <c r="C255" s="72" t="s">
        <v>99</v>
      </c>
      <c r="D255" s="60" t="s">
        <v>256</v>
      </c>
      <c r="E255" s="104">
        <f t="shared" si="25"/>
        <v>0</v>
      </c>
      <c r="F255" s="2">
        <f>F256</f>
        <v>0</v>
      </c>
      <c r="G255" s="2"/>
      <c r="H255" s="2"/>
      <c r="I255" s="2"/>
      <c r="J255" s="100">
        <f t="shared" si="23"/>
        <v>0</v>
      </c>
      <c r="K255" s="2"/>
      <c r="L255" s="2"/>
      <c r="M255" s="2"/>
      <c r="N255" s="2"/>
      <c r="O255" s="2"/>
      <c r="P255" s="100">
        <f t="shared" si="24"/>
        <v>0</v>
      </c>
      <c r="Q255" s="73"/>
      <c r="R255" s="63"/>
    </row>
    <row r="256" spans="1:18" s="77" customFormat="1" ht="21.75" customHeight="1" hidden="1">
      <c r="A256" s="51"/>
      <c r="B256" s="18"/>
      <c r="C256" s="72"/>
      <c r="D256" s="57" t="s">
        <v>285</v>
      </c>
      <c r="E256" s="104">
        <f t="shared" si="25"/>
        <v>0</v>
      </c>
      <c r="F256" s="2">
        <v>0</v>
      </c>
      <c r="G256" s="2"/>
      <c r="H256" s="2"/>
      <c r="I256" s="2"/>
      <c r="J256" s="100">
        <f t="shared" si="23"/>
        <v>0</v>
      </c>
      <c r="K256" s="2"/>
      <c r="L256" s="2"/>
      <c r="M256" s="2"/>
      <c r="N256" s="2"/>
      <c r="O256" s="2"/>
      <c r="P256" s="100">
        <f t="shared" si="24"/>
        <v>0</v>
      </c>
      <c r="Q256" s="73"/>
      <c r="R256" s="63"/>
    </row>
    <row r="257" spans="1:18" s="77" customFormat="1" ht="75">
      <c r="A257" s="51"/>
      <c r="B257" s="18" t="s">
        <v>102</v>
      </c>
      <c r="C257" s="72" t="s">
        <v>99</v>
      </c>
      <c r="D257" s="8" t="s">
        <v>103</v>
      </c>
      <c r="E257" s="104">
        <f t="shared" si="25"/>
        <v>0</v>
      </c>
      <c r="F257" s="2">
        <f>F258</f>
        <v>0</v>
      </c>
      <c r="G257" s="2"/>
      <c r="H257" s="2"/>
      <c r="I257" s="2"/>
      <c r="J257" s="100">
        <f t="shared" si="23"/>
        <v>0</v>
      </c>
      <c r="K257" s="2"/>
      <c r="L257" s="2"/>
      <c r="M257" s="2"/>
      <c r="N257" s="2"/>
      <c r="O257" s="2"/>
      <c r="P257" s="100">
        <f t="shared" si="24"/>
        <v>0</v>
      </c>
      <c r="Q257" s="73"/>
      <c r="R257" s="63"/>
    </row>
    <row r="258" spans="1:18" s="77" customFormat="1" ht="285">
      <c r="A258" s="51"/>
      <c r="B258" s="18"/>
      <c r="C258" s="72"/>
      <c r="D258" s="74" t="s">
        <v>284</v>
      </c>
      <c r="E258" s="104">
        <f t="shared" si="25"/>
        <v>0</v>
      </c>
      <c r="F258" s="2">
        <f>20000-20000</f>
        <v>0</v>
      </c>
      <c r="G258" s="2"/>
      <c r="H258" s="2"/>
      <c r="I258" s="2"/>
      <c r="J258" s="100">
        <f t="shared" si="23"/>
        <v>0</v>
      </c>
      <c r="K258" s="2"/>
      <c r="L258" s="2"/>
      <c r="M258" s="2"/>
      <c r="N258" s="2"/>
      <c r="O258" s="2"/>
      <c r="P258" s="100">
        <f t="shared" si="24"/>
        <v>0</v>
      </c>
      <c r="Q258" s="73"/>
      <c r="R258" s="63"/>
    </row>
    <row r="259" spans="1:18" s="77" customFormat="1" ht="0.75" customHeight="1" hidden="1">
      <c r="A259" s="51"/>
      <c r="B259" s="18" t="s">
        <v>104</v>
      </c>
      <c r="C259" s="72" t="s">
        <v>99</v>
      </c>
      <c r="D259" s="8" t="s">
        <v>105</v>
      </c>
      <c r="E259" s="104">
        <f t="shared" si="25"/>
        <v>0</v>
      </c>
      <c r="F259" s="2">
        <f>F260</f>
        <v>0</v>
      </c>
      <c r="G259" s="2"/>
      <c r="H259" s="2"/>
      <c r="I259" s="2"/>
      <c r="J259" s="100">
        <f t="shared" si="23"/>
        <v>0</v>
      </c>
      <c r="K259" s="2"/>
      <c r="L259" s="2"/>
      <c r="M259" s="2"/>
      <c r="N259" s="2"/>
      <c r="O259" s="2"/>
      <c r="P259" s="100">
        <f t="shared" si="24"/>
        <v>0</v>
      </c>
      <c r="Q259" s="73"/>
      <c r="R259" s="63"/>
    </row>
    <row r="260" spans="1:18" s="77" customFormat="1" ht="21.75" customHeight="1" hidden="1">
      <c r="A260" s="51"/>
      <c r="B260" s="18"/>
      <c r="C260" s="72"/>
      <c r="D260" s="57" t="s">
        <v>283</v>
      </c>
      <c r="E260" s="104">
        <f t="shared" si="25"/>
        <v>0</v>
      </c>
      <c r="F260" s="2">
        <v>0</v>
      </c>
      <c r="G260" s="2"/>
      <c r="H260" s="2"/>
      <c r="I260" s="2"/>
      <c r="J260" s="100">
        <f t="shared" si="23"/>
        <v>0</v>
      </c>
      <c r="K260" s="2"/>
      <c r="L260" s="2"/>
      <c r="M260" s="2"/>
      <c r="N260" s="2"/>
      <c r="O260" s="2"/>
      <c r="P260" s="100">
        <f t="shared" si="24"/>
        <v>0</v>
      </c>
      <c r="Q260" s="73"/>
      <c r="R260" s="63"/>
    </row>
    <row r="261" spans="1:18" s="77" customFormat="1" ht="30">
      <c r="A261" s="51"/>
      <c r="B261" s="18" t="s">
        <v>106</v>
      </c>
      <c r="C261" s="72" t="s">
        <v>99</v>
      </c>
      <c r="D261" s="8" t="s">
        <v>107</v>
      </c>
      <c r="E261" s="104">
        <f t="shared" si="25"/>
        <v>0</v>
      </c>
      <c r="F261" s="2">
        <f>F262</f>
        <v>0</v>
      </c>
      <c r="G261" s="2"/>
      <c r="H261" s="2"/>
      <c r="I261" s="2"/>
      <c r="J261" s="100">
        <f t="shared" si="23"/>
        <v>0</v>
      </c>
      <c r="K261" s="2"/>
      <c r="L261" s="2"/>
      <c r="M261" s="2"/>
      <c r="N261" s="2"/>
      <c r="O261" s="2"/>
      <c r="P261" s="100">
        <f t="shared" si="24"/>
        <v>0</v>
      </c>
      <c r="Q261" s="73"/>
      <c r="R261" s="63"/>
    </row>
    <row r="262" spans="1:18" s="77" customFormat="1" ht="285">
      <c r="A262" s="51"/>
      <c r="B262" s="18"/>
      <c r="C262" s="72"/>
      <c r="D262" s="74" t="s">
        <v>284</v>
      </c>
      <c r="E262" s="104">
        <f t="shared" si="25"/>
        <v>0</v>
      </c>
      <c r="F262" s="2">
        <f>360000-360000</f>
        <v>0</v>
      </c>
      <c r="G262" s="2"/>
      <c r="H262" s="2"/>
      <c r="I262" s="2"/>
      <c r="J262" s="100">
        <f t="shared" si="23"/>
        <v>0</v>
      </c>
      <c r="K262" s="2"/>
      <c r="L262" s="2"/>
      <c r="M262" s="2"/>
      <c r="N262" s="2"/>
      <c r="O262" s="2"/>
      <c r="P262" s="100">
        <f t="shared" si="24"/>
        <v>0</v>
      </c>
      <c r="Q262" s="73"/>
      <c r="R262" s="63"/>
    </row>
    <row r="263" spans="1:18" s="77" customFormat="1" ht="120">
      <c r="A263" s="51"/>
      <c r="B263" s="18" t="s">
        <v>108</v>
      </c>
      <c r="C263" s="72" t="s">
        <v>99</v>
      </c>
      <c r="D263" s="8" t="s">
        <v>109</v>
      </c>
      <c r="E263" s="104">
        <f t="shared" si="25"/>
        <v>3900000</v>
      </c>
      <c r="F263" s="2">
        <f>F264</f>
        <v>3900000</v>
      </c>
      <c r="G263" s="2"/>
      <c r="H263" s="2"/>
      <c r="I263" s="2"/>
      <c r="J263" s="100">
        <f t="shared" si="23"/>
        <v>0</v>
      </c>
      <c r="K263" s="2"/>
      <c r="L263" s="2"/>
      <c r="M263" s="2"/>
      <c r="N263" s="2"/>
      <c r="O263" s="2"/>
      <c r="P263" s="100">
        <f t="shared" si="24"/>
        <v>3900000</v>
      </c>
      <c r="Q263" s="73"/>
      <c r="R263" s="63"/>
    </row>
    <row r="264" spans="1:18" s="77" customFormat="1" ht="120">
      <c r="A264" s="51"/>
      <c r="B264" s="18"/>
      <c r="C264" s="72"/>
      <c r="D264" s="57" t="s">
        <v>283</v>
      </c>
      <c r="E264" s="104">
        <f t="shared" si="25"/>
        <v>3900000</v>
      </c>
      <c r="F264" s="2">
        <f>4200000-300000</f>
        <v>3900000</v>
      </c>
      <c r="G264" s="2"/>
      <c r="H264" s="2"/>
      <c r="I264" s="2"/>
      <c r="J264" s="100">
        <f t="shared" si="23"/>
        <v>0</v>
      </c>
      <c r="K264" s="2"/>
      <c r="L264" s="2"/>
      <c r="M264" s="2"/>
      <c r="N264" s="2"/>
      <c r="O264" s="2"/>
      <c r="P264" s="100">
        <f t="shared" si="24"/>
        <v>3900000</v>
      </c>
      <c r="Q264" s="73"/>
      <c r="R264" s="76"/>
    </row>
    <row r="265" spans="1:18" s="77" customFormat="1" ht="135">
      <c r="A265" s="51"/>
      <c r="B265" s="18" t="s">
        <v>110</v>
      </c>
      <c r="C265" s="72" t="s">
        <v>99</v>
      </c>
      <c r="D265" s="8" t="s">
        <v>111</v>
      </c>
      <c r="E265" s="104">
        <f t="shared" si="25"/>
        <v>865</v>
      </c>
      <c r="F265" s="2">
        <f>F266</f>
        <v>865</v>
      </c>
      <c r="G265" s="2"/>
      <c r="H265" s="2"/>
      <c r="I265" s="2"/>
      <c r="J265" s="100">
        <f t="shared" si="23"/>
        <v>0</v>
      </c>
      <c r="K265" s="2"/>
      <c r="L265" s="2"/>
      <c r="M265" s="2"/>
      <c r="N265" s="2"/>
      <c r="O265" s="2"/>
      <c r="P265" s="100">
        <f t="shared" si="24"/>
        <v>865</v>
      </c>
      <c r="Q265" s="73"/>
      <c r="R265" s="76"/>
    </row>
    <row r="266" spans="1:18" s="77" customFormat="1" ht="75">
      <c r="A266" s="51"/>
      <c r="B266" s="18"/>
      <c r="C266" s="72"/>
      <c r="D266" s="57" t="s">
        <v>285</v>
      </c>
      <c r="E266" s="104">
        <f t="shared" si="25"/>
        <v>865</v>
      </c>
      <c r="F266" s="2">
        <f>800+65</f>
        <v>865</v>
      </c>
      <c r="G266" s="2"/>
      <c r="H266" s="2"/>
      <c r="I266" s="2"/>
      <c r="J266" s="100">
        <f t="shared" si="23"/>
        <v>0</v>
      </c>
      <c r="K266" s="2"/>
      <c r="L266" s="2"/>
      <c r="M266" s="2"/>
      <c r="N266" s="2"/>
      <c r="O266" s="2"/>
      <c r="P266" s="100">
        <f t="shared" si="24"/>
        <v>865</v>
      </c>
      <c r="Q266" s="73"/>
      <c r="R266" s="76"/>
    </row>
    <row r="267" spans="1:18" s="77" customFormat="1" ht="15">
      <c r="A267" s="51"/>
      <c r="B267" s="18" t="s">
        <v>112</v>
      </c>
      <c r="C267" s="72" t="s">
        <v>51</v>
      </c>
      <c r="D267" s="8" t="s">
        <v>113</v>
      </c>
      <c r="E267" s="104">
        <f t="shared" si="25"/>
        <v>837670</v>
      </c>
      <c r="F267" s="2">
        <f>F268</f>
        <v>837670</v>
      </c>
      <c r="G267" s="2"/>
      <c r="H267" s="2"/>
      <c r="I267" s="2"/>
      <c r="J267" s="100">
        <f t="shared" si="23"/>
        <v>0</v>
      </c>
      <c r="K267" s="2"/>
      <c r="L267" s="2"/>
      <c r="M267" s="2"/>
      <c r="N267" s="2"/>
      <c r="O267" s="2"/>
      <c r="P267" s="100">
        <f t="shared" si="24"/>
        <v>837670</v>
      </c>
      <c r="Q267" s="73"/>
      <c r="R267" s="76"/>
    </row>
    <row r="268" spans="1:18" s="77" customFormat="1" ht="105">
      <c r="A268" s="51"/>
      <c r="B268" s="18"/>
      <c r="C268" s="72"/>
      <c r="D268" s="57" t="s">
        <v>281</v>
      </c>
      <c r="E268" s="104">
        <f t="shared" si="25"/>
        <v>837670</v>
      </c>
      <c r="F268" s="2">
        <v>837670</v>
      </c>
      <c r="G268" s="2"/>
      <c r="H268" s="2"/>
      <c r="I268" s="2"/>
      <c r="J268" s="100"/>
      <c r="K268" s="2"/>
      <c r="L268" s="2"/>
      <c r="M268" s="2"/>
      <c r="N268" s="2"/>
      <c r="O268" s="2"/>
      <c r="P268" s="100">
        <f t="shared" si="24"/>
        <v>837670</v>
      </c>
      <c r="Q268" s="73"/>
      <c r="R268" s="76"/>
    </row>
    <row r="269" spans="1:18" s="77" customFormat="1" ht="30">
      <c r="A269" s="51"/>
      <c r="B269" s="18" t="s">
        <v>114</v>
      </c>
      <c r="C269" s="72" t="s">
        <v>51</v>
      </c>
      <c r="D269" s="8" t="s">
        <v>115</v>
      </c>
      <c r="E269" s="104">
        <f t="shared" si="25"/>
        <v>720060</v>
      </c>
      <c r="F269" s="2">
        <f>F270</f>
        <v>720060</v>
      </c>
      <c r="G269" s="2"/>
      <c r="H269" s="2"/>
      <c r="I269" s="2"/>
      <c r="J269" s="100">
        <f t="shared" si="23"/>
        <v>0</v>
      </c>
      <c r="K269" s="2"/>
      <c r="L269" s="2"/>
      <c r="M269" s="2"/>
      <c r="N269" s="2"/>
      <c r="O269" s="2"/>
      <c r="P269" s="100">
        <f t="shared" si="24"/>
        <v>720060</v>
      </c>
      <c r="Q269" s="73"/>
      <c r="R269" s="76"/>
    </row>
    <row r="270" spans="1:18" s="77" customFormat="1" ht="105">
      <c r="A270" s="51"/>
      <c r="B270" s="18"/>
      <c r="C270" s="72"/>
      <c r="D270" s="57" t="s">
        <v>281</v>
      </c>
      <c r="E270" s="104">
        <f t="shared" si="25"/>
        <v>720060</v>
      </c>
      <c r="F270" s="2">
        <v>720060</v>
      </c>
      <c r="G270" s="2"/>
      <c r="H270" s="2"/>
      <c r="I270" s="2"/>
      <c r="J270" s="100">
        <f t="shared" si="23"/>
        <v>0</v>
      </c>
      <c r="K270" s="2"/>
      <c r="L270" s="2"/>
      <c r="M270" s="2"/>
      <c r="N270" s="2"/>
      <c r="O270" s="2"/>
      <c r="P270" s="100">
        <f t="shared" si="24"/>
        <v>720060</v>
      </c>
      <c r="Q270" s="73"/>
      <c r="R270" s="76"/>
    </row>
    <row r="271" spans="1:18" s="77" customFormat="1" ht="15">
      <c r="A271" s="51"/>
      <c r="B271" s="18" t="s">
        <v>116</v>
      </c>
      <c r="C271" s="72" t="s">
        <v>51</v>
      </c>
      <c r="D271" s="8" t="s">
        <v>117</v>
      </c>
      <c r="E271" s="104">
        <f t="shared" si="25"/>
        <v>43243190</v>
      </c>
      <c r="F271" s="2">
        <f>F272</f>
        <v>43243190</v>
      </c>
      <c r="G271" s="2"/>
      <c r="H271" s="2"/>
      <c r="I271" s="2"/>
      <c r="J271" s="100">
        <f t="shared" si="23"/>
        <v>0</v>
      </c>
      <c r="K271" s="2"/>
      <c r="L271" s="2"/>
      <c r="M271" s="2"/>
      <c r="N271" s="2"/>
      <c r="O271" s="2"/>
      <c r="P271" s="100">
        <f t="shared" si="24"/>
        <v>43243190</v>
      </c>
      <c r="Q271" s="73"/>
      <c r="R271" s="76"/>
    </row>
    <row r="272" spans="1:18" s="77" customFormat="1" ht="105">
      <c r="A272" s="51"/>
      <c r="B272" s="18"/>
      <c r="C272" s="72"/>
      <c r="D272" s="57" t="s">
        <v>281</v>
      </c>
      <c r="E272" s="104">
        <f t="shared" si="25"/>
        <v>43243190</v>
      </c>
      <c r="F272" s="2">
        <f>46328190-3085000</f>
        <v>43243190</v>
      </c>
      <c r="G272" s="2"/>
      <c r="H272" s="2"/>
      <c r="I272" s="2"/>
      <c r="J272" s="100">
        <f t="shared" si="23"/>
        <v>0</v>
      </c>
      <c r="K272" s="2"/>
      <c r="L272" s="2"/>
      <c r="M272" s="2"/>
      <c r="N272" s="2"/>
      <c r="O272" s="2"/>
      <c r="P272" s="100">
        <f t="shared" si="24"/>
        <v>43243190</v>
      </c>
      <c r="Q272" s="73"/>
      <c r="R272" s="76"/>
    </row>
    <row r="273" spans="1:18" s="77" customFormat="1" ht="30">
      <c r="A273" s="51"/>
      <c r="B273" s="18" t="s">
        <v>118</v>
      </c>
      <c r="C273" s="72" t="s">
        <v>51</v>
      </c>
      <c r="D273" s="8" t="s">
        <v>119</v>
      </c>
      <c r="E273" s="104">
        <f t="shared" si="25"/>
        <v>3441660</v>
      </c>
      <c r="F273" s="2">
        <f>F274</f>
        <v>3441660</v>
      </c>
      <c r="G273" s="2"/>
      <c r="H273" s="2"/>
      <c r="I273" s="2"/>
      <c r="J273" s="100">
        <f t="shared" si="23"/>
        <v>0</v>
      </c>
      <c r="K273" s="2"/>
      <c r="L273" s="2"/>
      <c r="M273" s="2"/>
      <c r="N273" s="2"/>
      <c r="O273" s="2"/>
      <c r="P273" s="100">
        <f t="shared" si="24"/>
        <v>3441660</v>
      </c>
      <c r="Q273" s="73"/>
      <c r="R273" s="76"/>
    </row>
    <row r="274" spans="1:18" s="77" customFormat="1" ht="105">
      <c r="A274" s="51"/>
      <c r="B274" s="18"/>
      <c r="C274" s="72"/>
      <c r="D274" s="57" t="s">
        <v>281</v>
      </c>
      <c r="E274" s="104">
        <f t="shared" si="25"/>
        <v>3441660</v>
      </c>
      <c r="F274" s="2">
        <v>3441660</v>
      </c>
      <c r="G274" s="2"/>
      <c r="H274" s="2"/>
      <c r="I274" s="2"/>
      <c r="J274" s="100">
        <f t="shared" si="23"/>
        <v>0</v>
      </c>
      <c r="K274" s="2"/>
      <c r="L274" s="2"/>
      <c r="M274" s="2"/>
      <c r="N274" s="2"/>
      <c r="O274" s="2"/>
      <c r="P274" s="100">
        <f t="shared" si="24"/>
        <v>3441660</v>
      </c>
      <c r="Q274" s="73"/>
      <c r="R274" s="76"/>
    </row>
    <row r="275" spans="1:18" s="77" customFormat="1" ht="15">
      <c r="A275" s="51"/>
      <c r="B275" s="18" t="s">
        <v>120</v>
      </c>
      <c r="C275" s="72" t="s">
        <v>51</v>
      </c>
      <c r="D275" s="8" t="s">
        <v>121</v>
      </c>
      <c r="E275" s="104">
        <f t="shared" si="25"/>
        <v>5452950</v>
      </c>
      <c r="F275" s="2">
        <f>F276</f>
        <v>5452950</v>
      </c>
      <c r="G275" s="2"/>
      <c r="H275" s="2"/>
      <c r="I275" s="2"/>
      <c r="J275" s="100">
        <f t="shared" si="23"/>
        <v>0</v>
      </c>
      <c r="K275" s="2"/>
      <c r="L275" s="2"/>
      <c r="M275" s="2"/>
      <c r="N275" s="2"/>
      <c r="O275" s="2"/>
      <c r="P275" s="100">
        <f t="shared" si="24"/>
        <v>5452950</v>
      </c>
      <c r="Q275" s="73"/>
      <c r="R275" s="76"/>
    </row>
    <row r="276" spans="1:18" s="77" customFormat="1" ht="105">
      <c r="A276" s="51"/>
      <c r="B276" s="18"/>
      <c r="C276" s="72"/>
      <c r="D276" s="57" t="s">
        <v>281</v>
      </c>
      <c r="E276" s="104">
        <f t="shared" si="25"/>
        <v>5452950</v>
      </c>
      <c r="F276" s="2">
        <f>8520150-3067200</f>
        <v>5452950</v>
      </c>
      <c r="G276" s="2"/>
      <c r="H276" s="2"/>
      <c r="I276" s="2"/>
      <c r="J276" s="100">
        <f t="shared" si="23"/>
        <v>0</v>
      </c>
      <c r="K276" s="2"/>
      <c r="L276" s="2"/>
      <c r="M276" s="2"/>
      <c r="N276" s="2"/>
      <c r="O276" s="2"/>
      <c r="P276" s="100">
        <f t="shared" si="24"/>
        <v>5452950</v>
      </c>
      <c r="Q276" s="73"/>
      <c r="R276" s="76"/>
    </row>
    <row r="277" spans="1:18" s="77" customFormat="1" ht="15">
      <c r="A277" s="51"/>
      <c r="B277" s="18" t="s">
        <v>122</v>
      </c>
      <c r="C277" s="72" t="s">
        <v>51</v>
      </c>
      <c r="D277" s="8" t="s">
        <v>123</v>
      </c>
      <c r="E277" s="104">
        <f t="shared" si="25"/>
        <v>904350</v>
      </c>
      <c r="F277" s="2">
        <f>F278</f>
        <v>904350</v>
      </c>
      <c r="G277" s="2"/>
      <c r="H277" s="2"/>
      <c r="I277" s="2"/>
      <c r="J277" s="100">
        <f t="shared" si="23"/>
        <v>0</v>
      </c>
      <c r="K277" s="2"/>
      <c r="L277" s="2"/>
      <c r="M277" s="2"/>
      <c r="N277" s="2"/>
      <c r="O277" s="2"/>
      <c r="P277" s="100">
        <f t="shared" si="24"/>
        <v>904350</v>
      </c>
      <c r="Q277" s="73"/>
      <c r="R277" s="76"/>
    </row>
    <row r="278" spans="1:18" s="77" customFormat="1" ht="105">
      <c r="A278" s="51"/>
      <c r="B278" s="18"/>
      <c r="C278" s="72"/>
      <c r="D278" s="57" t="s">
        <v>281</v>
      </c>
      <c r="E278" s="104">
        <f t="shared" si="25"/>
        <v>904350</v>
      </c>
      <c r="F278" s="2">
        <f>1356150-451800</f>
        <v>904350</v>
      </c>
      <c r="G278" s="2"/>
      <c r="H278" s="2"/>
      <c r="I278" s="2"/>
      <c r="J278" s="100">
        <f t="shared" si="23"/>
        <v>0</v>
      </c>
      <c r="K278" s="2"/>
      <c r="L278" s="2"/>
      <c r="M278" s="2"/>
      <c r="N278" s="2"/>
      <c r="O278" s="2"/>
      <c r="P278" s="100">
        <f t="shared" si="24"/>
        <v>904350</v>
      </c>
      <c r="Q278" s="73"/>
      <c r="R278" s="76"/>
    </row>
    <row r="279" spans="1:18" s="77" customFormat="1" ht="15">
      <c r="A279" s="51"/>
      <c r="B279" s="18" t="s">
        <v>124</v>
      </c>
      <c r="C279" s="72" t="s">
        <v>51</v>
      </c>
      <c r="D279" s="8" t="s">
        <v>125</v>
      </c>
      <c r="E279" s="104">
        <f t="shared" si="25"/>
        <v>96020</v>
      </c>
      <c r="F279" s="2">
        <f>F280</f>
        <v>96020</v>
      </c>
      <c r="G279" s="2"/>
      <c r="H279" s="2"/>
      <c r="I279" s="2"/>
      <c r="J279" s="100">
        <f t="shared" si="23"/>
        <v>0</v>
      </c>
      <c r="K279" s="2"/>
      <c r="L279" s="2"/>
      <c r="M279" s="2"/>
      <c r="N279" s="2"/>
      <c r="O279" s="2"/>
      <c r="P279" s="100">
        <f t="shared" si="24"/>
        <v>96020</v>
      </c>
      <c r="Q279" s="73"/>
      <c r="R279" s="76"/>
    </row>
    <row r="280" spans="1:18" s="77" customFormat="1" ht="105">
      <c r="A280" s="51"/>
      <c r="B280" s="18"/>
      <c r="C280" s="72"/>
      <c r="D280" s="57" t="s">
        <v>281</v>
      </c>
      <c r="E280" s="104">
        <f t="shared" si="25"/>
        <v>96020</v>
      </c>
      <c r="F280" s="2">
        <v>96020</v>
      </c>
      <c r="G280" s="2"/>
      <c r="H280" s="2"/>
      <c r="I280" s="2"/>
      <c r="J280" s="100">
        <f t="shared" si="23"/>
        <v>0</v>
      </c>
      <c r="K280" s="2"/>
      <c r="L280" s="2"/>
      <c r="M280" s="2"/>
      <c r="N280" s="2"/>
      <c r="O280" s="2"/>
      <c r="P280" s="100">
        <f t="shared" si="24"/>
        <v>96020</v>
      </c>
      <c r="Q280" s="73"/>
      <c r="R280" s="76"/>
    </row>
    <row r="281" spans="1:18" s="77" customFormat="1" ht="30">
      <c r="A281" s="51"/>
      <c r="B281" s="18" t="s">
        <v>126</v>
      </c>
      <c r="C281" s="72" t="s">
        <v>51</v>
      </c>
      <c r="D281" s="8" t="s">
        <v>127</v>
      </c>
      <c r="E281" s="104">
        <f t="shared" si="25"/>
        <v>9795320</v>
      </c>
      <c r="F281" s="2">
        <f>F282</f>
        <v>9795320</v>
      </c>
      <c r="G281" s="2"/>
      <c r="H281" s="2"/>
      <c r="I281" s="2"/>
      <c r="J281" s="100">
        <f t="shared" si="23"/>
        <v>0</v>
      </c>
      <c r="K281" s="2"/>
      <c r="L281" s="2"/>
      <c r="M281" s="2"/>
      <c r="N281" s="2"/>
      <c r="O281" s="2"/>
      <c r="P281" s="100">
        <f t="shared" si="24"/>
        <v>9795320</v>
      </c>
      <c r="Q281" s="73"/>
      <c r="R281" s="76"/>
    </row>
    <row r="282" spans="1:18" s="77" customFormat="1" ht="105">
      <c r="A282" s="51"/>
      <c r="B282" s="18"/>
      <c r="C282" s="72"/>
      <c r="D282" s="57" t="s">
        <v>281</v>
      </c>
      <c r="E282" s="104">
        <f t="shared" si="25"/>
        <v>9795320</v>
      </c>
      <c r="F282" s="2">
        <f>7845320+1950000</f>
        <v>9795320</v>
      </c>
      <c r="G282" s="2"/>
      <c r="H282" s="2"/>
      <c r="I282" s="2"/>
      <c r="J282" s="100">
        <f t="shared" si="23"/>
        <v>0</v>
      </c>
      <c r="K282" s="2"/>
      <c r="L282" s="2"/>
      <c r="M282" s="2"/>
      <c r="N282" s="2"/>
      <c r="O282" s="2"/>
      <c r="P282" s="100">
        <f t="shared" si="24"/>
        <v>9795320</v>
      </c>
      <c r="Q282" s="73"/>
      <c r="R282" s="76"/>
    </row>
    <row r="283" spans="1:18" s="77" customFormat="1" ht="30">
      <c r="A283" s="51"/>
      <c r="B283" s="18" t="s">
        <v>129</v>
      </c>
      <c r="C283" s="72" t="s">
        <v>128</v>
      </c>
      <c r="D283" s="8" t="s">
        <v>130</v>
      </c>
      <c r="E283" s="104">
        <f t="shared" si="25"/>
        <v>39291500</v>
      </c>
      <c r="F283" s="2">
        <f>F284</f>
        <v>39291500</v>
      </c>
      <c r="G283" s="2"/>
      <c r="H283" s="2"/>
      <c r="I283" s="2"/>
      <c r="J283" s="100">
        <f t="shared" si="23"/>
        <v>0</v>
      </c>
      <c r="K283" s="2"/>
      <c r="L283" s="2"/>
      <c r="M283" s="2"/>
      <c r="N283" s="2"/>
      <c r="O283" s="2"/>
      <c r="P283" s="100">
        <f t="shared" si="24"/>
        <v>39291500</v>
      </c>
      <c r="Q283" s="73"/>
      <c r="R283" s="76"/>
    </row>
    <row r="284" spans="1:18" s="77" customFormat="1" ht="120">
      <c r="A284" s="51"/>
      <c r="B284" s="18"/>
      <c r="C284" s="72"/>
      <c r="D284" s="57" t="s">
        <v>283</v>
      </c>
      <c r="E284" s="104">
        <f t="shared" si="25"/>
        <v>39291500</v>
      </c>
      <c r="F284" s="2">
        <f>60800000-22508500+1000000</f>
        <v>39291500</v>
      </c>
      <c r="G284" s="2"/>
      <c r="H284" s="2"/>
      <c r="I284" s="2"/>
      <c r="J284" s="100">
        <f t="shared" si="23"/>
        <v>0</v>
      </c>
      <c r="K284" s="2"/>
      <c r="L284" s="2"/>
      <c r="M284" s="2"/>
      <c r="N284" s="2"/>
      <c r="O284" s="2"/>
      <c r="P284" s="100">
        <f t="shared" si="24"/>
        <v>39291500</v>
      </c>
      <c r="Q284" s="73"/>
      <c r="R284" s="76"/>
    </row>
    <row r="285" spans="1:18" s="77" customFormat="1" ht="45">
      <c r="A285" s="51"/>
      <c r="B285" s="18" t="s">
        <v>131</v>
      </c>
      <c r="C285" s="72" t="s">
        <v>128</v>
      </c>
      <c r="D285" s="8" t="s">
        <v>132</v>
      </c>
      <c r="E285" s="104">
        <f t="shared" si="25"/>
        <v>13300</v>
      </c>
      <c r="F285" s="2">
        <f>F286</f>
        <v>13300</v>
      </c>
      <c r="G285" s="2"/>
      <c r="H285" s="2"/>
      <c r="I285" s="2"/>
      <c r="J285" s="100">
        <f t="shared" si="23"/>
        <v>0</v>
      </c>
      <c r="K285" s="2"/>
      <c r="L285" s="2"/>
      <c r="M285" s="2"/>
      <c r="N285" s="2"/>
      <c r="O285" s="2"/>
      <c r="P285" s="100">
        <f t="shared" si="24"/>
        <v>13300</v>
      </c>
      <c r="Q285" s="73"/>
      <c r="R285" s="76"/>
    </row>
    <row r="286" spans="1:18" s="77" customFormat="1" ht="73.5" customHeight="1">
      <c r="A286" s="51"/>
      <c r="B286" s="18"/>
      <c r="C286" s="72"/>
      <c r="D286" s="57" t="s">
        <v>285</v>
      </c>
      <c r="E286" s="104">
        <f t="shared" si="25"/>
        <v>13300</v>
      </c>
      <c r="F286" s="2">
        <f>14000+6100-6800</f>
        <v>13300</v>
      </c>
      <c r="G286" s="2"/>
      <c r="H286" s="2"/>
      <c r="I286" s="2"/>
      <c r="J286" s="100">
        <f t="shared" si="23"/>
        <v>0</v>
      </c>
      <c r="K286" s="2"/>
      <c r="L286" s="2"/>
      <c r="M286" s="2"/>
      <c r="N286" s="2"/>
      <c r="O286" s="2"/>
      <c r="P286" s="100">
        <f t="shared" si="24"/>
        <v>13300</v>
      </c>
      <c r="Q286" s="73"/>
      <c r="R286" s="76"/>
    </row>
    <row r="287" spans="1:18" s="77" customFormat="1" ht="1.5" customHeight="1" hidden="1">
      <c r="A287" s="51"/>
      <c r="B287" s="18" t="s">
        <v>133</v>
      </c>
      <c r="C287" s="72" t="s">
        <v>128</v>
      </c>
      <c r="D287" s="8" t="s">
        <v>134</v>
      </c>
      <c r="E287" s="104">
        <f t="shared" si="25"/>
        <v>0</v>
      </c>
      <c r="F287" s="2">
        <f>F288</f>
        <v>0</v>
      </c>
      <c r="G287" s="2"/>
      <c r="H287" s="2"/>
      <c r="I287" s="2"/>
      <c r="J287" s="100">
        <f t="shared" si="23"/>
        <v>0</v>
      </c>
      <c r="K287" s="2"/>
      <c r="L287" s="2"/>
      <c r="M287" s="2"/>
      <c r="N287" s="2"/>
      <c r="O287" s="2"/>
      <c r="P287" s="100">
        <f t="shared" si="24"/>
        <v>0</v>
      </c>
      <c r="Q287" s="73"/>
      <c r="R287" s="76"/>
    </row>
    <row r="288" spans="1:18" s="77" customFormat="1" ht="12.75" customHeight="1" hidden="1">
      <c r="A288" s="51"/>
      <c r="B288" s="18"/>
      <c r="C288" s="72"/>
      <c r="D288" s="57" t="s">
        <v>283</v>
      </c>
      <c r="E288" s="104">
        <f t="shared" si="25"/>
        <v>0</v>
      </c>
      <c r="F288" s="2"/>
      <c r="G288" s="2"/>
      <c r="H288" s="2"/>
      <c r="I288" s="2"/>
      <c r="J288" s="100">
        <f t="shared" si="23"/>
        <v>0</v>
      </c>
      <c r="K288" s="2"/>
      <c r="L288" s="2"/>
      <c r="M288" s="2"/>
      <c r="N288" s="2"/>
      <c r="O288" s="2"/>
      <c r="P288" s="100">
        <f t="shared" si="24"/>
        <v>0</v>
      </c>
      <c r="Q288" s="73"/>
      <c r="R288" s="76"/>
    </row>
    <row r="289" spans="1:18" s="77" customFormat="1" ht="12" customHeight="1" hidden="1">
      <c r="A289" s="51"/>
      <c r="B289" s="18" t="s">
        <v>136</v>
      </c>
      <c r="C289" s="72" t="s">
        <v>135</v>
      </c>
      <c r="D289" s="8" t="s">
        <v>137</v>
      </c>
      <c r="E289" s="104">
        <f t="shared" si="25"/>
        <v>0</v>
      </c>
      <c r="F289" s="2"/>
      <c r="G289" s="2"/>
      <c r="H289" s="2"/>
      <c r="I289" s="2"/>
      <c r="J289" s="100">
        <f t="shared" si="23"/>
        <v>0</v>
      </c>
      <c r="K289" s="2"/>
      <c r="L289" s="2"/>
      <c r="M289" s="2"/>
      <c r="N289" s="2"/>
      <c r="O289" s="2"/>
      <c r="P289" s="100">
        <f t="shared" si="24"/>
        <v>0</v>
      </c>
      <c r="Q289" s="73"/>
      <c r="R289" s="76"/>
    </row>
    <row r="290" spans="1:18" s="77" customFormat="1" ht="17.25" customHeight="1" hidden="1">
      <c r="A290" s="51"/>
      <c r="B290" s="18"/>
      <c r="C290" s="72"/>
      <c r="D290" s="8" t="s">
        <v>298</v>
      </c>
      <c r="E290" s="104">
        <f t="shared" si="25"/>
        <v>0</v>
      </c>
      <c r="F290" s="2"/>
      <c r="G290" s="2"/>
      <c r="H290" s="2"/>
      <c r="I290" s="2"/>
      <c r="J290" s="100">
        <f t="shared" si="23"/>
        <v>0</v>
      </c>
      <c r="K290" s="2"/>
      <c r="L290" s="2"/>
      <c r="M290" s="2"/>
      <c r="N290" s="2"/>
      <c r="O290" s="2"/>
      <c r="P290" s="100">
        <f t="shared" si="24"/>
        <v>0</v>
      </c>
      <c r="Q290" s="73"/>
      <c r="R290" s="76"/>
    </row>
    <row r="291" spans="1:18" s="77" customFormat="1" ht="30">
      <c r="A291" s="51"/>
      <c r="B291" s="18" t="s">
        <v>139</v>
      </c>
      <c r="C291" s="72" t="s">
        <v>138</v>
      </c>
      <c r="D291" s="8" t="s">
        <v>140</v>
      </c>
      <c r="E291" s="104">
        <f t="shared" si="25"/>
        <v>3481800</v>
      </c>
      <c r="F291" s="2">
        <f>F292</f>
        <v>3481800</v>
      </c>
      <c r="G291" s="2"/>
      <c r="H291" s="2"/>
      <c r="I291" s="2"/>
      <c r="J291" s="100">
        <f t="shared" si="23"/>
        <v>0</v>
      </c>
      <c r="K291" s="2"/>
      <c r="L291" s="2"/>
      <c r="M291" s="2"/>
      <c r="N291" s="2"/>
      <c r="O291" s="2"/>
      <c r="P291" s="100">
        <f t="shared" si="24"/>
        <v>3481800</v>
      </c>
      <c r="Q291" s="73"/>
      <c r="R291" s="76"/>
    </row>
    <row r="292" spans="1:18" s="77" customFormat="1" ht="104.25" customHeight="1">
      <c r="A292" s="51"/>
      <c r="B292" s="18"/>
      <c r="C292" s="72"/>
      <c r="D292" s="57" t="s">
        <v>281</v>
      </c>
      <c r="E292" s="104">
        <f t="shared" si="25"/>
        <v>3481800</v>
      </c>
      <c r="F292" s="2">
        <v>3481800</v>
      </c>
      <c r="G292" s="2"/>
      <c r="H292" s="2"/>
      <c r="I292" s="2"/>
      <c r="J292" s="100">
        <f t="shared" si="23"/>
        <v>0</v>
      </c>
      <c r="K292" s="2"/>
      <c r="L292" s="2"/>
      <c r="M292" s="2"/>
      <c r="N292" s="2"/>
      <c r="O292" s="2"/>
      <c r="P292" s="100">
        <f t="shared" si="24"/>
        <v>3481800</v>
      </c>
      <c r="Q292" s="73"/>
      <c r="R292" s="76"/>
    </row>
    <row r="293" spans="1:18" s="77" customFormat="1" ht="15" customHeight="1" hidden="1">
      <c r="A293" s="51"/>
      <c r="B293" s="18" t="s">
        <v>141</v>
      </c>
      <c r="C293" s="72" t="s">
        <v>128</v>
      </c>
      <c r="D293" s="8" t="s">
        <v>142</v>
      </c>
      <c r="E293" s="104">
        <f t="shared" si="25"/>
        <v>0</v>
      </c>
      <c r="F293" s="2">
        <f>F294</f>
        <v>0</v>
      </c>
      <c r="G293" s="2"/>
      <c r="H293" s="2"/>
      <c r="I293" s="2"/>
      <c r="J293" s="100">
        <f t="shared" si="23"/>
        <v>0</v>
      </c>
      <c r="K293" s="2"/>
      <c r="L293" s="2"/>
      <c r="M293" s="2"/>
      <c r="N293" s="2"/>
      <c r="O293" s="2"/>
      <c r="P293" s="100">
        <f t="shared" si="24"/>
        <v>0</v>
      </c>
      <c r="Q293" s="73"/>
      <c r="R293" s="76"/>
    </row>
    <row r="294" spans="1:18" s="77" customFormat="1" ht="21.75" customHeight="1" hidden="1">
      <c r="A294" s="51"/>
      <c r="B294" s="18"/>
      <c r="C294" s="72"/>
      <c r="D294" s="57" t="s">
        <v>285</v>
      </c>
      <c r="E294" s="104">
        <f t="shared" si="25"/>
        <v>0</v>
      </c>
      <c r="F294" s="2">
        <v>0</v>
      </c>
      <c r="G294" s="2"/>
      <c r="H294" s="2"/>
      <c r="I294" s="2"/>
      <c r="J294" s="100">
        <f t="shared" si="23"/>
        <v>0</v>
      </c>
      <c r="K294" s="2"/>
      <c r="L294" s="2"/>
      <c r="M294" s="2"/>
      <c r="N294" s="2"/>
      <c r="O294" s="2"/>
      <c r="P294" s="100">
        <f t="shared" si="24"/>
        <v>0</v>
      </c>
      <c r="Q294" s="73"/>
      <c r="R294" s="76"/>
    </row>
    <row r="295" spans="1:18" s="77" customFormat="1" ht="90">
      <c r="A295" s="51"/>
      <c r="B295" s="18" t="s">
        <v>143</v>
      </c>
      <c r="C295" s="72" t="s">
        <v>138</v>
      </c>
      <c r="D295" s="8" t="s">
        <v>144</v>
      </c>
      <c r="E295" s="104">
        <f t="shared" si="25"/>
        <v>315930</v>
      </c>
      <c r="F295" s="2">
        <v>315930</v>
      </c>
      <c r="G295" s="2"/>
      <c r="H295" s="2"/>
      <c r="I295" s="2"/>
      <c r="J295" s="100">
        <f t="shared" si="23"/>
        <v>0</v>
      </c>
      <c r="K295" s="2"/>
      <c r="L295" s="2"/>
      <c r="M295" s="2"/>
      <c r="N295" s="2"/>
      <c r="O295" s="2"/>
      <c r="P295" s="100">
        <f t="shared" si="24"/>
        <v>315930</v>
      </c>
      <c r="Q295" s="73"/>
      <c r="R295" s="76"/>
    </row>
    <row r="296" spans="1:18" s="77" customFormat="1" ht="89.25" customHeight="1">
      <c r="A296" s="51"/>
      <c r="B296" s="18" t="s">
        <v>145</v>
      </c>
      <c r="C296" s="72" t="s">
        <v>128</v>
      </c>
      <c r="D296" s="8" t="s">
        <v>146</v>
      </c>
      <c r="E296" s="104">
        <f t="shared" si="25"/>
        <v>1091800</v>
      </c>
      <c r="F296" s="2">
        <v>1091800</v>
      </c>
      <c r="G296" s="2"/>
      <c r="H296" s="2"/>
      <c r="I296" s="2"/>
      <c r="J296" s="100">
        <f t="shared" si="23"/>
        <v>0</v>
      </c>
      <c r="K296" s="2"/>
      <c r="L296" s="2"/>
      <c r="M296" s="2"/>
      <c r="N296" s="2"/>
      <c r="O296" s="2"/>
      <c r="P296" s="100">
        <f t="shared" si="24"/>
        <v>1091800</v>
      </c>
      <c r="Q296" s="73"/>
      <c r="R296" s="76"/>
    </row>
    <row r="297" spans="1:18" s="77" customFormat="1" ht="1.5" customHeight="1" hidden="1">
      <c r="A297" s="51"/>
      <c r="B297" s="18" t="s">
        <v>147</v>
      </c>
      <c r="C297" s="72" t="s">
        <v>91</v>
      </c>
      <c r="D297" s="8" t="s">
        <v>148</v>
      </c>
      <c r="E297" s="104">
        <f t="shared" si="25"/>
        <v>0</v>
      </c>
      <c r="F297" s="2">
        <v>0</v>
      </c>
      <c r="G297" s="2"/>
      <c r="H297" s="2"/>
      <c r="I297" s="2"/>
      <c r="J297" s="100">
        <f t="shared" si="23"/>
        <v>0</v>
      </c>
      <c r="K297" s="2"/>
      <c r="L297" s="2"/>
      <c r="M297" s="2"/>
      <c r="N297" s="2"/>
      <c r="O297" s="2"/>
      <c r="P297" s="100">
        <f t="shared" si="24"/>
        <v>0</v>
      </c>
      <c r="Q297" s="73"/>
      <c r="R297" s="76"/>
    </row>
    <row r="298" spans="1:18" s="77" customFormat="1" ht="14.25" customHeight="1" hidden="1">
      <c r="A298" s="51"/>
      <c r="B298" s="18" t="s">
        <v>149</v>
      </c>
      <c r="C298" s="72" t="s">
        <v>135</v>
      </c>
      <c r="D298" s="8" t="s">
        <v>150</v>
      </c>
      <c r="E298" s="104">
        <f t="shared" si="25"/>
        <v>0</v>
      </c>
      <c r="F298" s="2">
        <v>0</v>
      </c>
      <c r="G298" s="2">
        <v>0</v>
      </c>
      <c r="H298" s="2">
        <v>0</v>
      </c>
      <c r="I298" s="2"/>
      <c r="J298" s="100">
        <f t="shared" si="23"/>
        <v>0</v>
      </c>
      <c r="K298" s="2"/>
      <c r="L298" s="2"/>
      <c r="M298" s="2"/>
      <c r="N298" s="2"/>
      <c r="O298" s="2"/>
      <c r="P298" s="100">
        <f t="shared" si="24"/>
        <v>0</v>
      </c>
      <c r="Q298" s="73"/>
      <c r="R298" s="76"/>
    </row>
    <row r="299" spans="1:18" s="77" customFormat="1" ht="30">
      <c r="A299" s="51"/>
      <c r="B299" s="18" t="s">
        <v>151</v>
      </c>
      <c r="C299" s="72" t="s">
        <v>138</v>
      </c>
      <c r="D299" s="8" t="s">
        <v>152</v>
      </c>
      <c r="E299" s="104">
        <f t="shared" si="25"/>
        <v>10818080</v>
      </c>
      <c r="F299" s="2">
        <f>F300</f>
        <v>10818080</v>
      </c>
      <c r="G299" s="2"/>
      <c r="H299" s="2"/>
      <c r="I299" s="2"/>
      <c r="J299" s="100">
        <f t="shared" si="23"/>
        <v>0</v>
      </c>
      <c r="K299" s="2"/>
      <c r="L299" s="2"/>
      <c r="M299" s="2"/>
      <c r="N299" s="2"/>
      <c r="O299" s="2"/>
      <c r="P299" s="100">
        <f t="shared" si="24"/>
        <v>10818080</v>
      </c>
      <c r="Q299" s="73"/>
      <c r="R299" s="76"/>
    </row>
    <row r="300" spans="1:18" s="77" customFormat="1" ht="105">
      <c r="A300" s="51"/>
      <c r="B300" s="18"/>
      <c r="C300" s="72"/>
      <c r="D300" s="57" t="s">
        <v>281</v>
      </c>
      <c r="E300" s="104">
        <f t="shared" si="25"/>
        <v>10818080</v>
      </c>
      <c r="F300" s="2">
        <f>9683080+1135000</f>
        <v>10818080</v>
      </c>
      <c r="G300" s="2"/>
      <c r="H300" s="2"/>
      <c r="I300" s="2"/>
      <c r="J300" s="100">
        <f t="shared" si="23"/>
        <v>0</v>
      </c>
      <c r="K300" s="2"/>
      <c r="L300" s="2"/>
      <c r="M300" s="2"/>
      <c r="N300" s="2"/>
      <c r="O300" s="2"/>
      <c r="P300" s="100">
        <f t="shared" si="24"/>
        <v>10818080</v>
      </c>
      <c r="Q300" s="73"/>
      <c r="R300" s="76"/>
    </row>
    <row r="301" spans="1:18" s="62" customFormat="1" ht="15">
      <c r="A301" s="51"/>
      <c r="B301" s="18" t="s">
        <v>136</v>
      </c>
      <c r="C301" s="65">
        <v>1090</v>
      </c>
      <c r="D301" s="8" t="s">
        <v>137</v>
      </c>
      <c r="E301" s="100">
        <f>F301+I301</f>
        <v>3380</v>
      </c>
      <c r="F301" s="2">
        <v>3380</v>
      </c>
      <c r="G301" s="111"/>
      <c r="H301" s="111"/>
      <c r="I301" s="111"/>
      <c r="J301" s="112">
        <f t="shared" si="23"/>
        <v>0</v>
      </c>
      <c r="K301" s="111"/>
      <c r="L301" s="111"/>
      <c r="M301" s="111"/>
      <c r="N301" s="111"/>
      <c r="O301" s="111"/>
      <c r="P301" s="120">
        <f t="shared" si="24"/>
        <v>3380</v>
      </c>
      <c r="Q301" s="129"/>
      <c r="R301" s="64"/>
    </row>
    <row r="302" spans="1:18" s="62" customFormat="1" ht="30">
      <c r="A302" s="51"/>
      <c r="B302" s="18" t="s">
        <v>332</v>
      </c>
      <c r="C302" s="7" t="s">
        <v>51</v>
      </c>
      <c r="D302" s="8" t="s">
        <v>333</v>
      </c>
      <c r="E302" s="100">
        <f>F302+I302</f>
        <v>3472120</v>
      </c>
      <c r="F302" s="2">
        <f>3715370-363250+50000+70000</f>
        <v>3472120</v>
      </c>
      <c r="G302" s="111">
        <f>2540370+32000</f>
        <v>2572370</v>
      </c>
      <c r="H302" s="111">
        <v>129780</v>
      </c>
      <c r="I302" s="111"/>
      <c r="J302" s="112">
        <f t="shared" si="23"/>
        <v>41900</v>
      </c>
      <c r="K302" s="111">
        <v>41900</v>
      </c>
      <c r="L302" s="111">
        <v>26700</v>
      </c>
      <c r="M302" s="111"/>
      <c r="N302" s="111"/>
      <c r="O302" s="111"/>
      <c r="P302" s="120">
        <f t="shared" si="24"/>
        <v>3514020</v>
      </c>
      <c r="Q302" s="129"/>
      <c r="R302" s="64"/>
    </row>
    <row r="303" spans="1:18" s="62" customFormat="1" ht="34.5" customHeight="1">
      <c r="A303" s="78"/>
      <c r="B303" s="79" t="s">
        <v>147</v>
      </c>
      <c r="C303" s="80" t="s">
        <v>91</v>
      </c>
      <c r="D303" s="81" t="s">
        <v>148</v>
      </c>
      <c r="E303" s="107">
        <f>F303+I303</f>
        <v>55000</v>
      </c>
      <c r="F303" s="108">
        <f>11280+38720+5000</f>
        <v>55000</v>
      </c>
      <c r="G303" s="109"/>
      <c r="H303" s="109"/>
      <c r="I303" s="109"/>
      <c r="J303" s="110">
        <f t="shared" si="23"/>
        <v>0</v>
      </c>
      <c r="K303" s="109"/>
      <c r="L303" s="109"/>
      <c r="M303" s="109"/>
      <c r="N303" s="109"/>
      <c r="O303" s="109"/>
      <c r="P303" s="120">
        <f t="shared" si="24"/>
        <v>55000</v>
      </c>
      <c r="Q303" s="129"/>
      <c r="R303" s="58">
        <f>SUM(R306:R307)</f>
        <v>147717810</v>
      </c>
    </row>
    <row r="304" spans="1:18" s="59" customFormat="1" ht="15">
      <c r="A304" s="51"/>
      <c r="B304" s="51" t="s">
        <v>356</v>
      </c>
      <c r="C304" s="51" t="s">
        <v>357</v>
      </c>
      <c r="D304" s="57" t="s">
        <v>358</v>
      </c>
      <c r="E304" s="105">
        <f>SUM(F304,I304)</f>
        <v>11323</v>
      </c>
      <c r="F304" s="114">
        <v>11323</v>
      </c>
      <c r="G304" s="114">
        <v>9281</v>
      </c>
      <c r="H304" s="114"/>
      <c r="I304" s="116"/>
      <c r="J304" s="105">
        <f>SUM(K304,N304)</f>
        <v>0</v>
      </c>
      <c r="K304" s="116"/>
      <c r="L304" s="116"/>
      <c r="M304" s="116"/>
      <c r="N304" s="116"/>
      <c r="O304" s="116"/>
      <c r="P304" s="122">
        <f>SUM(E304,J304)</f>
        <v>11323</v>
      </c>
      <c r="Q304" s="127"/>
      <c r="R304" s="58"/>
    </row>
    <row r="305" spans="1:18" s="58" customFormat="1" ht="30">
      <c r="A305" s="67" t="s">
        <v>334</v>
      </c>
      <c r="B305" s="82"/>
      <c r="C305" s="82"/>
      <c r="D305" s="96" t="s">
        <v>368</v>
      </c>
      <c r="E305" s="96">
        <f>SUM(F305,I305)</f>
        <v>147755845</v>
      </c>
      <c r="F305" s="96">
        <f>F306+F307+F309+F311+F313+F315+F318+F320+F322+F326+F328+F332+F334+F336+F338+F340+F342+F344+F346+F348+F352+F356+F364+F366+F367+F368+F369+F330+F360+F361+F350</f>
        <v>147755845</v>
      </c>
      <c r="G305" s="96">
        <f>G306+G307+G309+G311+G313+G315+G318+G320+G322+G326+G328+G332+G334+G336+G338+G340+G342+G344+G346+G348+G352+G356+G364+G366+G367+G368+G369+G330+G360+G361</f>
        <v>7411432</v>
      </c>
      <c r="H305" s="96">
        <f>H306+H307+H309+H311+H313+H315+H318+H320+H322+H326+H328+H332+H334+H336+H338+H340+H342+H344+H346+H348+H352+H356+H364+H366+H367+H368+H369+H330+H360+H361</f>
        <v>321250</v>
      </c>
      <c r="I305" s="96">
        <f>I306+I307+I309+I311+I313+I315+I318+I320+I322+I326+I328+I332+I334+I336+I338+I340+I342+I344+I346+I348+I352+I356+I364+I366+I367+I368+I369+I330+I360+I361</f>
        <v>0</v>
      </c>
      <c r="J305" s="96">
        <f>K305+N305</f>
        <v>44400</v>
      </c>
      <c r="K305" s="96">
        <f>K306+K307+K309+K311+K313+K315+K318+K320+K322+K326+K328+K332+K334+K336+K338+K340+K342+K344+K346+K348+K352+K356+K364+K366+K367+K368+K369+K330+K360+K361</f>
        <v>44400</v>
      </c>
      <c r="L305" s="96">
        <f>L306+L307+L309+L311+L313+L315+L318+L320+L322+L326+L328+L332+L334+L336+L338+L340+L342+L344+L346+L348+L352+L356+L364+L366+L367+L368+L369+L330+L360+L361</f>
        <v>30400</v>
      </c>
      <c r="M305" s="96">
        <f>M306+M307+M309+M311+M313+M315+M318+M320+M322+M326+M328+M332+M334+M336+M338+M340+M342+M344+M346+M348+M352+M356+M364+M366+M367+M368+M369+M330+M360+M361</f>
        <v>0</v>
      </c>
      <c r="N305" s="96">
        <f>N306+N307+N309+N311+N313+N315+N318+N320+N322+N326+N328+N332+N334+N336+N338+N340+N342+N344+N346+N348+N352+N356+N364+N366+N367+N368+N369+N330+N360+N361</f>
        <v>0</v>
      </c>
      <c r="O305" s="96">
        <f>O306+O307+O309+O311+O313+O315+O318+O320+O322+O326+O328+O332+O334+O336+O338+O340+O342+O344+O346+O348+O352+O356+O364+O366+O367+O368+O369+O330+O360+O361</f>
        <v>0</v>
      </c>
      <c r="P305" s="124">
        <f>E305+J305</f>
        <v>147800245</v>
      </c>
      <c r="Q305" s="96">
        <f>Q306+Q307+Q309+Q311+Q313+Q315+Q318+Q320+Q322+Q326+Q328+Q332+Q334+Q336+Q338+Q340+Q342+Q344+Q346+Q348+Q352+Q356+Q364+Q366+Q367+Q368+Q369+Q330+Q360+Q361</f>
        <v>0</v>
      </c>
      <c r="R305" s="58">
        <f>42243008.42</f>
        <v>42243008.42</v>
      </c>
    </row>
    <row r="306" spans="1:18" s="58" customFormat="1" ht="15">
      <c r="A306" s="68"/>
      <c r="B306" s="83" t="s">
        <v>19</v>
      </c>
      <c r="C306" s="83" t="s">
        <v>18</v>
      </c>
      <c r="D306" s="70" t="s">
        <v>20</v>
      </c>
      <c r="E306" s="104">
        <f>F306++I306</f>
        <v>5582920</v>
      </c>
      <c r="F306" s="70">
        <f>5914957-605778+273741</f>
        <v>5582920</v>
      </c>
      <c r="G306" s="70">
        <f>4236212+232150</f>
        <v>4468362</v>
      </c>
      <c r="H306" s="70"/>
      <c r="I306" s="70"/>
      <c r="J306" s="100">
        <f aca="true" t="shared" si="26" ref="J306:J368">K306+N306</f>
        <v>0</v>
      </c>
      <c r="K306" s="70"/>
      <c r="L306" s="70"/>
      <c r="M306" s="70"/>
      <c r="N306" s="70"/>
      <c r="O306" s="70"/>
      <c r="P306" s="125">
        <f>E306+J306</f>
        <v>5582920</v>
      </c>
      <c r="Q306" s="127"/>
      <c r="R306" s="58">
        <f>SUM(E307,E309,E311,E313,E315,E318,E320,E322,E326,E328,E332,E334,E336,E338,E340,E342,E344,E346,E348,E352,E356,E360,E364,E361,E369)</f>
        <v>137928100</v>
      </c>
    </row>
    <row r="307" spans="1:18" s="63" customFormat="1" ht="30">
      <c r="A307" s="51"/>
      <c r="B307" s="75" t="s">
        <v>89</v>
      </c>
      <c r="C307" s="84" t="s">
        <v>26</v>
      </c>
      <c r="D307" s="2" t="s">
        <v>90</v>
      </c>
      <c r="E307" s="104">
        <f>F307++I307</f>
        <v>1838030</v>
      </c>
      <c r="F307" s="2">
        <f>F308</f>
        <v>1838030</v>
      </c>
      <c r="G307" s="2"/>
      <c r="H307" s="2"/>
      <c r="I307" s="2"/>
      <c r="J307" s="100">
        <f t="shared" si="26"/>
        <v>0</v>
      </c>
      <c r="K307" s="2"/>
      <c r="L307" s="2"/>
      <c r="M307" s="2"/>
      <c r="N307" s="2"/>
      <c r="O307" s="2"/>
      <c r="P307" s="125">
        <f aca="true" t="shared" si="27" ref="P307:P369">E307+J307</f>
        <v>1838030</v>
      </c>
      <c r="Q307" s="66"/>
      <c r="R307" s="63">
        <f>SUM(E366:E368,E306)</f>
        <v>9789710</v>
      </c>
    </row>
    <row r="308" spans="1:17" s="63" customFormat="1" ht="135">
      <c r="A308" s="51"/>
      <c r="B308" s="75"/>
      <c r="C308" s="84"/>
      <c r="D308" s="85" t="s">
        <v>282</v>
      </c>
      <c r="E308" s="104">
        <f>F308++I308</f>
        <v>1838030</v>
      </c>
      <c r="F308" s="2">
        <v>1838030</v>
      </c>
      <c r="G308" s="2"/>
      <c r="H308" s="2"/>
      <c r="I308" s="2"/>
      <c r="J308" s="100">
        <f t="shared" si="26"/>
        <v>0</v>
      </c>
      <c r="K308" s="2"/>
      <c r="L308" s="2"/>
      <c r="M308" s="2"/>
      <c r="N308" s="2"/>
      <c r="O308" s="2"/>
      <c r="P308" s="106">
        <f t="shared" si="27"/>
        <v>1838030</v>
      </c>
      <c r="Q308" s="66"/>
    </row>
    <row r="309" spans="1:17" s="63" customFormat="1" ht="225">
      <c r="A309" s="51"/>
      <c r="B309" s="75" t="s">
        <v>92</v>
      </c>
      <c r="C309" s="84" t="s">
        <v>91</v>
      </c>
      <c r="D309" s="2" t="s">
        <v>93</v>
      </c>
      <c r="E309" s="104">
        <f aca="true" t="shared" si="28" ref="E309:E365">F309++I309</f>
        <v>11500000</v>
      </c>
      <c r="F309" s="2">
        <f>F310</f>
        <v>11500000</v>
      </c>
      <c r="G309" s="2"/>
      <c r="H309" s="2"/>
      <c r="I309" s="2"/>
      <c r="J309" s="100">
        <f t="shared" si="26"/>
        <v>0</v>
      </c>
      <c r="K309" s="2"/>
      <c r="L309" s="2"/>
      <c r="M309" s="2"/>
      <c r="N309" s="2"/>
      <c r="O309" s="2"/>
      <c r="P309" s="106">
        <f t="shared" si="27"/>
        <v>11500000</v>
      </c>
      <c r="Q309" s="66"/>
    </row>
    <row r="310" spans="1:17" s="63" customFormat="1" ht="120">
      <c r="A310" s="51"/>
      <c r="B310" s="75"/>
      <c r="C310" s="84"/>
      <c r="D310" s="85" t="s">
        <v>283</v>
      </c>
      <c r="E310" s="104">
        <f t="shared" si="28"/>
        <v>11500000</v>
      </c>
      <c r="F310" s="2">
        <f>16000000-4000000-500000</f>
        <v>11500000</v>
      </c>
      <c r="G310" s="2"/>
      <c r="H310" s="2"/>
      <c r="I310" s="2"/>
      <c r="J310" s="100">
        <f t="shared" si="26"/>
        <v>0</v>
      </c>
      <c r="K310" s="2"/>
      <c r="L310" s="2"/>
      <c r="M310" s="2"/>
      <c r="N310" s="2"/>
      <c r="O310" s="2"/>
      <c r="P310" s="106">
        <f t="shared" si="27"/>
        <v>11500000</v>
      </c>
      <c r="Q310" s="66"/>
    </row>
    <row r="311" spans="1:17" s="63" customFormat="1" ht="195">
      <c r="A311" s="51"/>
      <c r="B311" s="75" t="s">
        <v>94</v>
      </c>
      <c r="C311" s="84" t="s">
        <v>91</v>
      </c>
      <c r="D311" s="2" t="s">
        <v>95</v>
      </c>
      <c r="E311" s="104">
        <f t="shared" si="28"/>
        <v>0</v>
      </c>
      <c r="F311" s="2">
        <f>F312</f>
        <v>0</v>
      </c>
      <c r="G311" s="2"/>
      <c r="H311" s="2"/>
      <c r="I311" s="2"/>
      <c r="J311" s="100">
        <f t="shared" si="26"/>
        <v>0</v>
      </c>
      <c r="K311" s="2"/>
      <c r="L311" s="2"/>
      <c r="M311" s="2"/>
      <c r="N311" s="2"/>
      <c r="O311" s="2"/>
      <c r="P311" s="106">
        <f t="shared" si="27"/>
        <v>0</v>
      </c>
      <c r="Q311" s="66"/>
    </row>
    <row r="312" spans="1:17" s="63" customFormat="1" ht="75">
      <c r="A312" s="51"/>
      <c r="B312" s="75"/>
      <c r="C312" s="84"/>
      <c r="D312" s="85" t="s">
        <v>285</v>
      </c>
      <c r="E312" s="104">
        <f t="shared" si="28"/>
        <v>0</v>
      </c>
      <c r="F312" s="2">
        <f>7100-7100</f>
        <v>0</v>
      </c>
      <c r="G312" s="2"/>
      <c r="H312" s="2"/>
      <c r="I312" s="2"/>
      <c r="J312" s="100">
        <f t="shared" si="26"/>
        <v>0</v>
      </c>
      <c r="K312" s="2"/>
      <c r="L312" s="2"/>
      <c r="M312" s="2"/>
      <c r="N312" s="2"/>
      <c r="O312" s="2"/>
      <c r="P312" s="106">
        <f t="shared" si="27"/>
        <v>0</v>
      </c>
      <c r="Q312" s="66"/>
    </row>
    <row r="313" spans="1:17" s="63" customFormat="1" ht="225">
      <c r="A313" s="51"/>
      <c r="B313" s="75" t="s">
        <v>96</v>
      </c>
      <c r="C313" s="84" t="s">
        <v>91</v>
      </c>
      <c r="D313" s="2" t="s">
        <v>97</v>
      </c>
      <c r="E313" s="104">
        <f t="shared" si="28"/>
        <v>0</v>
      </c>
      <c r="F313" s="2">
        <f>F314</f>
        <v>0</v>
      </c>
      <c r="G313" s="2"/>
      <c r="H313" s="2"/>
      <c r="I313" s="2"/>
      <c r="J313" s="100">
        <f t="shared" si="26"/>
        <v>0</v>
      </c>
      <c r="K313" s="2"/>
      <c r="L313" s="2"/>
      <c r="M313" s="2"/>
      <c r="N313" s="2"/>
      <c r="O313" s="2"/>
      <c r="P313" s="106">
        <f t="shared" si="27"/>
        <v>0</v>
      </c>
      <c r="Q313" s="66"/>
    </row>
    <row r="314" spans="1:17" s="63" customFormat="1" ht="285">
      <c r="A314" s="51"/>
      <c r="B314" s="75"/>
      <c r="C314" s="84"/>
      <c r="D314" s="85" t="s">
        <v>284</v>
      </c>
      <c r="E314" s="104">
        <f t="shared" si="28"/>
        <v>0</v>
      </c>
      <c r="F314" s="2">
        <f>15000-15000</f>
        <v>0</v>
      </c>
      <c r="G314" s="2"/>
      <c r="H314" s="2"/>
      <c r="I314" s="2"/>
      <c r="J314" s="100">
        <f t="shared" si="26"/>
        <v>0</v>
      </c>
      <c r="K314" s="2"/>
      <c r="L314" s="2"/>
      <c r="M314" s="2"/>
      <c r="N314" s="2"/>
      <c r="O314" s="2"/>
      <c r="P314" s="106">
        <f t="shared" si="27"/>
        <v>0</v>
      </c>
      <c r="Q314" s="66"/>
    </row>
    <row r="315" spans="1:17" s="63" customFormat="1" ht="360">
      <c r="A315" s="51"/>
      <c r="B315" s="75" t="s">
        <v>98</v>
      </c>
      <c r="C315" s="84" t="s">
        <v>91</v>
      </c>
      <c r="D315" s="2" t="s">
        <v>286</v>
      </c>
      <c r="E315" s="104">
        <f t="shared" si="28"/>
        <v>1200000</v>
      </c>
      <c r="F315" s="2">
        <f>F317</f>
        <v>1200000</v>
      </c>
      <c r="G315" s="2"/>
      <c r="H315" s="2"/>
      <c r="I315" s="2"/>
      <c r="J315" s="100">
        <f t="shared" si="26"/>
        <v>0</v>
      </c>
      <c r="K315" s="2"/>
      <c r="L315" s="2"/>
      <c r="M315" s="2"/>
      <c r="N315" s="2"/>
      <c r="O315" s="2"/>
      <c r="P315" s="106">
        <f t="shared" si="27"/>
        <v>1200000</v>
      </c>
      <c r="Q315" s="66"/>
    </row>
    <row r="316" spans="1:17" s="63" customFormat="1" ht="330">
      <c r="A316" s="51"/>
      <c r="B316" s="75"/>
      <c r="C316" s="84"/>
      <c r="D316" s="2" t="s">
        <v>287</v>
      </c>
      <c r="E316" s="104"/>
      <c r="F316" s="2"/>
      <c r="G316" s="2"/>
      <c r="H316" s="2"/>
      <c r="I316" s="2"/>
      <c r="J316" s="100"/>
      <c r="K316" s="2"/>
      <c r="L316" s="2"/>
      <c r="M316" s="2"/>
      <c r="N316" s="2"/>
      <c r="O316" s="2"/>
      <c r="P316" s="106"/>
      <c r="Q316" s="66"/>
    </row>
    <row r="317" spans="1:17" s="63" customFormat="1" ht="120">
      <c r="A317" s="51"/>
      <c r="B317" s="75"/>
      <c r="C317" s="75"/>
      <c r="D317" s="85" t="s">
        <v>283</v>
      </c>
      <c r="E317" s="100">
        <f t="shared" si="28"/>
        <v>1200000</v>
      </c>
      <c r="F317" s="2">
        <v>1200000</v>
      </c>
      <c r="G317" s="2"/>
      <c r="H317" s="2"/>
      <c r="I317" s="2"/>
      <c r="J317" s="100">
        <f t="shared" si="26"/>
        <v>0</v>
      </c>
      <c r="K317" s="2"/>
      <c r="L317" s="2"/>
      <c r="M317" s="2"/>
      <c r="N317" s="2"/>
      <c r="O317" s="2"/>
      <c r="P317" s="106">
        <f t="shared" si="27"/>
        <v>1200000</v>
      </c>
      <c r="Q317" s="66"/>
    </row>
    <row r="318" spans="1:17" s="63" customFormat="1" ht="90">
      <c r="A318" s="51"/>
      <c r="B318" s="75" t="s">
        <v>100</v>
      </c>
      <c r="C318" s="84" t="s">
        <v>99</v>
      </c>
      <c r="D318" s="2" t="s">
        <v>101</v>
      </c>
      <c r="E318" s="104">
        <f t="shared" si="28"/>
        <v>1000000</v>
      </c>
      <c r="F318" s="2">
        <f>F319</f>
        <v>1000000</v>
      </c>
      <c r="G318" s="2"/>
      <c r="H318" s="2"/>
      <c r="I318" s="2"/>
      <c r="J318" s="100">
        <f t="shared" si="26"/>
        <v>0</v>
      </c>
      <c r="K318" s="2"/>
      <c r="L318" s="2"/>
      <c r="M318" s="2"/>
      <c r="N318" s="2"/>
      <c r="O318" s="2"/>
      <c r="P318" s="106">
        <f t="shared" si="27"/>
        <v>1000000</v>
      </c>
      <c r="Q318" s="66"/>
    </row>
    <row r="319" spans="1:17" s="63" customFormat="1" ht="120">
      <c r="A319" s="51"/>
      <c r="B319" s="75"/>
      <c r="C319" s="84"/>
      <c r="D319" s="85" t="s">
        <v>283</v>
      </c>
      <c r="E319" s="104">
        <f t="shared" si="28"/>
        <v>1000000</v>
      </c>
      <c r="F319" s="2">
        <v>1000000</v>
      </c>
      <c r="G319" s="2"/>
      <c r="H319" s="2"/>
      <c r="I319" s="2"/>
      <c r="J319" s="100">
        <f t="shared" si="26"/>
        <v>0</v>
      </c>
      <c r="K319" s="2"/>
      <c r="L319" s="2"/>
      <c r="M319" s="2"/>
      <c r="N319" s="2"/>
      <c r="O319" s="2"/>
      <c r="P319" s="106">
        <f t="shared" si="27"/>
        <v>1000000</v>
      </c>
      <c r="Q319" s="66"/>
    </row>
    <row r="320" spans="1:17" s="63" customFormat="1" ht="90" hidden="1">
      <c r="A320" s="51"/>
      <c r="B320" s="75" t="s">
        <v>255</v>
      </c>
      <c r="C320" s="84" t="s">
        <v>99</v>
      </c>
      <c r="D320" s="86" t="s">
        <v>256</v>
      </c>
      <c r="E320" s="104">
        <f t="shared" si="28"/>
        <v>0</v>
      </c>
      <c r="F320" s="2">
        <f>F321</f>
        <v>0</v>
      </c>
      <c r="G320" s="2"/>
      <c r="H320" s="2"/>
      <c r="I320" s="2"/>
      <c r="J320" s="100">
        <f t="shared" si="26"/>
        <v>0</v>
      </c>
      <c r="K320" s="2"/>
      <c r="L320" s="2"/>
      <c r="M320" s="2"/>
      <c r="N320" s="2"/>
      <c r="O320" s="2"/>
      <c r="P320" s="106">
        <f t="shared" si="27"/>
        <v>0</v>
      </c>
      <c r="Q320" s="66"/>
    </row>
    <row r="321" spans="1:17" s="63" customFormat="1" ht="75" hidden="1">
      <c r="A321" s="51"/>
      <c r="B321" s="75"/>
      <c r="C321" s="84"/>
      <c r="D321" s="85" t="s">
        <v>285</v>
      </c>
      <c r="E321" s="104">
        <f t="shared" si="28"/>
        <v>0</v>
      </c>
      <c r="F321" s="2">
        <v>0</v>
      </c>
      <c r="G321" s="2"/>
      <c r="H321" s="2"/>
      <c r="I321" s="2"/>
      <c r="J321" s="100">
        <f t="shared" si="26"/>
        <v>0</v>
      </c>
      <c r="K321" s="2"/>
      <c r="L321" s="2"/>
      <c r="M321" s="2"/>
      <c r="N321" s="2"/>
      <c r="O321" s="2"/>
      <c r="P321" s="106">
        <f t="shared" si="27"/>
        <v>0</v>
      </c>
      <c r="Q321" s="66"/>
    </row>
    <row r="322" spans="1:17" s="63" customFormat="1" ht="75">
      <c r="A322" s="51"/>
      <c r="B322" s="75" t="s">
        <v>102</v>
      </c>
      <c r="C322" s="84" t="s">
        <v>99</v>
      </c>
      <c r="D322" s="2" t="s">
        <v>103</v>
      </c>
      <c r="E322" s="104">
        <f t="shared" si="28"/>
        <v>0</v>
      </c>
      <c r="F322" s="2">
        <f>F323</f>
        <v>0</v>
      </c>
      <c r="G322" s="2"/>
      <c r="H322" s="2"/>
      <c r="I322" s="2"/>
      <c r="J322" s="100">
        <f t="shared" si="26"/>
        <v>0</v>
      </c>
      <c r="K322" s="2"/>
      <c r="L322" s="2"/>
      <c r="M322" s="2"/>
      <c r="N322" s="2"/>
      <c r="O322" s="2"/>
      <c r="P322" s="106">
        <f t="shared" si="27"/>
        <v>0</v>
      </c>
      <c r="Q322" s="66"/>
    </row>
    <row r="323" spans="1:17" s="63" customFormat="1" ht="285">
      <c r="A323" s="51"/>
      <c r="B323" s="75"/>
      <c r="C323" s="84"/>
      <c r="D323" s="85" t="s">
        <v>284</v>
      </c>
      <c r="E323" s="104">
        <f t="shared" si="28"/>
        <v>0</v>
      </c>
      <c r="F323" s="2">
        <f>10000-10000</f>
        <v>0</v>
      </c>
      <c r="G323" s="2"/>
      <c r="H323" s="2"/>
      <c r="I323" s="2"/>
      <c r="J323" s="100">
        <f t="shared" si="26"/>
        <v>0</v>
      </c>
      <c r="K323" s="2"/>
      <c r="L323" s="2"/>
      <c r="M323" s="2"/>
      <c r="N323" s="2"/>
      <c r="O323" s="2"/>
      <c r="P323" s="106">
        <f t="shared" si="27"/>
        <v>0</v>
      </c>
      <c r="Q323" s="66"/>
    </row>
    <row r="324" spans="1:17" s="63" customFormat="1" ht="195" hidden="1">
      <c r="A324" s="51"/>
      <c r="B324" s="75" t="s">
        <v>104</v>
      </c>
      <c r="C324" s="84" t="s">
        <v>99</v>
      </c>
      <c r="D324" s="2" t="s">
        <v>105</v>
      </c>
      <c r="E324" s="104">
        <f t="shared" si="28"/>
        <v>0</v>
      </c>
      <c r="F324" s="2">
        <f>F325</f>
        <v>0</v>
      </c>
      <c r="G324" s="2"/>
      <c r="H324" s="2"/>
      <c r="I324" s="2"/>
      <c r="J324" s="100">
        <f t="shared" si="26"/>
        <v>0</v>
      </c>
      <c r="K324" s="2"/>
      <c r="L324" s="2"/>
      <c r="M324" s="2"/>
      <c r="N324" s="2"/>
      <c r="O324" s="2"/>
      <c r="P324" s="106">
        <f t="shared" si="27"/>
        <v>0</v>
      </c>
      <c r="Q324" s="66"/>
    </row>
    <row r="325" spans="1:17" s="63" customFormat="1" ht="120" hidden="1">
      <c r="A325" s="51"/>
      <c r="B325" s="75"/>
      <c r="C325" s="84"/>
      <c r="D325" s="85" t="s">
        <v>283</v>
      </c>
      <c r="E325" s="104">
        <f t="shared" si="28"/>
        <v>0</v>
      </c>
      <c r="F325" s="2">
        <v>0</v>
      </c>
      <c r="G325" s="2"/>
      <c r="H325" s="2"/>
      <c r="I325" s="2"/>
      <c r="J325" s="100">
        <f t="shared" si="26"/>
        <v>0</v>
      </c>
      <c r="K325" s="2"/>
      <c r="L325" s="2"/>
      <c r="M325" s="2"/>
      <c r="N325" s="2"/>
      <c r="O325" s="2"/>
      <c r="P325" s="106">
        <f t="shared" si="27"/>
        <v>0</v>
      </c>
      <c r="Q325" s="66"/>
    </row>
    <row r="326" spans="1:17" s="63" customFormat="1" ht="30">
      <c r="A326" s="51"/>
      <c r="B326" s="75" t="s">
        <v>106</v>
      </c>
      <c r="C326" s="84" t="s">
        <v>99</v>
      </c>
      <c r="D326" s="2" t="s">
        <v>107</v>
      </c>
      <c r="E326" s="104">
        <f t="shared" si="28"/>
        <v>0</v>
      </c>
      <c r="F326" s="2">
        <f>F327</f>
        <v>0</v>
      </c>
      <c r="G326" s="2"/>
      <c r="H326" s="2"/>
      <c r="I326" s="2"/>
      <c r="J326" s="100">
        <f t="shared" si="26"/>
        <v>0</v>
      </c>
      <c r="K326" s="2"/>
      <c r="L326" s="2"/>
      <c r="M326" s="2"/>
      <c r="N326" s="2"/>
      <c r="O326" s="2"/>
      <c r="P326" s="106">
        <f t="shared" si="27"/>
        <v>0</v>
      </c>
      <c r="Q326" s="66"/>
    </row>
    <row r="327" spans="1:17" s="63" customFormat="1" ht="285">
      <c r="A327" s="51"/>
      <c r="B327" s="75"/>
      <c r="C327" s="84"/>
      <c r="D327" s="85" t="s">
        <v>284</v>
      </c>
      <c r="E327" s="104">
        <f t="shared" si="28"/>
        <v>0</v>
      </c>
      <c r="F327" s="2">
        <f>482000-482000</f>
        <v>0</v>
      </c>
      <c r="G327" s="2"/>
      <c r="H327" s="2"/>
      <c r="I327" s="2"/>
      <c r="J327" s="100">
        <f t="shared" si="26"/>
        <v>0</v>
      </c>
      <c r="K327" s="2"/>
      <c r="L327" s="2"/>
      <c r="M327" s="2"/>
      <c r="N327" s="2"/>
      <c r="O327" s="2"/>
      <c r="P327" s="106">
        <f t="shared" si="27"/>
        <v>0</v>
      </c>
      <c r="Q327" s="66"/>
    </row>
    <row r="328" spans="1:17" s="63" customFormat="1" ht="120">
      <c r="A328" s="51"/>
      <c r="B328" s="75" t="s">
        <v>108</v>
      </c>
      <c r="C328" s="84" t="s">
        <v>99</v>
      </c>
      <c r="D328" s="2" t="s">
        <v>109</v>
      </c>
      <c r="E328" s="104">
        <f t="shared" si="28"/>
        <v>1100000</v>
      </c>
      <c r="F328" s="2">
        <f>F329</f>
        <v>1100000</v>
      </c>
      <c r="G328" s="2"/>
      <c r="H328" s="2"/>
      <c r="I328" s="2"/>
      <c r="J328" s="100">
        <f t="shared" si="26"/>
        <v>0</v>
      </c>
      <c r="K328" s="2"/>
      <c r="L328" s="2"/>
      <c r="M328" s="2"/>
      <c r="N328" s="2"/>
      <c r="O328" s="2"/>
      <c r="P328" s="106">
        <f t="shared" si="27"/>
        <v>1100000</v>
      </c>
      <c r="Q328" s="66"/>
    </row>
    <row r="329" spans="1:17" s="63" customFormat="1" ht="120">
      <c r="A329" s="51"/>
      <c r="B329" s="75"/>
      <c r="C329" s="84"/>
      <c r="D329" s="85" t="s">
        <v>283</v>
      </c>
      <c r="E329" s="104">
        <f t="shared" si="28"/>
        <v>1100000</v>
      </c>
      <c r="F329" s="2">
        <v>1100000</v>
      </c>
      <c r="G329" s="2"/>
      <c r="H329" s="2"/>
      <c r="I329" s="2"/>
      <c r="J329" s="100">
        <f t="shared" si="26"/>
        <v>0</v>
      </c>
      <c r="K329" s="2"/>
      <c r="L329" s="2"/>
      <c r="M329" s="2"/>
      <c r="N329" s="2"/>
      <c r="O329" s="2"/>
      <c r="P329" s="106">
        <f t="shared" si="27"/>
        <v>1100000</v>
      </c>
      <c r="Q329" s="66"/>
    </row>
    <row r="330" spans="1:17" s="63" customFormat="1" ht="135">
      <c r="A330" s="51"/>
      <c r="B330" s="75" t="s">
        <v>110</v>
      </c>
      <c r="C330" s="84" t="s">
        <v>99</v>
      </c>
      <c r="D330" s="2" t="s">
        <v>111</v>
      </c>
      <c r="E330" s="104">
        <f t="shared" si="28"/>
        <v>0</v>
      </c>
      <c r="F330" s="2">
        <f>F331</f>
        <v>0</v>
      </c>
      <c r="G330" s="2"/>
      <c r="H330" s="2"/>
      <c r="I330" s="2"/>
      <c r="J330" s="100">
        <f t="shared" si="26"/>
        <v>0</v>
      </c>
      <c r="K330" s="2"/>
      <c r="L330" s="2"/>
      <c r="M330" s="2"/>
      <c r="N330" s="2"/>
      <c r="O330" s="2"/>
      <c r="P330" s="106">
        <f t="shared" si="27"/>
        <v>0</v>
      </c>
      <c r="Q330" s="66"/>
    </row>
    <row r="331" spans="1:17" s="63" customFormat="1" ht="75">
      <c r="A331" s="51"/>
      <c r="B331" s="75"/>
      <c r="C331" s="84"/>
      <c r="D331" s="85" t="s">
        <v>285</v>
      </c>
      <c r="E331" s="104">
        <f t="shared" si="28"/>
        <v>0</v>
      </c>
      <c r="F331" s="2">
        <f>900-900</f>
        <v>0</v>
      </c>
      <c r="G331" s="2"/>
      <c r="H331" s="2"/>
      <c r="I331" s="2"/>
      <c r="J331" s="100">
        <f t="shared" si="26"/>
        <v>0</v>
      </c>
      <c r="K331" s="2"/>
      <c r="L331" s="2"/>
      <c r="M331" s="2"/>
      <c r="N331" s="2"/>
      <c r="O331" s="2"/>
      <c r="P331" s="106">
        <f t="shared" si="27"/>
        <v>0</v>
      </c>
      <c r="Q331" s="66"/>
    </row>
    <row r="332" spans="1:17" s="63" customFormat="1" ht="15">
      <c r="A332" s="51"/>
      <c r="B332" s="75" t="s">
        <v>112</v>
      </c>
      <c r="C332" s="84" t="s">
        <v>51</v>
      </c>
      <c r="D332" s="2" t="s">
        <v>113</v>
      </c>
      <c r="E332" s="104">
        <f t="shared" si="28"/>
        <v>739000</v>
      </c>
      <c r="F332" s="2">
        <f>F333</f>
        <v>739000</v>
      </c>
      <c r="G332" s="2"/>
      <c r="H332" s="2"/>
      <c r="I332" s="2"/>
      <c r="J332" s="100">
        <f t="shared" si="26"/>
        <v>0</v>
      </c>
      <c r="K332" s="2"/>
      <c r="L332" s="2"/>
      <c r="M332" s="2"/>
      <c r="N332" s="2"/>
      <c r="O332" s="2"/>
      <c r="P332" s="106">
        <f t="shared" si="27"/>
        <v>739000</v>
      </c>
      <c r="Q332" s="66"/>
    </row>
    <row r="333" spans="1:17" s="63" customFormat="1" ht="105">
      <c r="A333" s="51"/>
      <c r="B333" s="75"/>
      <c r="C333" s="84"/>
      <c r="D333" s="85" t="s">
        <v>281</v>
      </c>
      <c r="E333" s="104">
        <f t="shared" si="28"/>
        <v>739000</v>
      </c>
      <c r="F333" s="2">
        <v>739000</v>
      </c>
      <c r="G333" s="2"/>
      <c r="H333" s="2"/>
      <c r="I333" s="2"/>
      <c r="J333" s="100">
        <f t="shared" si="26"/>
        <v>0</v>
      </c>
      <c r="K333" s="2"/>
      <c r="L333" s="2"/>
      <c r="M333" s="2"/>
      <c r="N333" s="2"/>
      <c r="O333" s="2"/>
      <c r="P333" s="106">
        <f t="shared" si="27"/>
        <v>739000</v>
      </c>
      <c r="Q333" s="66"/>
    </row>
    <row r="334" spans="1:17" s="63" customFormat="1" ht="30">
      <c r="A334" s="51"/>
      <c r="B334" s="75" t="s">
        <v>114</v>
      </c>
      <c r="C334" s="84" t="s">
        <v>51</v>
      </c>
      <c r="D334" s="2" t="s">
        <v>115</v>
      </c>
      <c r="E334" s="104">
        <f t="shared" si="28"/>
        <v>549300</v>
      </c>
      <c r="F334" s="2">
        <f>F335</f>
        <v>549300</v>
      </c>
      <c r="G334" s="2"/>
      <c r="H334" s="2"/>
      <c r="I334" s="2"/>
      <c r="J334" s="100">
        <f t="shared" si="26"/>
        <v>0</v>
      </c>
      <c r="K334" s="2"/>
      <c r="L334" s="2"/>
      <c r="M334" s="2"/>
      <c r="N334" s="2"/>
      <c r="O334" s="2"/>
      <c r="P334" s="106">
        <f t="shared" si="27"/>
        <v>549300</v>
      </c>
      <c r="Q334" s="66"/>
    </row>
    <row r="335" spans="1:17" s="63" customFormat="1" ht="105">
      <c r="A335" s="51"/>
      <c r="B335" s="75"/>
      <c r="C335" s="84"/>
      <c r="D335" s="85" t="s">
        <v>281</v>
      </c>
      <c r="E335" s="104">
        <f t="shared" si="28"/>
        <v>549300</v>
      </c>
      <c r="F335" s="2">
        <f>639000-89700</f>
        <v>549300</v>
      </c>
      <c r="G335" s="2"/>
      <c r="H335" s="2"/>
      <c r="I335" s="2"/>
      <c r="J335" s="100">
        <f t="shared" si="26"/>
        <v>0</v>
      </c>
      <c r="K335" s="2"/>
      <c r="L335" s="2"/>
      <c r="M335" s="2"/>
      <c r="N335" s="2"/>
      <c r="O335" s="2"/>
      <c r="P335" s="106">
        <f t="shared" si="27"/>
        <v>549300</v>
      </c>
      <c r="Q335" s="66"/>
    </row>
    <row r="336" spans="1:17" s="63" customFormat="1" ht="15">
      <c r="A336" s="51"/>
      <c r="B336" s="75" t="s">
        <v>116</v>
      </c>
      <c r="C336" s="84" t="s">
        <v>51</v>
      </c>
      <c r="D336" s="2" t="s">
        <v>117</v>
      </c>
      <c r="E336" s="104">
        <f t="shared" si="28"/>
        <v>35562200</v>
      </c>
      <c r="F336" s="2">
        <f>F337</f>
        <v>35562200</v>
      </c>
      <c r="G336" s="2"/>
      <c r="H336" s="2"/>
      <c r="I336" s="2"/>
      <c r="J336" s="100">
        <f t="shared" si="26"/>
        <v>0</v>
      </c>
      <c r="K336" s="2"/>
      <c r="L336" s="2"/>
      <c r="M336" s="2"/>
      <c r="N336" s="2"/>
      <c r="O336" s="2"/>
      <c r="P336" s="106">
        <f t="shared" si="27"/>
        <v>35562200</v>
      </c>
      <c r="Q336" s="66"/>
    </row>
    <row r="337" spans="1:17" s="63" customFormat="1" ht="105">
      <c r="A337" s="51"/>
      <c r="B337" s="75"/>
      <c r="C337" s="84"/>
      <c r="D337" s="85" t="s">
        <v>281</v>
      </c>
      <c r="E337" s="104">
        <f t="shared" si="28"/>
        <v>35562200</v>
      </c>
      <c r="F337" s="2">
        <f>41384000-1970200-3851600</f>
        <v>35562200</v>
      </c>
      <c r="G337" s="2"/>
      <c r="H337" s="2"/>
      <c r="I337" s="2"/>
      <c r="J337" s="100">
        <f t="shared" si="26"/>
        <v>0</v>
      </c>
      <c r="K337" s="2"/>
      <c r="L337" s="2"/>
      <c r="M337" s="2"/>
      <c r="N337" s="2"/>
      <c r="O337" s="2"/>
      <c r="P337" s="106">
        <f t="shared" si="27"/>
        <v>35562200</v>
      </c>
      <c r="Q337" s="66"/>
    </row>
    <row r="338" spans="1:17" s="63" customFormat="1" ht="30">
      <c r="A338" s="51"/>
      <c r="B338" s="75" t="s">
        <v>118</v>
      </c>
      <c r="C338" s="84" t="s">
        <v>51</v>
      </c>
      <c r="D338" s="2" t="s">
        <v>119</v>
      </c>
      <c r="E338" s="104">
        <f t="shared" si="28"/>
        <v>4040000</v>
      </c>
      <c r="F338" s="2">
        <f>F339</f>
        <v>4040000</v>
      </c>
      <c r="G338" s="2"/>
      <c r="H338" s="2"/>
      <c r="I338" s="2"/>
      <c r="J338" s="100">
        <f t="shared" si="26"/>
        <v>0</v>
      </c>
      <c r="K338" s="2"/>
      <c r="L338" s="2"/>
      <c r="M338" s="2"/>
      <c r="N338" s="2"/>
      <c r="O338" s="2"/>
      <c r="P338" s="106">
        <f t="shared" si="27"/>
        <v>4040000</v>
      </c>
      <c r="Q338" s="66"/>
    </row>
    <row r="339" spans="1:17" s="63" customFormat="1" ht="105">
      <c r="A339" s="51"/>
      <c r="B339" s="75"/>
      <c r="C339" s="84"/>
      <c r="D339" s="85" t="s">
        <v>281</v>
      </c>
      <c r="E339" s="104">
        <f t="shared" si="28"/>
        <v>4040000</v>
      </c>
      <c r="F339" s="2">
        <f>3695000+345000</f>
        <v>4040000</v>
      </c>
      <c r="G339" s="2"/>
      <c r="H339" s="2"/>
      <c r="I339" s="2"/>
      <c r="J339" s="100">
        <f t="shared" si="26"/>
        <v>0</v>
      </c>
      <c r="K339" s="2"/>
      <c r="L339" s="2"/>
      <c r="M339" s="2"/>
      <c r="N339" s="2"/>
      <c r="O339" s="2"/>
      <c r="P339" s="106">
        <f t="shared" si="27"/>
        <v>4040000</v>
      </c>
      <c r="Q339" s="66"/>
    </row>
    <row r="340" spans="1:17" s="63" customFormat="1" ht="15">
      <c r="A340" s="51"/>
      <c r="B340" s="75" t="s">
        <v>120</v>
      </c>
      <c r="C340" s="84" t="s">
        <v>51</v>
      </c>
      <c r="D340" s="2" t="s">
        <v>121</v>
      </c>
      <c r="E340" s="104">
        <f t="shared" si="28"/>
        <v>7655200</v>
      </c>
      <c r="F340" s="2">
        <f>F341</f>
        <v>7655200</v>
      </c>
      <c r="G340" s="2"/>
      <c r="H340" s="2"/>
      <c r="I340" s="2"/>
      <c r="J340" s="100">
        <f t="shared" si="26"/>
        <v>0</v>
      </c>
      <c r="K340" s="2"/>
      <c r="L340" s="2"/>
      <c r="M340" s="2"/>
      <c r="N340" s="2"/>
      <c r="O340" s="2"/>
      <c r="P340" s="106">
        <f t="shared" si="27"/>
        <v>7655200</v>
      </c>
      <c r="Q340" s="66"/>
    </row>
    <row r="341" spans="1:17" s="63" customFormat="1" ht="105">
      <c r="A341" s="51"/>
      <c r="B341" s="75"/>
      <c r="C341" s="84"/>
      <c r="D341" s="85" t="s">
        <v>281</v>
      </c>
      <c r="E341" s="104">
        <f t="shared" si="28"/>
        <v>7655200</v>
      </c>
      <c r="F341" s="2">
        <f>8129000-474000+200</f>
        <v>7655200</v>
      </c>
      <c r="G341" s="2"/>
      <c r="H341" s="2"/>
      <c r="I341" s="2"/>
      <c r="J341" s="100">
        <f t="shared" si="26"/>
        <v>0</v>
      </c>
      <c r="K341" s="2"/>
      <c r="L341" s="2"/>
      <c r="M341" s="2"/>
      <c r="N341" s="2"/>
      <c r="O341" s="2"/>
      <c r="P341" s="106">
        <f t="shared" si="27"/>
        <v>7655200</v>
      </c>
      <c r="Q341" s="66"/>
    </row>
    <row r="342" spans="1:17" s="63" customFormat="1" ht="15">
      <c r="A342" s="51"/>
      <c r="B342" s="75" t="s">
        <v>122</v>
      </c>
      <c r="C342" s="84" t="s">
        <v>51</v>
      </c>
      <c r="D342" s="2" t="s">
        <v>123</v>
      </c>
      <c r="E342" s="104">
        <f t="shared" si="28"/>
        <v>908930</v>
      </c>
      <c r="F342" s="2">
        <f>F343</f>
        <v>908930</v>
      </c>
      <c r="G342" s="2"/>
      <c r="H342" s="2"/>
      <c r="I342" s="2"/>
      <c r="J342" s="100">
        <f t="shared" si="26"/>
        <v>0</v>
      </c>
      <c r="K342" s="2"/>
      <c r="L342" s="2"/>
      <c r="M342" s="2"/>
      <c r="N342" s="2"/>
      <c r="O342" s="2"/>
      <c r="P342" s="106">
        <f t="shared" si="27"/>
        <v>908930</v>
      </c>
      <c r="Q342" s="66"/>
    </row>
    <row r="343" spans="1:17" s="63" customFormat="1" ht="105">
      <c r="A343" s="51"/>
      <c r="B343" s="75"/>
      <c r="C343" s="84"/>
      <c r="D343" s="85" t="s">
        <v>281</v>
      </c>
      <c r="E343" s="104">
        <f t="shared" si="28"/>
        <v>908930</v>
      </c>
      <c r="F343" s="2">
        <f>1478000-370370-198700</f>
        <v>908930</v>
      </c>
      <c r="G343" s="2"/>
      <c r="H343" s="2"/>
      <c r="I343" s="2"/>
      <c r="J343" s="100">
        <f t="shared" si="26"/>
        <v>0</v>
      </c>
      <c r="K343" s="2"/>
      <c r="L343" s="2"/>
      <c r="M343" s="2"/>
      <c r="N343" s="2"/>
      <c r="O343" s="2"/>
      <c r="P343" s="106">
        <f t="shared" si="27"/>
        <v>908930</v>
      </c>
      <c r="Q343" s="66"/>
    </row>
    <row r="344" spans="1:17" s="63" customFormat="1" ht="15">
      <c r="A344" s="51"/>
      <c r="B344" s="75" t="s">
        <v>124</v>
      </c>
      <c r="C344" s="84" t="s">
        <v>51</v>
      </c>
      <c r="D344" s="2" t="s">
        <v>125</v>
      </c>
      <c r="E344" s="104">
        <f t="shared" si="28"/>
        <v>100000</v>
      </c>
      <c r="F344" s="2">
        <f>F345</f>
        <v>100000</v>
      </c>
      <c r="G344" s="2"/>
      <c r="H344" s="2"/>
      <c r="I344" s="2"/>
      <c r="J344" s="100">
        <f t="shared" si="26"/>
        <v>0</v>
      </c>
      <c r="K344" s="2"/>
      <c r="L344" s="2"/>
      <c r="M344" s="2"/>
      <c r="N344" s="2"/>
      <c r="O344" s="2"/>
      <c r="P344" s="106">
        <f t="shared" si="27"/>
        <v>100000</v>
      </c>
      <c r="Q344" s="66"/>
    </row>
    <row r="345" spans="1:17" s="63" customFormat="1" ht="105">
      <c r="A345" s="51"/>
      <c r="B345" s="75"/>
      <c r="C345" s="84"/>
      <c r="D345" s="85" t="s">
        <v>281</v>
      </c>
      <c r="E345" s="104">
        <f t="shared" si="28"/>
        <v>100000</v>
      </c>
      <c r="F345" s="2">
        <v>100000</v>
      </c>
      <c r="G345" s="2"/>
      <c r="H345" s="2"/>
      <c r="I345" s="2"/>
      <c r="J345" s="100">
        <f t="shared" si="26"/>
        <v>0</v>
      </c>
      <c r="K345" s="2"/>
      <c r="L345" s="2"/>
      <c r="M345" s="2"/>
      <c r="N345" s="2"/>
      <c r="O345" s="2"/>
      <c r="P345" s="106">
        <f t="shared" si="27"/>
        <v>100000</v>
      </c>
      <c r="Q345" s="66"/>
    </row>
    <row r="346" spans="1:17" s="63" customFormat="1" ht="30">
      <c r="A346" s="51"/>
      <c r="B346" s="75" t="s">
        <v>126</v>
      </c>
      <c r="C346" s="84" t="s">
        <v>51</v>
      </c>
      <c r="D346" s="2" t="s">
        <v>127</v>
      </c>
      <c r="E346" s="104">
        <f t="shared" si="28"/>
        <v>6372910</v>
      </c>
      <c r="F346" s="2">
        <f>F347</f>
        <v>6372910</v>
      </c>
      <c r="G346" s="2"/>
      <c r="H346" s="2"/>
      <c r="I346" s="2"/>
      <c r="J346" s="100">
        <f t="shared" si="26"/>
        <v>0</v>
      </c>
      <c r="K346" s="2"/>
      <c r="L346" s="2"/>
      <c r="M346" s="2"/>
      <c r="N346" s="2"/>
      <c r="O346" s="2"/>
      <c r="P346" s="106">
        <f t="shared" si="27"/>
        <v>6372910</v>
      </c>
      <c r="Q346" s="66"/>
    </row>
    <row r="347" spans="1:17" s="63" customFormat="1" ht="105">
      <c r="A347" s="51"/>
      <c r="B347" s="75"/>
      <c r="C347" s="84"/>
      <c r="D347" s="85" t="s">
        <v>281</v>
      </c>
      <c r="E347" s="104">
        <f t="shared" si="28"/>
        <v>6372910</v>
      </c>
      <c r="F347" s="2">
        <f>4434000-211090+2150000</f>
        <v>6372910</v>
      </c>
      <c r="G347" s="2"/>
      <c r="H347" s="2"/>
      <c r="I347" s="2"/>
      <c r="J347" s="100">
        <f t="shared" si="26"/>
        <v>0</v>
      </c>
      <c r="K347" s="2"/>
      <c r="L347" s="2"/>
      <c r="M347" s="2"/>
      <c r="N347" s="2"/>
      <c r="O347" s="2"/>
      <c r="P347" s="106">
        <f t="shared" si="27"/>
        <v>6372910</v>
      </c>
      <c r="Q347" s="66"/>
    </row>
    <row r="348" spans="1:17" s="63" customFormat="1" ht="30">
      <c r="A348" s="51"/>
      <c r="B348" s="75" t="s">
        <v>129</v>
      </c>
      <c r="C348" s="84" t="s">
        <v>128</v>
      </c>
      <c r="D348" s="2" t="s">
        <v>130</v>
      </c>
      <c r="E348" s="104">
        <f t="shared" si="28"/>
        <v>50106200</v>
      </c>
      <c r="F348" s="2">
        <f>F349</f>
        <v>50106200</v>
      </c>
      <c r="G348" s="2"/>
      <c r="H348" s="2"/>
      <c r="I348" s="2"/>
      <c r="J348" s="100">
        <f t="shared" si="26"/>
        <v>0</v>
      </c>
      <c r="K348" s="2"/>
      <c r="L348" s="2"/>
      <c r="M348" s="2"/>
      <c r="N348" s="2"/>
      <c r="O348" s="2"/>
      <c r="P348" s="106">
        <f t="shared" si="27"/>
        <v>50106200</v>
      </c>
      <c r="Q348" s="66"/>
    </row>
    <row r="349" spans="1:17" s="63" customFormat="1" ht="120">
      <c r="A349" s="51"/>
      <c r="B349" s="75"/>
      <c r="C349" s="84"/>
      <c r="D349" s="85" t="s">
        <v>283</v>
      </c>
      <c r="E349" s="104">
        <f t="shared" si="28"/>
        <v>50106200</v>
      </c>
      <c r="F349" s="2">
        <f>68614900-18508700</f>
        <v>50106200</v>
      </c>
      <c r="G349" s="2"/>
      <c r="H349" s="2"/>
      <c r="I349" s="2"/>
      <c r="J349" s="100">
        <f t="shared" si="26"/>
        <v>0</v>
      </c>
      <c r="K349" s="2"/>
      <c r="L349" s="2"/>
      <c r="M349" s="2"/>
      <c r="N349" s="2"/>
      <c r="O349" s="2"/>
      <c r="P349" s="106">
        <f t="shared" si="27"/>
        <v>50106200</v>
      </c>
      <c r="Q349" s="66"/>
    </row>
    <row r="350" spans="1:17" s="63" customFormat="1" ht="45">
      <c r="A350" s="51"/>
      <c r="B350" s="75" t="s">
        <v>131</v>
      </c>
      <c r="C350" s="84" t="s">
        <v>128</v>
      </c>
      <c r="D350" s="2" t="s">
        <v>132</v>
      </c>
      <c r="E350" s="104">
        <f>F350++I350</f>
        <v>38035</v>
      </c>
      <c r="F350" s="2">
        <f>F351</f>
        <v>38035</v>
      </c>
      <c r="G350" s="2"/>
      <c r="H350" s="2"/>
      <c r="I350" s="2"/>
      <c r="J350" s="100">
        <f t="shared" si="26"/>
        <v>0</v>
      </c>
      <c r="K350" s="2"/>
      <c r="L350" s="2"/>
      <c r="M350" s="2"/>
      <c r="N350" s="2"/>
      <c r="O350" s="2"/>
      <c r="P350" s="106">
        <f t="shared" si="27"/>
        <v>38035</v>
      </c>
      <c r="Q350" s="66"/>
    </row>
    <row r="351" spans="1:17" s="63" customFormat="1" ht="75">
      <c r="A351" s="51"/>
      <c r="B351" s="75"/>
      <c r="C351" s="84"/>
      <c r="D351" s="85" t="s">
        <v>285</v>
      </c>
      <c r="E351" s="104">
        <f t="shared" si="28"/>
        <v>38035</v>
      </c>
      <c r="F351" s="2">
        <f>16100+6200+15735</f>
        <v>38035</v>
      </c>
      <c r="G351" s="2"/>
      <c r="H351" s="2"/>
      <c r="I351" s="2"/>
      <c r="J351" s="100">
        <f t="shared" si="26"/>
        <v>0</v>
      </c>
      <c r="K351" s="2"/>
      <c r="L351" s="2"/>
      <c r="M351" s="2"/>
      <c r="N351" s="2"/>
      <c r="O351" s="2"/>
      <c r="P351" s="106">
        <f t="shared" si="27"/>
        <v>38035</v>
      </c>
      <c r="Q351" s="66"/>
    </row>
    <row r="352" spans="1:17" s="63" customFormat="1" ht="60" hidden="1">
      <c r="A352" s="51"/>
      <c r="B352" s="75" t="s">
        <v>133</v>
      </c>
      <c r="C352" s="84" t="s">
        <v>128</v>
      </c>
      <c r="D352" s="2" t="s">
        <v>134</v>
      </c>
      <c r="E352" s="104">
        <f t="shared" si="28"/>
        <v>0</v>
      </c>
      <c r="F352" s="2">
        <f>F353</f>
        <v>0</v>
      </c>
      <c r="G352" s="2"/>
      <c r="H352" s="2"/>
      <c r="I352" s="2"/>
      <c r="J352" s="100">
        <f t="shared" si="26"/>
        <v>0</v>
      </c>
      <c r="K352" s="2"/>
      <c r="L352" s="2"/>
      <c r="M352" s="2"/>
      <c r="N352" s="2"/>
      <c r="O352" s="2"/>
      <c r="P352" s="106">
        <f t="shared" si="27"/>
        <v>0</v>
      </c>
      <c r="Q352" s="66"/>
    </row>
    <row r="353" spans="1:17" s="63" customFormat="1" ht="120" hidden="1">
      <c r="A353" s="51"/>
      <c r="B353" s="75"/>
      <c r="C353" s="84"/>
      <c r="D353" s="85" t="s">
        <v>283</v>
      </c>
      <c r="E353" s="104">
        <f t="shared" si="28"/>
        <v>0</v>
      </c>
      <c r="F353" s="2"/>
      <c r="G353" s="2"/>
      <c r="H353" s="2"/>
      <c r="I353" s="2"/>
      <c r="J353" s="100">
        <f t="shared" si="26"/>
        <v>0</v>
      </c>
      <c r="K353" s="2"/>
      <c r="L353" s="2"/>
      <c r="M353" s="2"/>
      <c r="N353" s="2"/>
      <c r="O353" s="2"/>
      <c r="P353" s="106">
        <f t="shared" si="27"/>
        <v>0</v>
      </c>
      <c r="Q353" s="66"/>
    </row>
    <row r="354" spans="1:17" s="63" customFormat="1" ht="15" hidden="1">
      <c r="A354" s="51"/>
      <c r="B354" s="75" t="s">
        <v>136</v>
      </c>
      <c r="C354" s="84" t="s">
        <v>135</v>
      </c>
      <c r="D354" s="2" t="s">
        <v>137</v>
      </c>
      <c r="E354" s="104">
        <f t="shared" si="28"/>
        <v>0</v>
      </c>
      <c r="F354" s="2"/>
      <c r="G354" s="2"/>
      <c r="H354" s="2"/>
      <c r="I354" s="2"/>
      <c r="J354" s="100">
        <f t="shared" si="26"/>
        <v>0</v>
      </c>
      <c r="K354" s="2"/>
      <c r="L354" s="2"/>
      <c r="M354" s="2"/>
      <c r="N354" s="2"/>
      <c r="O354" s="2"/>
      <c r="P354" s="106">
        <f t="shared" si="27"/>
        <v>0</v>
      </c>
      <c r="Q354" s="66"/>
    </row>
    <row r="355" spans="1:17" s="63" customFormat="1" ht="30" hidden="1">
      <c r="A355" s="51"/>
      <c r="B355" s="75"/>
      <c r="C355" s="84"/>
      <c r="D355" s="2" t="s">
        <v>298</v>
      </c>
      <c r="E355" s="104">
        <f t="shared" si="28"/>
        <v>0</v>
      </c>
      <c r="F355" s="2"/>
      <c r="G355" s="2"/>
      <c r="H355" s="2"/>
      <c r="I355" s="2"/>
      <c r="J355" s="100">
        <f t="shared" si="26"/>
        <v>0</v>
      </c>
      <c r="K355" s="2"/>
      <c r="L355" s="2"/>
      <c r="M355" s="2"/>
      <c r="N355" s="2"/>
      <c r="O355" s="2"/>
      <c r="P355" s="106">
        <f t="shared" si="27"/>
        <v>0</v>
      </c>
      <c r="Q355" s="66"/>
    </row>
    <row r="356" spans="1:17" s="63" customFormat="1" ht="30">
      <c r="A356" s="51"/>
      <c r="B356" s="75" t="s">
        <v>139</v>
      </c>
      <c r="C356" s="84" t="s">
        <v>138</v>
      </c>
      <c r="D356" s="2" t="s">
        <v>140</v>
      </c>
      <c r="E356" s="104">
        <f t="shared" si="28"/>
        <v>3556000</v>
      </c>
      <c r="F356" s="2">
        <f>F357</f>
        <v>3556000</v>
      </c>
      <c r="G356" s="2"/>
      <c r="H356" s="2"/>
      <c r="I356" s="2"/>
      <c r="J356" s="100">
        <f t="shared" si="26"/>
        <v>0</v>
      </c>
      <c r="K356" s="2"/>
      <c r="L356" s="2"/>
      <c r="M356" s="2"/>
      <c r="N356" s="2"/>
      <c r="O356" s="2"/>
      <c r="P356" s="106">
        <f t="shared" si="27"/>
        <v>3556000</v>
      </c>
      <c r="Q356" s="66"/>
    </row>
    <row r="357" spans="1:17" s="63" customFormat="1" ht="105">
      <c r="A357" s="51"/>
      <c r="B357" s="75"/>
      <c r="C357" s="84"/>
      <c r="D357" s="85" t="s">
        <v>281</v>
      </c>
      <c r="E357" s="104">
        <f t="shared" si="28"/>
        <v>3556000</v>
      </c>
      <c r="F357" s="2">
        <f>2956000+600000</f>
        <v>3556000</v>
      </c>
      <c r="G357" s="2"/>
      <c r="H357" s="2"/>
      <c r="I357" s="2"/>
      <c r="J357" s="100">
        <f t="shared" si="26"/>
        <v>0</v>
      </c>
      <c r="K357" s="2"/>
      <c r="L357" s="2"/>
      <c r="M357" s="2"/>
      <c r="N357" s="2"/>
      <c r="O357" s="2"/>
      <c r="P357" s="106">
        <f t="shared" si="27"/>
        <v>3556000</v>
      </c>
      <c r="Q357" s="66"/>
    </row>
    <row r="358" spans="1:17" s="63" customFormat="1" ht="75" hidden="1">
      <c r="A358" s="51"/>
      <c r="B358" s="75" t="s">
        <v>141</v>
      </c>
      <c r="C358" s="84" t="s">
        <v>128</v>
      </c>
      <c r="D358" s="2" t="s">
        <v>142</v>
      </c>
      <c r="E358" s="104">
        <f t="shared" si="28"/>
        <v>0</v>
      </c>
      <c r="F358" s="2">
        <f>F359</f>
        <v>0</v>
      </c>
      <c r="G358" s="2"/>
      <c r="H358" s="2"/>
      <c r="I358" s="2"/>
      <c r="J358" s="100">
        <f t="shared" si="26"/>
        <v>0</v>
      </c>
      <c r="K358" s="2"/>
      <c r="L358" s="2"/>
      <c r="M358" s="2"/>
      <c r="N358" s="2"/>
      <c r="O358" s="2"/>
      <c r="P358" s="106">
        <f t="shared" si="27"/>
        <v>0</v>
      </c>
      <c r="Q358" s="66"/>
    </row>
    <row r="359" spans="1:17" s="63" customFormat="1" ht="75" hidden="1">
      <c r="A359" s="51"/>
      <c r="B359" s="75"/>
      <c r="C359" s="84"/>
      <c r="D359" s="85" t="s">
        <v>285</v>
      </c>
      <c r="E359" s="104">
        <f t="shared" si="28"/>
        <v>0</v>
      </c>
      <c r="F359" s="2">
        <v>0</v>
      </c>
      <c r="G359" s="2"/>
      <c r="H359" s="2"/>
      <c r="I359" s="2"/>
      <c r="J359" s="100">
        <f t="shared" si="26"/>
        <v>0</v>
      </c>
      <c r="K359" s="2"/>
      <c r="L359" s="2"/>
      <c r="M359" s="2"/>
      <c r="N359" s="2"/>
      <c r="O359" s="2"/>
      <c r="P359" s="106">
        <f t="shared" si="27"/>
        <v>0</v>
      </c>
      <c r="Q359" s="66"/>
    </row>
    <row r="360" spans="1:17" s="63" customFormat="1" ht="90">
      <c r="A360" s="51"/>
      <c r="B360" s="75" t="s">
        <v>143</v>
      </c>
      <c r="C360" s="84" t="s">
        <v>138</v>
      </c>
      <c r="D360" s="2" t="s">
        <v>144</v>
      </c>
      <c r="E360" s="104">
        <f t="shared" si="28"/>
        <v>284010</v>
      </c>
      <c r="F360" s="2">
        <v>284010</v>
      </c>
      <c r="G360" s="2"/>
      <c r="H360" s="2"/>
      <c r="I360" s="2"/>
      <c r="J360" s="100">
        <f t="shared" si="26"/>
        <v>0</v>
      </c>
      <c r="K360" s="2"/>
      <c r="L360" s="2"/>
      <c r="M360" s="2"/>
      <c r="N360" s="2"/>
      <c r="O360" s="2"/>
      <c r="P360" s="106">
        <f t="shared" si="27"/>
        <v>284010</v>
      </c>
      <c r="Q360" s="66"/>
    </row>
    <row r="361" spans="1:17" s="63" customFormat="1" ht="90">
      <c r="A361" s="51"/>
      <c r="B361" s="75" t="s">
        <v>145</v>
      </c>
      <c r="C361" s="84" t="s">
        <v>128</v>
      </c>
      <c r="D361" s="2" t="s">
        <v>146</v>
      </c>
      <c r="E361" s="104">
        <f t="shared" si="28"/>
        <v>518060</v>
      </c>
      <c r="F361" s="2">
        <v>518060</v>
      </c>
      <c r="G361" s="2"/>
      <c r="H361" s="2"/>
      <c r="I361" s="2"/>
      <c r="J361" s="100">
        <f t="shared" si="26"/>
        <v>0</v>
      </c>
      <c r="K361" s="2"/>
      <c r="L361" s="2"/>
      <c r="M361" s="2"/>
      <c r="N361" s="2"/>
      <c r="O361" s="2"/>
      <c r="P361" s="106">
        <f t="shared" si="27"/>
        <v>518060</v>
      </c>
      <c r="Q361" s="66"/>
    </row>
    <row r="362" spans="1:17" s="63" customFormat="1" ht="30" hidden="1">
      <c r="A362" s="51"/>
      <c r="B362" s="75" t="s">
        <v>147</v>
      </c>
      <c r="C362" s="84" t="s">
        <v>91</v>
      </c>
      <c r="D362" s="2" t="s">
        <v>148</v>
      </c>
      <c r="E362" s="104">
        <f t="shared" si="28"/>
        <v>0</v>
      </c>
      <c r="F362" s="2">
        <v>0</v>
      </c>
      <c r="G362" s="2"/>
      <c r="H362" s="2"/>
      <c r="I362" s="2"/>
      <c r="J362" s="100">
        <f t="shared" si="26"/>
        <v>0</v>
      </c>
      <c r="K362" s="2"/>
      <c r="L362" s="2"/>
      <c r="M362" s="2"/>
      <c r="N362" s="2"/>
      <c r="O362" s="2"/>
      <c r="P362" s="106">
        <f t="shared" si="27"/>
        <v>0</v>
      </c>
      <c r="Q362" s="66"/>
    </row>
    <row r="363" spans="1:17" s="63" customFormat="1" ht="15" hidden="1">
      <c r="A363" s="51"/>
      <c r="B363" s="75" t="s">
        <v>149</v>
      </c>
      <c r="C363" s="84" t="s">
        <v>135</v>
      </c>
      <c r="D363" s="2" t="s">
        <v>150</v>
      </c>
      <c r="E363" s="104">
        <f t="shared" si="28"/>
        <v>0</v>
      </c>
      <c r="F363" s="2">
        <v>0</v>
      </c>
      <c r="G363" s="2">
        <v>0</v>
      </c>
      <c r="H363" s="2">
        <v>0</v>
      </c>
      <c r="I363" s="2"/>
      <c r="J363" s="100">
        <f t="shared" si="26"/>
        <v>0</v>
      </c>
      <c r="K363" s="2"/>
      <c r="L363" s="2"/>
      <c r="M363" s="2"/>
      <c r="N363" s="2"/>
      <c r="O363" s="2"/>
      <c r="P363" s="106">
        <f t="shared" si="27"/>
        <v>0</v>
      </c>
      <c r="Q363" s="66"/>
    </row>
    <row r="364" spans="1:17" s="63" customFormat="1" ht="30">
      <c r="A364" s="51"/>
      <c r="B364" s="75" t="s">
        <v>151</v>
      </c>
      <c r="C364" s="84" t="s">
        <v>138</v>
      </c>
      <c r="D364" s="2" t="s">
        <v>152</v>
      </c>
      <c r="E364" s="104">
        <f t="shared" si="28"/>
        <v>10898260</v>
      </c>
      <c r="F364" s="2">
        <f>F365</f>
        <v>10898260</v>
      </c>
      <c r="G364" s="2"/>
      <c r="H364" s="2"/>
      <c r="I364" s="2"/>
      <c r="J364" s="100">
        <f t="shared" si="26"/>
        <v>0</v>
      </c>
      <c r="K364" s="2"/>
      <c r="L364" s="2"/>
      <c r="M364" s="2"/>
      <c r="N364" s="2"/>
      <c r="O364" s="2"/>
      <c r="P364" s="106">
        <f t="shared" si="27"/>
        <v>10898260</v>
      </c>
      <c r="Q364" s="66"/>
    </row>
    <row r="365" spans="1:17" s="63" customFormat="1" ht="105">
      <c r="A365" s="51"/>
      <c r="B365" s="75"/>
      <c r="C365" s="84"/>
      <c r="D365" s="85" t="s">
        <v>281</v>
      </c>
      <c r="E365" s="104">
        <f t="shared" si="28"/>
        <v>10898260</v>
      </c>
      <c r="F365" s="2">
        <f>10346000-492540+1044800</f>
        <v>10898260</v>
      </c>
      <c r="G365" s="2"/>
      <c r="H365" s="2"/>
      <c r="I365" s="2"/>
      <c r="J365" s="100">
        <f t="shared" si="26"/>
        <v>0</v>
      </c>
      <c r="K365" s="2"/>
      <c r="L365" s="2"/>
      <c r="M365" s="2"/>
      <c r="N365" s="2"/>
      <c r="O365" s="2"/>
      <c r="P365" s="106">
        <f t="shared" si="27"/>
        <v>10898260</v>
      </c>
      <c r="Q365" s="66"/>
    </row>
    <row r="366" spans="1:18" s="59" customFormat="1" ht="15">
      <c r="A366" s="68"/>
      <c r="B366" s="83" t="s">
        <v>136</v>
      </c>
      <c r="C366" s="83" t="s">
        <v>135</v>
      </c>
      <c r="D366" s="70" t="s">
        <v>137</v>
      </c>
      <c r="E366" s="106">
        <f>F366</f>
        <v>33840</v>
      </c>
      <c r="F366" s="70">
        <v>33840</v>
      </c>
      <c r="G366" s="70"/>
      <c r="H366" s="70"/>
      <c r="I366" s="70"/>
      <c r="J366" s="100">
        <f t="shared" si="26"/>
        <v>0</v>
      </c>
      <c r="K366" s="70"/>
      <c r="L366" s="70"/>
      <c r="M366" s="70"/>
      <c r="N366" s="70"/>
      <c r="O366" s="70"/>
      <c r="P366" s="125">
        <f t="shared" si="27"/>
        <v>33840</v>
      </c>
      <c r="Q366" s="127"/>
      <c r="R366" s="58"/>
    </row>
    <row r="367" spans="1:18" s="59" customFormat="1" ht="30">
      <c r="A367" s="68"/>
      <c r="B367" s="83" t="s">
        <v>332</v>
      </c>
      <c r="C367" s="83" t="s">
        <v>335</v>
      </c>
      <c r="D367" s="70" t="s">
        <v>336</v>
      </c>
      <c r="E367" s="106">
        <f>F367</f>
        <v>4117950</v>
      </c>
      <c r="F367" s="70">
        <f>4491780-423830+50000</f>
        <v>4117950</v>
      </c>
      <c r="G367" s="70">
        <v>2943070</v>
      </c>
      <c r="H367" s="70">
        <v>321250</v>
      </c>
      <c r="I367" s="70"/>
      <c r="J367" s="100">
        <f t="shared" si="26"/>
        <v>44400</v>
      </c>
      <c r="K367" s="70">
        <v>44400</v>
      </c>
      <c r="L367" s="70">
        <v>30400</v>
      </c>
      <c r="M367" s="70"/>
      <c r="N367" s="70"/>
      <c r="O367" s="70"/>
      <c r="P367" s="125">
        <f t="shared" si="27"/>
        <v>4162350</v>
      </c>
      <c r="Q367" s="127"/>
      <c r="R367" s="58"/>
    </row>
    <row r="368" spans="1:18" s="59" customFormat="1" ht="30">
      <c r="A368" s="68"/>
      <c r="B368" s="83" t="s">
        <v>147</v>
      </c>
      <c r="C368" s="83" t="s">
        <v>91</v>
      </c>
      <c r="D368" s="70" t="s">
        <v>148</v>
      </c>
      <c r="E368" s="106">
        <f>F368+I368</f>
        <v>55000</v>
      </c>
      <c r="F368" s="70">
        <f>16920+33080+5000</f>
        <v>55000</v>
      </c>
      <c r="G368" s="70"/>
      <c r="H368" s="70"/>
      <c r="I368" s="70"/>
      <c r="J368" s="100">
        <f t="shared" si="26"/>
        <v>0</v>
      </c>
      <c r="K368" s="70"/>
      <c r="L368" s="70"/>
      <c r="M368" s="70"/>
      <c r="N368" s="70"/>
      <c r="O368" s="70"/>
      <c r="P368" s="125">
        <f t="shared" si="27"/>
        <v>55000</v>
      </c>
      <c r="Q368" s="127"/>
      <c r="R368" s="58"/>
    </row>
    <row r="369" spans="1:17" s="76" customFormat="1" ht="15" hidden="1">
      <c r="A369" s="51"/>
      <c r="B369" s="65">
        <v>250404</v>
      </c>
      <c r="C369" s="75" t="s">
        <v>195</v>
      </c>
      <c r="D369" s="2" t="s">
        <v>59</v>
      </c>
      <c r="E369" s="100">
        <f>F369</f>
        <v>0</v>
      </c>
      <c r="F369" s="2"/>
      <c r="G369" s="2"/>
      <c r="H369" s="2"/>
      <c r="I369" s="2"/>
      <c r="J369" s="100">
        <f aca="true" t="shared" si="29" ref="J369:J374">K369+N369</f>
        <v>0</v>
      </c>
      <c r="K369" s="2"/>
      <c r="L369" s="2"/>
      <c r="M369" s="2"/>
      <c r="N369" s="2"/>
      <c r="O369" s="2"/>
      <c r="P369" s="106">
        <f t="shared" si="27"/>
        <v>0</v>
      </c>
      <c r="Q369" s="66"/>
    </row>
    <row r="370" spans="1:17" ht="15">
      <c r="A370" s="9" t="s">
        <v>159</v>
      </c>
      <c r="B370" s="10"/>
      <c r="C370" s="11"/>
      <c r="D370" s="12" t="s">
        <v>160</v>
      </c>
      <c r="E370" s="1">
        <f aca="true" t="shared" si="30" ref="E370:E383">F370+I370</f>
        <v>3461692</v>
      </c>
      <c r="F370" s="1">
        <f>F371+F372+F374+F373</f>
        <v>3461692</v>
      </c>
      <c r="G370" s="1">
        <f>G371+G372+G374+G373</f>
        <v>1771828</v>
      </c>
      <c r="H370" s="1">
        <f>H371+H372+H374+H373</f>
        <v>360222</v>
      </c>
      <c r="I370" s="1">
        <f>I371+I372+I374+I373</f>
        <v>0</v>
      </c>
      <c r="J370" s="1">
        <f t="shared" si="29"/>
        <v>12000</v>
      </c>
      <c r="K370" s="1">
        <f>K371+K372+K374+K373</f>
        <v>0</v>
      </c>
      <c r="L370" s="1">
        <f>L371+L372+L374+L373</f>
        <v>0</v>
      </c>
      <c r="M370" s="1">
        <f>M371+M372+M374+M373</f>
        <v>0</v>
      </c>
      <c r="N370" s="1">
        <f>N371+N372+N374+N373</f>
        <v>12000</v>
      </c>
      <c r="O370" s="1">
        <f>O371+O372+O374+O373</f>
        <v>12000</v>
      </c>
      <c r="P370" s="1">
        <f aca="true" t="shared" si="31" ref="P370:P375">E370+J370</f>
        <v>3473692</v>
      </c>
      <c r="Q370" s="15">
        <f>Q371+Q372+Q374+Q373</f>
        <v>0</v>
      </c>
    </row>
    <row r="371" spans="1:17" ht="15">
      <c r="A371" s="3"/>
      <c r="B371" s="4" t="s">
        <v>19</v>
      </c>
      <c r="C371" s="5" t="s">
        <v>18</v>
      </c>
      <c r="D371" s="6" t="s">
        <v>20</v>
      </c>
      <c r="E371" s="100">
        <f t="shared" si="30"/>
        <v>595382</v>
      </c>
      <c r="F371" s="102">
        <f>639157-58508+14733</f>
        <v>595382</v>
      </c>
      <c r="G371" s="102">
        <f>409145+11963</f>
        <v>421108</v>
      </c>
      <c r="H371" s="102">
        <v>46202</v>
      </c>
      <c r="I371" s="102"/>
      <c r="J371" s="100">
        <f t="shared" si="29"/>
        <v>12000</v>
      </c>
      <c r="K371" s="102"/>
      <c r="L371" s="102"/>
      <c r="M371" s="102"/>
      <c r="N371" s="102">
        <v>12000</v>
      </c>
      <c r="O371" s="102">
        <v>12000</v>
      </c>
      <c r="P371" s="120">
        <f t="shared" si="31"/>
        <v>607382</v>
      </c>
      <c r="Q371" s="14"/>
    </row>
    <row r="372" spans="1:17" ht="45">
      <c r="A372" s="3"/>
      <c r="B372" s="4" t="s">
        <v>161</v>
      </c>
      <c r="C372" s="5" t="s">
        <v>51</v>
      </c>
      <c r="D372" s="6" t="s">
        <v>162</v>
      </c>
      <c r="E372" s="100">
        <f t="shared" si="30"/>
        <v>2720170</v>
      </c>
      <c r="F372" s="102">
        <f>2895120-193200+4000+14250</f>
        <v>2720170</v>
      </c>
      <c r="G372" s="102">
        <v>1350720</v>
      </c>
      <c r="H372" s="102">
        <v>314020</v>
      </c>
      <c r="I372" s="102"/>
      <c r="J372" s="100">
        <f t="shared" si="29"/>
        <v>0</v>
      </c>
      <c r="K372" s="102"/>
      <c r="L372" s="102"/>
      <c r="M372" s="102"/>
      <c r="N372" s="102">
        <f>4000-4000</f>
        <v>0</v>
      </c>
      <c r="O372" s="102">
        <f>4000-4000</f>
        <v>0</v>
      </c>
      <c r="P372" s="120">
        <f t="shared" si="31"/>
        <v>2720170</v>
      </c>
      <c r="Q372" s="14"/>
    </row>
    <row r="373" spans="1:17" ht="15">
      <c r="A373" s="26"/>
      <c r="B373" s="4" t="s">
        <v>58</v>
      </c>
      <c r="C373" s="5" t="s">
        <v>51</v>
      </c>
      <c r="D373" s="6" t="s">
        <v>59</v>
      </c>
      <c r="E373" s="100">
        <f t="shared" si="30"/>
        <v>35000</v>
      </c>
      <c r="F373" s="103">
        <v>35000</v>
      </c>
      <c r="G373" s="103"/>
      <c r="H373" s="103"/>
      <c r="I373" s="103"/>
      <c r="J373" s="100">
        <f t="shared" si="29"/>
        <v>0</v>
      </c>
      <c r="K373" s="103"/>
      <c r="L373" s="103"/>
      <c r="M373" s="103"/>
      <c r="N373" s="103"/>
      <c r="O373" s="103"/>
      <c r="P373" s="120">
        <f t="shared" si="31"/>
        <v>35000</v>
      </c>
      <c r="Q373" s="14"/>
    </row>
    <row r="374" spans="1:17" ht="15">
      <c r="A374" s="26"/>
      <c r="B374" s="28" t="s">
        <v>163</v>
      </c>
      <c r="C374" s="29" t="s">
        <v>51</v>
      </c>
      <c r="D374" s="30" t="s">
        <v>164</v>
      </c>
      <c r="E374" s="100">
        <f t="shared" si="30"/>
        <v>111140</v>
      </c>
      <c r="F374" s="103">
        <f>102140+9000</f>
        <v>111140</v>
      </c>
      <c r="G374" s="103"/>
      <c r="H374" s="103"/>
      <c r="I374" s="103"/>
      <c r="J374" s="100">
        <f t="shared" si="29"/>
        <v>0</v>
      </c>
      <c r="K374" s="103"/>
      <c r="L374" s="103"/>
      <c r="M374" s="103"/>
      <c r="N374" s="103"/>
      <c r="O374" s="103"/>
      <c r="P374" s="120">
        <f t="shared" si="31"/>
        <v>111140</v>
      </c>
      <c r="Q374" s="14"/>
    </row>
    <row r="375" spans="1:18" s="59" customFormat="1" ht="30">
      <c r="A375" s="53" t="s">
        <v>337</v>
      </c>
      <c r="B375" s="54"/>
      <c r="C375" s="54"/>
      <c r="D375" s="97" t="s">
        <v>364</v>
      </c>
      <c r="E375" s="119">
        <f t="shared" si="30"/>
        <v>583669</v>
      </c>
      <c r="F375" s="119">
        <f aca="true" t="shared" si="32" ref="F375:O375">F376+F377</f>
        <v>583669</v>
      </c>
      <c r="G375" s="119">
        <f t="shared" si="32"/>
        <v>427864</v>
      </c>
      <c r="H375" s="119">
        <f t="shared" si="32"/>
        <v>24577</v>
      </c>
      <c r="I375" s="119">
        <f t="shared" si="32"/>
        <v>0</v>
      </c>
      <c r="J375" s="119">
        <f t="shared" si="32"/>
        <v>0</v>
      </c>
      <c r="K375" s="119">
        <f t="shared" si="32"/>
        <v>0</v>
      </c>
      <c r="L375" s="119">
        <f t="shared" si="32"/>
        <v>0</v>
      </c>
      <c r="M375" s="119">
        <f t="shared" si="32"/>
        <v>0</v>
      </c>
      <c r="N375" s="119">
        <f t="shared" si="32"/>
        <v>0</v>
      </c>
      <c r="O375" s="119">
        <f t="shared" si="32"/>
        <v>0</v>
      </c>
      <c r="P375" s="121">
        <f t="shared" si="31"/>
        <v>583669</v>
      </c>
      <c r="Q375" s="128"/>
      <c r="R375" s="63"/>
    </row>
    <row r="376" spans="1:18" s="59" customFormat="1" ht="15">
      <c r="A376" s="51"/>
      <c r="B376" s="48" t="s">
        <v>338</v>
      </c>
      <c r="C376" s="48" t="s">
        <v>339</v>
      </c>
      <c r="D376" s="60" t="s">
        <v>20</v>
      </c>
      <c r="E376" s="105">
        <f t="shared" si="30"/>
        <v>564769</v>
      </c>
      <c r="F376" s="114">
        <f>726107-71692-89646</f>
        <v>564769</v>
      </c>
      <c r="G376" s="114">
        <f>501344-73480</f>
        <v>427864</v>
      </c>
      <c r="H376" s="114">
        <v>24577</v>
      </c>
      <c r="I376" s="114"/>
      <c r="J376" s="105"/>
      <c r="K376" s="114"/>
      <c r="L376" s="114"/>
      <c r="M376" s="114"/>
      <c r="N376" s="114"/>
      <c r="O376" s="114"/>
      <c r="P376" s="122">
        <f>SUM(E376,J376)</f>
        <v>564769</v>
      </c>
      <c r="Q376" s="128"/>
      <c r="R376" s="63"/>
    </row>
    <row r="377" spans="1:18" s="59" customFormat="1" ht="15">
      <c r="A377" s="115"/>
      <c r="B377" s="79" t="s">
        <v>163</v>
      </c>
      <c r="C377" s="80" t="s">
        <v>51</v>
      </c>
      <c r="D377" s="81" t="s">
        <v>164</v>
      </c>
      <c r="E377" s="105">
        <f t="shared" si="30"/>
        <v>18900</v>
      </c>
      <c r="F377" s="114">
        <v>18900</v>
      </c>
      <c r="G377" s="114"/>
      <c r="H377" s="114"/>
      <c r="I377" s="114"/>
      <c r="J377" s="105"/>
      <c r="K377" s="114"/>
      <c r="L377" s="114"/>
      <c r="M377" s="114"/>
      <c r="N377" s="114"/>
      <c r="O377" s="114"/>
      <c r="P377" s="122">
        <f>SUM(E377,J377)</f>
        <v>18900</v>
      </c>
      <c r="Q377" s="128"/>
      <c r="R377" s="63"/>
    </row>
    <row r="378" spans="1:18" s="62" customFormat="1" ht="30">
      <c r="A378" s="87" t="s">
        <v>340</v>
      </c>
      <c r="B378" s="54"/>
      <c r="C378" s="88"/>
      <c r="D378" s="40" t="s">
        <v>371</v>
      </c>
      <c r="E378" s="1">
        <f t="shared" si="30"/>
        <v>591157</v>
      </c>
      <c r="F378" s="1">
        <f>F379+F380</f>
        <v>591157</v>
      </c>
      <c r="G378" s="1">
        <f>G379+G380</f>
        <v>461047</v>
      </c>
      <c r="H378" s="1">
        <f>H379+H380</f>
        <v>0</v>
      </c>
      <c r="I378" s="1">
        <f>I379+I380</f>
        <v>0</v>
      </c>
      <c r="J378" s="1">
        <f aca="true" t="shared" si="33" ref="J378:J383">K378+N378</f>
        <v>0</v>
      </c>
      <c r="K378" s="1">
        <f>K379+K380</f>
        <v>0</v>
      </c>
      <c r="L378" s="1">
        <f>L379+L380</f>
        <v>0</v>
      </c>
      <c r="M378" s="1">
        <f>M379+M380</f>
        <v>0</v>
      </c>
      <c r="N378" s="1">
        <f>N379+N380</f>
        <v>0</v>
      </c>
      <c r="O378" s="1">
        <f>O379+O380</f>
        <v>0</v>
      </c>
      <c r="P378" s="123">
        <f aca="true" t="shared" si="34" ref="P378:P383">E378+J378</f>
        <v>591157</v>
      </c>
      <c r="Q378" s="129"/>
      <c r="R378" s="64"/>
    </row>
    <row r="379" spans="1:18" s="62" customFormat="1" ht="15">
      <c r="A379" s="89"/>
      <c r="B379" s="90" t="s">
        <v>19</v>
      </c>
      <c r="C379" s="91" t="s">
        <v>18</v>
      </c>
      <c r="D379" s="92" t="s">
        <v>20</v>
      </c>
      <c r="E379" s="117">
        <f t="shared" si="30"/>
        <v>587777</v>
      </c>
      <c r="F379" s="118">
        <f>720014-72886-59351</f>
        <v>587777</v>
      </c>
      <c r="G379" s="118">
        <f>509695-48648</f>
        <v>461047</v>
      </c>
      <c r="H379" s="118">
        <v>0</v>
      </c>
      <c r="I379" s="118"/>
      <c r="J379" s="117">
        <f t="shared" si="33"/>
        <v>0</v>
      </c>
      <c r="K379" s="118"/>
      <c r="L379" s="118"/>
      <c r="M379" s="118"/>
      <c r="N379" s="118"/>
      <c r="O379" s="118"/>
      <c r="P379" s="131">
        <f t="shared" si="34"/>
        <v>587777</v>
      </c>
      <c r="Q379" s="129"/>
      <c r="R379" s="64"/>
    </row>
    <row r="380" spans="1:18" s="62" customFormat="1" ht="15">
      <c r="A380" s="51"/>
      <c r="B380" s="79" t="s">
        <v>163</v>
      </c>
      <c r="C380" s="80" t="s">
        <v>51</v>
      </c>
      <c r="D380" s="81" t="s">
        <v>164</v>
      </c>
      <c r="E380" s="100">
        <f t="shared" si="30"/>
        <v>3380</v>
      </c>
      <c r="F380" s="2">
        <v>3380</v>
      </c>
      <c r="G380" s="2"/>
      <c r="H380" s="2"/>
      <c r="I380" s="2"/>
      <c r="J380" s="100">
        <f t="shared" si="33"/>
        <v>0</v>
      </c>
      <c r="K380" s="2"/>
      <c r="L380" s="2"/>
      <c r="M380" s="2"/>
      <c r="N380" s="2"/>
      <c r="O380" s="2"/>
      <c r="P380" s="120">
        <f t="shared" si="34"/>
        <v>3380</v>
      </c>
      <c r="Q380" s="129"/>
      <c r="R380" s="64"/>
    </row>
    <row r="381" spans="1:18" s="59" customFormat="1" ht="30">
      <c r="A381" s="67" t="s">
        <v>341</v>
      </c>
      <c r="B381" s="82"/>
      <c r="C381" s="82"/>
      <c r="D381" s="96" t="s">
        <v>372</v>
      </c>
      <c r="E381" s="96">
        <f t="shared" si="30"/>
        <v>568485</v>
      </c>
      <c r="F381" s="96">
        <f>F382+F383</f>
        <v>568485</v>
      </c>
      <c r="G381" s="96">
        <f>G382+G383</f>
        <v>444365</v>
      </c>
      <c r="H381" s="96">
        <f>H382+H383</f>
        <v>0</v>
      </c>
      <c r="I381" s="96">
        <f>I382+I383</f>
        <v>0</v>
      </c>
      <c r="J381" s="96">
        <f t="shared" si="33"/>
        <v>0</v>
      </c>
      <c r="K381" s="96">
        <f>K382+K383</f>
        <v>0</v>
      </c>
      <c r="L381" s="96">
        <f>L382+L383</f>
        <v>0</v>
      </c>
      <c r="M381" s="96">
        <f>M382+M383</f>
        <v>0</v>
      </c>
      <c r="N381" s="96">
        <f>N382+N383</f>
        <v>0</v>
      </c>
      <c r="O381" s="96">
        <f>O382+O383</f>
        <v>0</v>
      </c>
      <c r="P381" s="124">
        <f t="shared" si="34"/>
        <v>568485</v>
      </c>
      <c r="Q381" s="127"/>
      <c r="R381" s="58"/>
    </row>
    <row r="382" spans="1:18" s="59" customFormat="1" ht="15">
      <c r="A382" s="68"/>
      <c r="B382" s="83" t="s">
        <v>19</v>
      </c>
      <c r="C382" s="83" t="s">
        <v>18</v>
      </c>
      <c r="D382" s="70" t="s">
        <v>20</v>
      </c>
      <c r="E382" s="106">
        <f t="shared" si="30"/>
        <v>553825</v>
      </c>
      <c r="F382" s="70">
        <f>695852-71778-70249</f>
        <v>553825</v>
      </c>
      <c r="G382" s="70">
        <f>501946-57581</f>
        <v>444365</v>
      </c>
      <c r="H382" s="70">
        <v>0</v>
      </c>
      <c r="I382" s="70"/>
      <c r="J382" s="106">
        <f t="shared" si="33"/>
        <v>0</v>
      </c>
      <c r="K382" s="70"/>
      <c r="L382" s="70"/>
      <c r="M382" s="70"/>
      <c r="N382" s="70"/>
      <c r="O382" s="70"/>
      <c r="P382" s="125">
        <f>E382+J382</f>
        <v>553825</v>
      </c>
      <c r="Q382" s="127"/>
      <c r="R382" s="58"/>
    </row>
    <row r="383" spans="1:18" s="59" customFormat="1" ht="15">
      <c r="A383" s="93"/>
      <c r="B383" s="94" t="s">
        <v>163</v>
      </c>
      <c r="C383" s="94" t="s">
        <v>51</v>
      </c>
      <c r="D383" s="95" t="s">
        <v>164</v>
      </c>
      <c r="E383" s="106">
        <f t="shared" si="30"/>
        <v>14660</v>
      </c>
      <c r="F383" s="95">
        <v>14660</v>
      </c>
      <c r="G383" s="95"/>
      <c r="H383" s="95"/>
      <c r="I383" s="95"/>
      <c r="J383" s="106">
        <f t="shared" si="33"/>
        <v>0</v>
      </c>
      <c r="K383" s="95"/>
      <c r="L383" s="95"/>
      <c r="M383" s="95"/>
      <c r="N383" s="95"/>
      <c r="O383" s="95"/>
      <c r="P383" s="132">
        <f t="shared" si="34"/>
        <v>14660</v>
      </c>
      <c r="Q383" s="127"/>
      <c r="R383" s="58"/>
    </row>
    <row r="384" spans="1:17" ht="15">
      <c r="A384" s="9" t="s">
        <v>165</v>
      </c>
      <c r="B384" s="10"/>
      <c r="C384" s="11"/>
      <c r="D384" s="12" t="s">
        <v>166</v>
      </c>
      <c r="E384" s="1">
        <f>F384+I384</f>
        <v>41317523</v>
      </c>
      <c r="F384" s="1">
        <f>F385+F386+F387+F388+F389+F390+F391+F392+F393+F394</f>
        <v>41317523</v>
      </c>
      <c r="G384" s="1">
        <f>G385+G386+G387+G388+G389+G390+G391+G392+G393+G394</f>
        <v>15898844</v>
      </c>
      <c r="H384" s="1">
        <f>H385+H386+H387+H388+H389+H390+H391+H392+H393+H394</f>
        <v>3521884</v>
      </c>
      <c r="I384" s="1">
        <f>I385+I386+I387+I388+I389+I390+I391+I392+I393+I394</f>
        <v>0</v>
      </c>
      <c r="J384" s="1">
        <f aca="true" t="shared" si="35" ref="J384:J406">K384+N384</f>
        <v>2032500</v>
      </c>
      <c r="K384" s="1">
        <f>K385+K386+K387+K388+K389+K390+K391+K392+K393+K394</f>
        <v>1321800</v>
      </c>
      <c r="L384" s="1">
        <f>L385+L386+L387+L388+L389+L390+L391+L392+L393+L394</f>
        <v>601000</v>
      </c>
      <c r="M384" s="1">
        <f>M385+M386+M387+M388+M389+M390+M391+M392+M393+M394</f>
        <v>3900</v>
      </c>
      <c r="N384" s="1">
        <f>N385+N386+N387+N388+N389+N390+N391+N392+N393+N394</f>
        <v>710700</v>
      </c>
      <c r="O384" s="1">
        <f>O385+O386+O387+O388+O389+O390+O391+O392+O393+O394</f>
        <v>498000</v>
      </c>
      <c r="P384" s="1">
        <f>E384+J384</f>
        <v>43350023</v>
      </c>
      <c r="Q384" s="15">
        <f>SUM(Q385:Q394)</f>
        <v>0</v>
      </c>
    </row>
    <row r="385" spans="1:17" ht="15">
      <c r="A385" s="31"/>
      <c r="B385" s="32" t="s">
        <v>19</v>
      </c>
      <c r="C385" s="33" t="s">
        <v>18</v>
      </c>
      <c r="D385" s="34" t="s">
        <v>20</v>
      </c>
      <c r="E385" s="100">
        <f aca="true" t="shared" si="36" ref="E385:E394">F385+I385</f>
        <v>364723</v>
      </c>
      <c r="F385" s="101">
        <f>427406-41832-20851</f>
        <v>364723</v>
      </c>
      <c r="G385" s="101">
        <f>292535-17091</f>
        <v>275444</v>
      </c>
      <c r="H385" s="101">
        <v>16484</v>
      </c>
      <c r="I385" s="101"/>
      <c r="J385" s="100">
        <f t="shared" si="35"/>
        <v>0</v>
      </c>
      <c r="K385" s="101"/>
      <c r="L385" s="101"/>
      <c r="M385" s="101"/>
      <c r="N385" s="101"/>
      <c r="O385" s="101"/>
      <c r="P385" s="100">
        <f>E385+J385</f>
        <v>364723</v>
      </c>
      <c r="Q385" s="14"/>
    </row>
    <row r="386" spans="1:17" ht="15">
      <c r="A386" s="3"/>
      <c r="B386" s="4" t="s">
        <v>168</v>
      </c>
      <c r="C386" s="5" t="s">
        <v>167</v>
      </c>
      <c r="D386" s="6" t="s">
        <v>169</v>
      </c>
      <c r="E386" s="100">
        <f t="shared" si="36"/>
        <v>15472000</v>
      </c>
      <c r="F386" s="102">
        <f>16672000-1500000+300000</f>
        <v>15472000</v>
      </c>
      <c r="G386" s="102"/>
      <c r="H386" s="102"/>
      <c r="I386" s="102"/>
      <c r="J386" s="100">
        <f t="shared" si="35"/>
        <v>0</v>
      </c>
      <c r="K386" s="102"/>
      <c r="L386" s="102"/>
      <c r="M386" s="102"/>
      <c r="N386" s="102"/>
      <c r="O386" s="102"/>
      <c r="P386" s="100">
        <f aca="true" t="shared" si="37" ref="P386:P394">E386+J386</f>
        <v>15472000</v>
      </c>
      <c r="Q386" s="14"/>
    </row>
    <row r="387" spans="1:17" ht="30">
      <c r="A387" s="3"/>
      <c r="B387" s="4" t="s">
        <v>171</v>
      </c>
      <c r="C387" s="5" t="s">
        <v>170</v>
      </c>
      <c r="D387" s="6" t="s">
        <v>172</v>
      </c>
      <c r="E387" s="100">
        <f t="shared" si="36"/>
        <v>447200</v>
      </c>
      <c r="F387" s="102">
        <f>747200-300000</f>
        <v>447200</v>
      </c>
      <c r="G387" s="102"/>
      <c r="H387" s="102"/>
      <c r="I387" s="102"/>
      <c r="J387" s="100">
        <f t="shared" si="35"/>
        <v>0</v>
      </c>
      <c r="K387" s="102"/>
      <c r="L387" s="102"/>
      <c r="M387" s="102"/>
      <c r="N387" s="102"/>
      <c r="O387" s="102"/>
      <c r="P387" s="100">
        <f t="shared" si="37"/>
        <v>447200</v>
      </c>
      <c r="Q387" s="14"/>
    </row>
    <row r="388" spans="1:17" ht="15">
      <c r="A388" s="3"/>
      <c r="B388" s="4" t="s">
        <v>174</v>
      </c>
      <c r="C388" s="5" t="s">
        <v>173</v>
      </c>
      <c r="D388" s="6" t="s">
        <v>175</v>
      </c>
      <c r="E388" s="100">
        <f t="shared" si="36"/>
        <v>4508336</v>
      </c>
      <c r="F388" s="102">
        <f>4899382-391046</f>
        <v>4508336</v>
      </c>
      <c r="G388" s="102">
        <v>2734587</v>
      </c>
      <c r="H388" s="102">
        <v>641140</v>
      </c>
      <c r="I388" s="102"/>
      <c r="J388" s="100">
        <f t="shared" si="35"/>
        <v>103300</v>
      </c>
      <c r="K388" s="102">
        <v>300</v>
      </c>
      <c r="L388" s="102"/>
      <c r="M388" s="102"/>
      <c r="N388" s="102">
        <f>100000+3000</f>
        <v>103000</v>
      </c>
      <c r="O388" s="102">
        <f>100000+3000</f>
        <v>103000</v>
      </c>
      <c r="P388" s="100">
        <f t="shared" si="37"/>
        <v>4611636</v>
      </c>
      <c r="Q388" s="14"/>
    </row>
    <row r="389" spans="1:17" ht="15">
      <c r="A389" s="3"/>
      <c r="B389" s="4" t="s">
        <v>176</v>
      </c>
      <c r="C389" s="5" t="s">
        <v>173</v>
      </c>
      <c r="D389" s="6" t="s">
        <v>177</v>
      </c>
      <c r="E389" s="100">
        <f t="shared" si="36"/>
        <v>2742919</v>
      </c>
      <c r="F389" s="102">
        <f>2914611-171692</f>
        <v>2742919</v>
      </c>
      <c r="G389" s="102">
        <v>1200642</v>
      </c>
      <c r="H389" s="102">
        <v>435856</v>
      </c>
      <c r="I389" s="102"/>
      <c r="J389" s="100">
        <f t="shared" si="35"/>
        <v>70000</v>
      </c>
      <c r="K389" s="102">
        <v>60000</v>
      </c>
      <c r="L389" s="102">
        <v>1000</v>
      </c>
      <c r="M389" s="102">
        <v>1100</v>
      </c>
      <c r="N389" s="102">
        <v>10000</v>
      </c>
      <c r="O389" s="102"/>
      <c r="P389" s="100">
        <f t="shared" si="37"/>
        <v>2812919</v>
      </c>
      <c r="Q389" s="14"/>
    </row>
    <row r="390" spans="1:17" ht="15">
      <c r="A390" s="3"/>
      <c r="B390" s="4" t="s">
        <v>178</v>
      </c>
      <c r="C390" s="5" t="s">
        <v>35</v>
      </c>
      <c r="D390" s="6" t="s">
        <v>179</v>
      </c>
      <c r="E390" s="100">
        <f t="shared" si="36"/>
        <v>17293865</v>
      </c>
      <c r="F390" s="102">
        <f>18922707-1628842</f>
        <v>17293865</v>
      </c>
      <c r="G390" s="102">
        <v>11390503</v>
      </c>
      <c r="H390" s="102">
        <v>2397431</v>
      </c>
      <c r="I390" s="102"/>
      <c r="J390" s="100">
        <f t="shared" si="35"/>
        <v>1464200</v>
      </c>
      <c r="K390" s="102">
        <v>1261500</v>
      </c>
      <c r="L390" s="102">
        <v>600000</v>
      </c>
      <c r="M390" s="102">
        <v>2800</v>
      </c>
      <c r="N390" s="102">
        <v>202700</v>
      </c>
      <c r="O390" s="102"/>
      <c r="P390" s="100">
        <f t="shared" si="37"/>
        <v>18758065</v>
      </c>
      <c r="Q390" s="14"/>
    </row>
    <row r="391" spans="1:17" ht="15">
      <c r="A391" s="3"/>
      <c r="B391" s="4" t="s">
        <v>181</v>
      </c>
      <c r="C391" s="5" t="s">
        <v>180</v>
      </c>
      <c r="D391" s="6" t="s">
        <v>182</v>
      </c>
      <c r="E391" s="100">
        <f t="shared" si="36"/>
        <v>488480</v>
      </c>
      <c r="F391" s="102">
        <f>531100-42620</f>
        <v>488480</v>
      </c>
      <c r="G391" s="102">
        <v>297668</v>
      </c>
      <c r="H391" s="102">
        <v>30973</v>
      </c>
      <c r="I391" s="102"/>
      <c r="J391" s="100">
        <f t="shared" si="35"/>
        <v>0</v>
      </c>
      <c r="K391" s="102"/>
      <c r="L391" s="102"/>
      <c r="M391" s="102"/>
      <c r="N391" s="102"/>
      <c r="O391" s="102"/>
      <c r="P391" s="100">
        <f t="shared" si="37"/>
        <v>488480</v>
      </c>
      <c r="Q391" s="14"/>
    </row>
    <row r="392" spans="1:17" ht="45" hidden="1">
      <c r="A392" s="3"/>
      <c r="B392" s="51" t="s">
        <v>294</v>
      </c>
      <c r="C392" s="24" t="s">
        <v>35</v>
      </c>
      <c r="D392" s="6" t="s">
        <v>278</v>
      </c>
      <c r="E392" s="100">
        <f t="shared" si="36"/>
        <v>0</v>
      </c>
      <c r="F392" s="102"/>
      <c r="G392" s="102"/>
      <c r="H392" s="102"/>
      <c r="I392" s="102"/>
      <c r="J392" s="100">
        <f t="shared" si="35"/>
        <v>0</v>
      </c>
      <c r="K392" s="102"/>
      <c r="L392" s="102"/>
      <c r="M392" s="102"/>
      <c r="N392" s="102"/>
      <c r="O392" s="102"/>
      <c r="P392" s="100">
        <f t="shared" si="37"/>
        <v>0</v>
      </c>
      <c r="Q392" s="14"/>
    </row>
    <row r="393" spans="1:17" ht="60">
      <c r="A393" s="3"/>
      <c r="B393" s="4">
        <v>180409</v>
      </c>
      <c r="C393" s="5" t="s">
        <v>259</v>
      </c>
      <c r="D393" s="6" t="s">
        <v>262</v>
      </c>
      <c r="E393" s="100">
        <f t="shared" si="36"/>
        <v>0</v>
      </c>
      <c r="F393" s="102"/>
      <c r="G393" s="102"/>
      <c r="H393" s="102"/>
      <c r="I393" s="102"/>
      <c r="J393" s="100">
        <f t="shared" si="35"/>
        <v>395000</v>
      </c>
      <c r="K393" s="102"/>
      <c r="L393" s="102"/>
      <c r="M393" s="102"/>
      <c r="N393" s="102">
        <f>0+300000+60000+35000</f>
        <v>395000</v>
      </c>
      <c r="O393" s="102">
        <f>0+300000+60000+35000</f>
        <v>395000</v>
      </c>
      <c r="P393" s="100">
        <f t="shared" si="37"/>
        <v>395000</v>
      </c>
      <c r="Q393" s="14"/>
    </row>
    <row r="394" spans="1:17" ht="15">
      <c r="A394" s="3"/>
      <c r="B394" s="4">
        <v>200700</v>
      </c>
      <c r="C394" s="5" t="s">
        <v>227</v>
      </c>
      <c r="D394" s="6" t="s">
        <v>303</v>
      </c>
      <c r="E394" s="100">
        <f t="shared" si="36"/>
        <v>0</v>
      </c>
      <c r="F394" s="102"/>
      <c r="G394" s="102"/>
      <c r="H394" s="102"/>
      <c r="I394" s="102"/>
      <c r="J394" s="100">
        <f t="shared" si="35"/>
        <v>0</v>
      </c>
      <c r="K394" s="102"/>
      <c r="L394" s="102"/>
      <c r="M394" s="102"/>
      <c r="N394" s="102"/>
      <c r="O394" s="102"/>
      <c r="P394" s="100">
        <f t="shared" si="37"/>
        <v>0</v>
      </c>
      <c r="Q394" s="14"/>
    </row>
    <row r="395" spans="1:17" ht="15">
      <c r="A395" s="9" t="s">
        <v>183</v>
      </c>
      <c r="B395" s="10"/>
      <c r="C395" s="11"/>
      <c r="D395" s="12" t="s">
        <v>184</v>
      </c>
      <c r="E395" s="1">
        <f>F395+I384</f>
        <v>833689</v>
      </c>
      <c r="F395" s="1">
        <f>F396</f>
        <v>833689</v>
      </c>
      <c r="G395" s="1">
        <f aca="true" t="shared" si="38" ref="G395:Q397">G396</f>
        <v>520930</v>
      </c>
      <c r="H395" s="1">
        <f t="shared" si="38"/>
        <v>167858</v>
      </c>
      <c r="I395" s="1">
        <f t="shared" si="38"/>
        <v>0</v>
      </c>
      <c r="J395" s="100">
        <f t="shared" si="35"/>
        <v>10000</v>
      </c>
      <c r="K395" s="1">
        <f t="shared" si="38"/>
        <v>10000</v>
      </c>
      <c r="L395" s="1">
        <f t="shared" si="38"/>
        <v>0</v>
      </c>
      <c r="M395" s="1">
        <f t="shared" si="38"/>
        <v>0</v>
      </c>
      <c r="N395" s="1">
        <f t="shared" si="38"/>
        <v>0</v>
      </c>
      <c r="O395" s="1">
        <f t="shared" si="38"/>
        <v>0</v>
      </c>
      <c r="P395" s="1">
        <f aca="true" t="shared" si="39" ref="P395:P403">E395+J395</f>
        <v>843689</v>
      </c>
      <c r="Q395" s="15">
        <f t="shared" si="38"/>
        <v>0</v>
      </c>
    </row>
    <row r="396" spans="1:17" ht="15">
      <c r="A396" s="3"/>
      <c r="B396" s="4" t="s">
        <v>19</v>
      </c>
      <c r="C396" s="5" t="s">
        <v>18</v>
      </c>
      <c r="D396" s="6" t="s">
        <v>20</v>
      </c>
      <c r="E396" s="100">
        <f aca="true" t="shared" si="40" ref="E396:E410">F396+I396</f>
        <v>833689</v>
      </c>
      <c r="F396" s="102">
        <f>875235-71036+29490</f>
        <v>833689</v>
      </c>
      <c r="G396" s="102">
        <f>496758+24172</f>
        <v>520930</v>
      </c>
      <c r="H396" s="102">
        <v>167858</v>
      </c>
      <c r="I396" s="102"/>
      <c r="J396" s="100">
        <f t="shared" si="35"/>
        <v>10000</v>
      </c>
      <c r="K396" s="102">
        <v>10000</v>
      </c>
      <c r="L396" s="102"/>
      <c r="M396" s="102"/>
      <c r="N396" s="102"/>
      <c r="O396" s="102"/>
      <c r="P396" s="100">
        <f t="shared" si="39"/>
        <v>843689</v>
      </c>
      <c r="Q396" s="14"/>
    </row>
    <row r="397" spans="1:17" s="140" customFormat="1" ht="15">
      <c r="A397" s="142">
        <v>31</v>
      </c>
      <c r="B397" s="54"/>
      <c r="C397" s="61"/>
      <c r="D397" s="40" t="s">
        <v>361</v>
      </c>
      <c r="E397" s="1">
        <f>F397+I386</f>
        <v>260000</v>
      </c>
      <c r="F397" s="1">
        <f>F398</f>
        <v>260000</v>
      </c>
      <c r="G397" s="1">
        <f t="shared" si="38"/>
        <v>146136</v>
      </c>
      <c r="H397" s="1">
        <f t="shared" si="38"/>
        <v>20106</v>
      </c>
      <c r="I397" s="1">
        <f t="shared" si="38"/>
        <v>0</v>
      </c>
      <c r="J397" s="100">
        <f>K397+N397</f>
        <v>0</v>
      </c>
      <c r="K397" s="1">
        <f t="shared" si="38"/>
        <v>0</v>
      </c>
      <c r="L397" s="1">
        <f t="shared" si="38"/>
        <v>0</v>
      </c>
      <c r="M397" s="1">
        <f t="shared" si="38"/>
        <v>0</v>
      </c>
      <c r="N397" s="1">
        <f t="shared" si="38"/>
        <v>0</v>
      </c>
      <c r="O397" s="1">
        <f t="shared" si="38"/>
        <v>0</v>
      </c>
      <c r="P397" s="1">
        <f>E397+J397</f>
        <v>260000</v>
      </c>
      <c r="Q397" s="15">
        <f t="shared" si="38"/>
        <v>0</v>
      </c>
    </row>
    <row r="398" spans="1:17" s="47" customFormat="1" ht="15">
      <c r="A398" s="48"/>
      <c r="B398" s="18" t="s">
        <v>19</v>
      </c>
      <c r="C398" s="7" t="s">
        <v>18</v>
      </c>
      <c r="D398" s="8" t="s">
        <v>20</v>
      </c>
      <c r="E398" s="2">
        <f>F398+I398</f>
        <v>260000</v>
      </c>
      <c r="F398" s="2">
        <v>260000</v>
      </c>
      <c r="G398" s="2">
        <v>146136</v>
      </c>
      <c r="H398" s="2">
        <v>20106</v>
      </c>
      <c r="I398" s="2"/>
      <c r="J398" s="2">
        <f>K398+N398</f>
        <v>0</v>
      </c>
      <c r="K398" s="2"/>
      <c r="L398" s="2"/>
      <c r="M398" s="2"/>
      <c r="N398" s="2"/>
      <c r="O398" s="2"/>
      <c r="P398" s="2">
        <f>E398+J398</f>
        <v>260000</v>
      </c>
      <c r="Q398" s="73"/>
    </row>
    <row r="399" spans="1:17" ht="30">
      <c r="A399" s="9" t="s">
        <v>185</v>
      </c>
      <c r="B399" s="10"/>
      <c r="C399" s="11"/>
      <c r="D399" s="12" t="s">
        <v>186</v>
      </c>
      <c r="E399" s="1">
        <f t="shared" si="40"/>
        <v>3290861</v>
      </c>
      <c r="F399" s="1">
        <f>F400+F401</f>
        <v>3290861</v>
      </c>
      <c r="G399" s="1">
        <f>G400+G401</f>
        <v>1948540</v>
      </c>
      <c r="H399" s="1">
        <f>H400+H401</f>
        <v>141450</v>
      </c>
      <c r="I399" s="1">
        <f>I400+I401</f>
        <v>0</v>
      </c>
      <c r="J399" s="1">
        <f t="shared" si="35"/>
        <v>1187700</v>
      </c>
      <c r="K399" s="1">
        <f>K400+K401</f>
        <v>7700</v>
      </c>
      <c r="L399" s="1">
        <f>L400+L401</f>
        <v>0</v>
      </c>
      <c r="M399" s="1">
        <f>M400+M401</f>
        <v>0</v>
      </c>
      <c r="N399" s="1">
        <f>N400+N401</f>
        <v>1180000</v>
      </c>
      <c r="O399" s="1">
        <f>O400+O401</f>
        <v>1180000</v>
      </c>
      <c r="P399" s="1">
        <f t="shared" si="39"/>
        <v>4478561</v>
      </c>
      <c r="Q399" s="15">
        <f>Q400+Q401</f>
        <v>0</v>
      </c>
    </row>
    <row r="400" spans="1:17" ht="15">
      <c r="A400" s="3"/>
      <c r="B400" s="4" t="s">
        <v>19</v>
      </c>
      <c r="C400" s="5" t="s">
        <v>18</v>
      </c>
      <c r="D400" s="6" t="s">
        <v>20</v>
      </c>
      <c r="E400" s="100">
        <f t="shared" si="40"/>
        <v>3285661</v>
      </c>
      <c r="F400" s="102">
        <f>3692245-215215-1000000+130000+541631+70000+50000+17000</f>
        <v>3285661</v>
      </c>
      <c r="G400" s="102">
        <f>1504580+443960</f>
        <v>1948540</v>
      </c>
      <c r="H400" s="102">
        <v>141450</v>
      </c>
      <c r="I400" s="102"/>
      <c r="J400" s="100">
        <f t="shared" si="35"/>
        <v>1187700</v>
      </c>
      <c r="K400" s="102">
        <v>7700</v>
      </c>
      <c r="L400" s="102"/>
      <c r="M400" s="102"/>
      <c r="N400" s="102">
        <f>1270000-40000-50000</f>
        <v>1180000</v>
      </c>
      <c r="O400" s="102">
        <f>1270000-40000-50000</f>
        <v>1180000</v>
      </c>
      <c r="P400" s="100">
        <f t="shared" si="39"/>
        <v>4473361</v>
      </c>
      <c r="Q400" s="14"/>
    </row>
    <row r="401" spans="1:17" ht="30">
      <c r="A401" s="3"/>
      <c r="B401" s="4" t="s">
        <v>188</v>
      </c>
      <c r="C401" s="5" t="s">
        <v>187</v>
      </c>
      <c r="D401" s="6" t="s">
        <v>189</v>
      </c>
      <c r="E401" s="100">
        <f t="shared" si="40"/>
        <v>5200</v>
      </c>
      <c r="F401" s="2">
        <f>30200+5000-30000</f>
        <v>5200</v>
      </c>
      <c r="G401" s="102"/>
      <c r="H401" s="102"/>
      <c r="I401" s="102"/>
      <c r="J401" s="100">
        <f t="shared" si="35"/>
        <v>0</v>
      </c>
      <c r="K401" s="102"/>
      <c r="L401" s="102"/>
      <c r="M401" s="102"/>
      <c r="N401" s="102"/>
      <c r="O401" s="102"/>
      <c r="P401" s="100">
        <f t="shared" si="39"/>
        <v>5200</v>
      </c>
      <c r="Q401" s="14">
        <v>0</v>
      </c>
    </row>
    <row r="402" spans="1:17" ht="15">
      <c r="A402" s="9" t="s">
        <v>190</v>
      </c>
      <c r="B402" s="10"/>
      <c r="C402" s="11"/>
      <c r="D402" s="12" t="s">
        <v>191</v>
      </c>
      <c r="E402" s="1">
        <f>F402+I402</f>
        <v>5072132</v>
      </c>
      <c r="F402" s="1">
        <f>F403+F407+F409+F410+F404+F405</f>
        <v>3482832</v>
      </c>
      <c r="G402" s="1">
        <f>G403+G407+G409+G410+G404+G405</f>
        <v>2336873</v>
      </c>
      <c r="H402" s="1">
        <f>H403+H407+H409+H410+H404+H405</f>
        <v>183921</v>
      </c>
      <c r="I402" s="1">
        <f>I403+I407+I409+I410+I404+I405</f>
        <v>1589300</v>
      </c>
      <c r="J402" s="1">
        <f>K402+N402</f>
        <v>1130000</v>
      </c>
      <c r="K402" s="1">
        <f>K403+K407+K409+K410+K404+K405</f>
        <v>0</v>
      </c>
      <c r="L402" s="1">
        <f>L403+L407+L409+L410+L404+L405</f>
        <v>0</v>
      </c>
      <c r="M402" s="1">
        <f>M403+M407+M409+M410+M404+M405</f>
        <v>0</v>
      </c>
      <c r="N402" s="1">
        <f>N403+N407+N409+N410+N404+N405</f>
        <v>1130000</v>
      </c>
      <c r="O402" s="1">
        <f>O403+O407+O409+O410+O404+O405</f>
        <v>1130000</v>
      </c>
      <c r="P402" s="1">
        <f>E402+J402</f>
        <v>6202132</v>
      </c>
      <c r="Q402" s="15">
        <f>Q403+Q407+Q409+Q410+Q405</f>
        <v>0</v>
      </c>
    </row>
    <row r="403" spans="1:17" ht="15">
      <c r="A403" s="3"/>
      <c r="B403" s="4" t="s">
        <v>19</v>
      </c>
      <c r="C403" s="5" t="s">
        <v>18</v>
      </c>
      <c r="D403" s="6" t="s">
        <v>20</v>
      </c>
      <c r="E403" s="100">
        <f t="shared" si="40"/>
        <v>3382832</v>
      </c>
      <c r="F403" s="102">
        <f>3375687-298363+305508</f>
        <v>3382832</v>
      </c>
      <c r="G403" s="102">
        <f>2086457+250416</f>
        <v>2336873</v>
      </c>
      <c r="H403" s="102">
        <v>183921</v>
      </c>
      <c r="I403" s="102"/>
      <c r="J403" s="100">
        <f t="shared" si="35"/>
        <v>36000</v>
      </c>
      <c r="K403" s="102"/>
      <c r="L403" s="102"/>
      <c r="M403" s="102"/>
      <c r="N403" s="102">
        <v>36000</v>
      </c>
      <c r="O403" s="102">
        <v>36000</v>
      </c>
      <c r="P403" s="100">
        <f t="shared" si="39"/>
        <v>3418832</v>
      </c>
      <c r="Q403" s="14"/>
    </row>
    <row r="404" spans="1:17" ht="15">
      <c r="A404" s="3"/>
      <c r="B404" s="4">
        <v>150101</v>
      </c>
      <c r="C404" s="24" t="s">
        <v>259</v>
      </c>
      <c r="D404" s="6" t="s">
        <v>277</v>
      </c>
      <c r="E404" s="100">
        <f t="shared" si="40"/>
        <v>0</v>
      </c>
      <c r="F404" s="102"/>
      <c r="G404" s="102"/>
      <c r="H404" s="102"/>
      <c r="I404" s="102"/>
      <c r="J404" s="100">
        <f t="shared" si="35"/>
        <v>0</v>
      </c>
      <c r="K404" s="102"/>
      <c r="L404" s="102"/>
      <c r="M404" s="102"/>
      <c r="N404" s="102">
        <f>711113-711113</f>
        <v>0</v>
      </c>
      <c r="O404" s="102">
        <f>711113-711113</f>
        <v>0</v>
      </c>
      <c r="P404" s="100">
        <f aca="true" t="shared" si="41" ref="P404:P410">E404+J404</f>
        <v>0</v>
      </c>
      <c r="Q404" s="14"/>
    </row>
    <row r="405" spans="1:17" ht="30">
      <c r="A405" s="3"/>
      <c r="B405" s="4">
        <v>150118</v>
      </c>
      <c r="C405" s="51" t="s">
        <v>128</v>
      </c>
      <c r="D405" s="6" t="s">
        <v>308</v>
      </c>
      <c r="E405" s="100">
        <f t="shared" si="40"/>
        <v>0</v>
      </c>
      <c r="F405" s="102"/>
      <c r="G405" s="102"/>
      <c r="H405" s="102"/>
      <c r="I405" s="102"/>
      <c r="J405" s="100">
        <f t="shared" si="35"/>
        <v>900000</v>
      </c>
      <c r="K405" s="102"/>
      <c r="L405" s="102"/>
      <c r="M405" s="102"/>
      <c r="N405" s="102">
        <f>0+900000</f>
        <v>900000</v>
      </c>
      <c r="O405" s="102">
        <f>0+900000</f>
        <v>900000</v>
      </c>
      <c r="P405" s="100">
        <f t="shared" si="41"/>
        <v>900000</v>
      </c>
      <c r="Q405" s="14"/>
    </row>
    <row r="406" spans="1:17" ht="135" hidden="1">
      <c r="A406" s="3"/>
      <c r="B406" s="4"/>
      <c r="C406" s="24"/>
      <c r="D406" s="6" t="s">
        <v>309</v>
      </c>
      <c r="E406" s="100">
        <f t="shared" si="40"/>
        <v>0</v>
      </c>
      <c r="F406" s="102"/>
      <c r="G406" s="102"/>
      <c r="H406" s="102"/>
      <c r="I406" s="102"/>
      <c r="J406" s="100">
        <f t="shared" si="35"/>
        <v>0</v>
      </c>
      <c r="K406" s="102"/>
      <c r="L406" s="102"/>
      <c r="M406" s="102"/>
      <c r="N406" s="102"/>
      <c r="O406" s="102"/>
      <c r="P406" s="100">
        <f>E406+J406</f>
        <v>0</v>
      </c>
      <c r="Q406" s="14"/>
    </row>
    <row r="407" spans="1:17" ht="15">
      <c r="A407" s="3"/>
      <c r="B407" s="4" t="s">
        <v>193</v>
      </c>
      <c r="C407" s="5" t="s">
        <v>192</v>
      </c>
      <c r="D407" s="6" t="s">
        <v>194</v>
      </c>
      <c r="E407" s="100">
        <f>F407+I407</f>
        <v>1589300</v>
      </c>
      <c r="F407" s="2"/>
      <c r="G407" s="102"/>
      <c r="H407" s="102"/>
      <c r="I407" s="102">
        <f>672000+878000+39300</f>
        <v>1589300</v>
      </c>
      <c r="J407" s="100">
        <f aca="true" t="shared" si="42" ref="J407:J414">K407+N407</f>
        <v>94000</v>
      </c>
      <c r="K407" s="102"/>
      <c r="L407" s="102"/>
      <c r="M407" s="102"/>
      <c r="N407" s="102">
        <f>0+94000</f>
        <v>94000</v>
      </c>
      <c r="O407" s="102">
        <f>0+94000</f>
        <v>94000</v>
      </c>
      <c r="P407" s="100">
        <f t="shared" si="41"/>
        <v>1683300</v>
      </c>
      <c r="Q407" s="14">
        <f>50000-50000</f>
        <v>0</v>
      </c>
    </row>
    <row r="408" spans="1:17" ht="93.75" customHeight="1">
      <c r="A408" s="3"/>
      <c r="B408" s="4"/>
      <c r="C408" s="5"/>
      <c r="D408" s="8" t="s">
        <v>363</v>
      </c>
      <c r="E408" s="100">
        <f t="shared" si="40"/>
        <v>39300</v>
      </c>
      <c r="F408" s="2"/>
      <c r="G408" s="102"/>
      <c r="H408" s="102"/>
      <c r="I408" s="102">
        <v>39300</v>
      </c>
      <c r="J408" s="100">
        <f t="shared" si="42"/>
        <v>0</v>
      </c>
      <c r="K408" s="102"/>
      <c r="L408" s="102"/>
      <c r="M408" s="102"/>
      <c r="N408" s="102"/>
      <c r="O408" s="102"/>
      <c r="P408" s="100">
        <f t="shared" si="41"/>
        <v>39300</v>
      </c>
      <c r="Q408" s="14"/>
    </row>
    <row r="409" spans="1:17" ht="15">
      <c r="A409" s="3"/>
      <c r="B409" s="4" t="s">
        <v>196</v>
      </c>
      <c r="C409" s="5" t="s">
        <v>195</v>
      </c>
      <c r="D409" s="6" t="s">
        <v>59</v>
      </c>
      <c r="E409" s="100">
        <f t="shared" si="40"/>
        <v>100000</v>
      </c>
      <c r="F409" s="2">
        <v>100000</v>
      </c>
      <c r="G409" s="102"/>
      <c r="H409" s="102"/>
      <c r="I409" s="102"/>
      <c r="J409" s="100">
        <f t="shared" si="42"/>
        <v>0</v>
      </c>
      <c r="K409" s="102"/>
      <c r="L409" s="102"/>
      <c r="M409" s="102"/>
      <c r="N409" s="102"/>
      <c r="O409" s="102"/>
      <c r="P409" s="100">
        <f t="shared" si="41"/>
        <v>100000</v>
      </c>
      <c r="Q409" s="14"/>
    </row>
    <row r="410" spans="1:17" ht="75">
      <c r="A410" s="3"/>
      <c r="B410" s="4">
        <v>250500</v>
      </c>
      <c r="C410" s="24" t="s">
        <v>259</v>
      </c>
      <c r="D410" s="6" t="s">
        <v>302</v>
      </c>
      <c r="E410" s="100">
        <f t="shared" si="40"/>
        <v>0</v>
      </c>
      <c r="F410" s="2"/>
      <c r="G410" s="102"/>
      <c r="H410" s="102"/>
      <c r="I410" s="102"/>
      <c r="J410" s="100">
        <f t="shared" si="42"/>
        <v>100000</v>
      </c>
      <c r="K410" s="102"/>
      <c r="L410" s="102"/>
      <c r="M410" s="102"/>
      <c r="N410" s="102">
        <f>0+100000</f>
        <v>100000</v>
      </c>
      <c r="O410" s="102">
        <f>0+100000</f>
        <v>100000</v>
      </c>
      <c r="P410" s="100">
        <f t="shared" si="41"/>
        <v>100000</v>
      </c>
      <c r="Q410" s="14"/>
    </row>
    <row r="411" spans="1:17" s="140" customFormat="1" ht="21" customHeight="1">
      <c r="A411" s="142" t="s">
        <v>197</v>
      </c>
      <c r="B411" s="54"/>
      <c r="C411" s="61"/>
      <c r="D411" s="12" t="s">
        <v>198</v>
      </c>
      <c r="E411" s="1">
        <f>F411+I411</f>
        <v>138074057</v>
      </c>
      <c r="F411" s="1">
        <f>F412+F413+F414+F416+F417+F419+F420+F424+F425+F426+F427+F428+F429+F432+F433+F434+F436+F438+F439+F440+F431</f>
        <v>134674057</v>
      </c>
      <c r="G411" s="1">
        <f>G412+G413+G414+G416+G417+G419+G420+G424+G425+G426+G427+G428+G429+G432+G433+G434+G436+G438+G439+G440+G431</f>
        <v>3264736</v>
      </c>
      <c r="H411" s="1">
        <f>H412+H413+H414+H416+H417+H419+H420+H424+H425+H426+H427+H428+H429+H432+H433+H434+H436+H438+H439+H440+H431</f>
        <v>33764436</v>
      </c>
      <c r="I411" s="1">
        <f>I412+I413+I414+I416+I417+I419+I420+I424+I425+I426+I427+I428+I429+I432+I433+I434+I436+I438+I439+I440+I431</f>
        <v>3400000</v>
      </c>
      <c r="J411" s="1">
        <f>K411+N411</f>
        <v>89554729</v>
      </c>
      <c r="K411" s="1">
        <f>K412+K413+K414+K416+K417+K419+K420+K424+K425+K426+K427+K428+K429+K432+K433+K434+K436+K438+K439+K440+K431</f>
        <v>883700</v>
      </c>
      <c r="L411" s="1">
        <f>L412+L413+L414+L416+L417+L419+L420+L424+L425+L426+L427+L428+L429+L432+L433+L434+L436+L438+L439+L440+L431</f>
        <v>0</v>
      </c>
      <c r="M411" s="1">
        <f>M412+M413+M414+M416+M417+M419+M420+M424+M425+M426+M427+M428+M429+M432+M433+M434+M436+M438+M439+M440+M431</f>
        <v>40000</v>
      </c>
      <c r="N411" s="1">
        <f>N412+N413+N414+N416+N417+N419+N420+N424+N425+N426+N427+N428+N429+N432+N433+N434+N436+N438+N439+N440+N431</f>
        <v>88671029</v>
      </c>
      <c r="O411" s="1">
        <f>O412+O413+O414+O416+O417+O419+O420+O424+O425+O426+O427+O428+O429+O432+O433+O434+O436+O438+O439+O440+O431</f>
        <v>84253800</v>
      </c>
      <c r="P411" s="1">
        <f>E411+J411</f>
        <v>227628786</v>
      </c>
      <c r="Q411" s="15">
        <f>SUM(Q412:Q440)</f>
        <v>3735000</v>
      </c>
    </row>
    <row r="412" spans="1:17" ht="20.25" customHeight="1">
      <c r="A412" s="3"/>
      <c r="B412" s="4" t="s">
        <v>19</v>
      </c>
      <c r="C412" s="5" t="s">
        <v>18</v>
      </c>
      <c r="D412" s="6" t="s">
        <v>20</v>
      </c>
      <c r="E412" s="100">
        <f aca="true" t="shared" si="43" ref="E412:E440">F412+I412</f>
        <v>4852754</v>
      </c>
      <c r="F412" s="2">
        <f>4862780-447577+190000+87580+15000+72200+52831+19940</f>
        <v>4852754</v>
      </c>
      <c r="G412" s="102">
        <f>3192949+71787</f>
        <v>3264736</v>
      </c>
      <c r="H412" s="102">
        <f>207486+72200</f>
        <v>279686</v>
      </c>
      <c r="I412" s="102"/>
      <c r="J412" s="100">
        <f t="shared" si="42"/>
        <v>659175</v>
      </c>
      <c r="K412" s="102">
        <v>82700</v>
      </c>
      <c r="L412" s="102"/>
      <c r="M412" s="102">
        <v>40000</v>
      </c>
      <c r="N412" s="102">
        <f>800000+1000000+300000-1420000-180000-52831+129306</f>
        <v>576475</v>
      </c>
      <c r="O412" s="102">
        <f>800000+1000000+300000-1420000-180000-52831+129306</f>
        <v>576475</v>
      </c>
      <c r="P412" s="100">
        <f>E412+J412</f>
        <v>5511929</v>
      </c>
      <c r="Q412" s="14">
        <v>800000</v>
      </c>
    </row>
    <row r="413" spans="1:18" s="59" customFormat="1" ht="21.75" customHeight="1">
      <c r="A413" s="51"/>
      <c r="B413" s="51" t="s">
        <v>356</v>
      </c>
      <c r="C413" s="51" t="s">
        <v>357</v>
      </c>
      <c r="D413" s="57" t="s">
        <v>358</v>
      </c>
      <c r="E413" s="105">
        <f>SUM(F413,I413)</f>
        <v>391600</v>
      </c>
      <c r="F413" s="114">
        <f>0+391600</f>
        <v>391600</v>
      </c>
      <c r="G413" s="114"/>
      <c r="H413" s="114"/>
      <c r="I413" s="102"/>
      <c r="J413" s="105">
        <f>SUM(K413,N413)</f>
        <v>0</v>
      </c>
      <c r="K413" s="114"/>
      <c r="L413" s="114"/>
      <c r="M413" s="114"/>
      <c r="N413" s="114"/>
      <c r="O413" s="114"/>
      <c r="P413" s="122">
        <f>SUM(E413,J413)</f>
        <v>391600</v>
      </c>
      <c r="Q413" s="127"/>
      <c r="R413" s="58"/>
    </row>
    <row r="414" spans="1:17" ht="21.75" customHeight="1">
      <c r="A414" s="3"/>
      <c r="B414" s="4" t="s">
        <v>200</v>
      </c>
      <c r="C414" s="5" t="s">
        <v>199</v>
      </c>
      <c r="D414" s="6" t="s">
        <v>201</v>
      </c>
      <c r="E414" s="100">
        <f t="shared" si="43"/>
        <v>22745976</v>
      </c>
      <c r="F414" s="2">
        <f>16599000-1000000-160480+1700000-200000+10000+148515+300000+85500+55773+122768+5450+29450+5050000</f>
        <v>22745976</v>
      </c>
      <c r="G414" s="102"/>
      <c r="H414" s="102"/>
      <c r="I414" s="102"/>
      <c r="J414" s="100">
        <f t="shared" si="42"/>
        <v>2079735</v>
      </c>
      <c r="K414" s="102"/>
      <c r="L414" s="102"/>
      <c r="M414" s="102"/>
      <c r="N414" s="102">
        <f>800000+200000+1000000+51485+9000+19250</f>
        <v>2079735</v>
      </c>
      <c r="O414" s="102">
        <f>800000+200000+1000000+51485+9000+19250</f>
        <v>2079735</v>
      </c>
      <c r="P414" s="100">
        <f aca="true" t="shared" si="44" ref="P414:P419">E414+J414</f>
        <v>24825711</v>
      </c>
      <c r="Q414" s="14"/>
    </row>
    <row r="415" spans="1:17" ht="15" hidden="1">
      <c r="A415" s="3"/>
      <c r="B415" s="4"/>
      <c r="C415" s="5"/>
      <c r="D415" s="6" t="s">
        <v>297</v>
      </c>
      <c r="E415" s="100">
        <f t="shared" si="43"/>
        <v>0</v>
      </c>
      <c r="F415" s="2"/>
      <c r="G415" s="102"/>
      <c r="H415" s="102"/>
      <c r="I415" s="102"/>
      <c r="J415" s="100"/>
      <c r="K415" s="102"/>
      <c r="L415" s="102"/>
      <c r="M415" s="102"/>
      <c r="N415" s="102">
        <v>0</v>
      </c>
      <c r="O415" s="102">
        <v>0</v>
      </c>
      <c r="P415" s="100">
        <f t="shared" si="44"/>
        <v>0</v>
      </c>
      <c r="Q415" s="14"/>
    </row>
    <row r="416" spans="1:17" ht="30">
      <c r="A416" s="3"/>
      <c r="B416" s="4">
        <v>100102</v>
      </c>
      <c r="C416" s="5" t="s">
        <v>199</v>
      </c>
      <c r="D416" s="6" t="s">
        <v>257</v>
      </c>
      <c r="E416" s="100">
        <f t="shared" si="43"/>
        <v>0</v>
      </c>
      <c r="F416" s="2"/>
      <c r="G416" s="102"/>
      <c r="H416" s="102"/>
      <c r="I416" s="102"/>
      <c r="J416" s="100">
        <f aca="true" t="shared" si="45" ref="J416:J431">K416+N416</f>
        <v>9455000</v>
      </c>
      <c r="K416" s="102"/>
      <c r="L416" s="102"/>
      <c r="M416" s="102"/>
      <c r="N416" s="102">
        <f>285000+9165000+200000+850000-400000-395000-250000</f>
        <v>9455000</v>
      </c>
      <c r="O416" s="102">
        <f>9165000+200000+850000-400000-395000-250000</f>
        <v>9170000</v>
      </c>
      <c r="P416" s="100">
        <f t="shared" si="44"/>
        <v>9455000</v>
      </c>
      <c r="Q416" s="14"/>
    </row>
    <row r="417" spans="1:17" ht="18.75" customHeight="1">
      <c r="A417" s="3"/>
      <c r="B417" s="18">
        <v>100201</v>
      </c>
      <c r="C417" s="7" t="s">
        <v>202</v>
      </c>
      <c r="D417" s="8" t="s">
        <v>290</v>
      </c>
      <c r="E417" s="100">
        <f t="shared" si="43"/>
        <v>25000</v>
      </c>
      <c r="F417" s="2">
        <v>25000</v>
      </c>
      <c r="G417" s="102"/>
      <c r="H417" s="102"/>
      <c r="I417" s="102"/>
      <c r="J417" s="100">
        <f t="shared" si="45"/>
        <v>5000000</v>
      </c>
      <c r="K417" s="102"/>
      <c r="L417" s="102"/>
      <c r="M417" s="102"/>
      <c r="N417" s="102">
        <v>5000000</v>
      </c>
      <c r="O417" s="102">
        <v>5000000</v>
      </c>
      <c r="P417" s="100">
        <f t="shared" si="44"/>
        <v>5025000</v>
      </c>
      <c r="Q417" s="14"/>
    </row>
    <row r="418" spans="1:17" ht="18.75" customHeight="1" hidden="1">
      <c r="A418" s="3"/>
      <c r="B418" s="4"/>
      <c r="C418" s="5"/>
      <c r="D418" s="6" t="s">
        <v>314</v>
      </c>
      <c r="E418" s="100">
        <f t="shared" si="43"/>
        <v>0</v>
      </c>
      <c r="F418" s="2"/>
      <c r="G418" s="102"/>
      <c r="H418" s="102"/>
      <c r="I418" s="102"/>
      <c r="J418" s="100">
        <f t="shared" si="45"/>
        <v>0</v>
      </c>
      <c r="K418" s="102"/>
      <c r="L418" s="102"/>
      <c r="M418" s="102"/>
      <c r="N418" s="102">
        <v>0</v>
      </c>
      <c r="O418" s="102">
        <v>0</v>
      </c>
      <c r="P418" s="100">
        <f t="shared" si="44"/>
        <v>0</v>
      </c>
      <c r="Q418" s="14"/>
    </row>
    <row r="419" spans="1:17" ht="22.5" customHeight="1">
      <c r="A419" s="3"/>
      <c r="B419" s="4">
        <v>100202</v>
      </c>
      <c r="C419" s="5" t="s">
        <v>202</v>
      </c>
      <c r="D419" s="6" t="s">
        <v>258</v>
      </c>
      <c r="E419" s="100">
        <f t="shared" si="43"/>
        <v>7900</v>
      </c>
      <c r="F419" s="2">
        <v>7900</v>
      </c>
      <c r="G419" s="102"/>
      <c r="H419" s="102"/>
      <c r="I419" s="102"/>
      <c r="J419" s="100">
        <f t="shared" si="45"/>
        <v>0</v>
      </c>
      <c r="K419" s="102"/>
      <c r="L419" s="102"/>
      <c r="M419" s="102"/>
      <c r="N419" s="102">
        <v>0</v>
      </c>
      <c r="O419" s="102">
        <v>0</v>
      </c>
      <c r="P419" s="100">
        <f t="shared" si="44"/>
        <v>7900</v>
      </c>
      <c r="Q419" s="14"/>
    </row>
    <row r="420" spans="1:17" ht="15">
      <c r="A420" s="3"/>
      <c r="B420" s="4" t="s">
        <v>203</v>
      </c>
      <c r="C420" s="5" t="s">
        <v>202</v>
      </c>
      <c r="D420" s="6" t="s">
        <v>204</v>
      </c>
      <c r="E420" s="100">
        <f>F420+I420</f>
        <v>70916020</v>
      </c>
      <c r="F420" s="2">
        <f>35648600+1000000-8400000+2315340-601000+24166750+2400000+2000000+3560930+6000000+50000+113000+136168+76232+50000+1200000+1200000</f>
        <v>70916020</v>
      </c>
      <c r="G420" s="2"/>
      <c r="H420" s="136">
        <f>3318000+24166750+6000000</f>
        <v>33484750</v>
      </c>
      <c r="I420" s="2">
        <f>391600-391600</f>
        <v>0</v>
      </c>
      <c r="J420" s="100">
        <f t="shared" si="45"/>
        <v>7556725</v>
      </c>
      <c r="K420" s="102"/>
      <c r="L420" s="102"/>
      <c r="M420" s="102"/>
      <c r="N420" s="102">
        <f>1706000-200000+6733250-30000+200000-122757+49500+100000-103200+37000-136168-199000-477900</f>
        <v>7556725</v>
      </c>
      <c r="O420" s="102">
        <f>1706000-200000+6733250-30000+200000-122757+49500+100000-103200+37000-136168-199000-477900</f>
        <v>7556725</v>
      </c>
      <c r="P420" s="100">
        <f>E420+J420</f>
        <v>78472745</v>
      </c>
      <c r="Q420" s="14">
        <v>1706000</v>
      </c>
    </row>
    <row r="421" spans="1:17" ht="45" hidden="1">
      <c r="A421" s="3"/>
      <c r="B421" s="4"/>
      <c r="C421" s="5"/>
      <c r="D421" s="6" t="s">
        <v>304</v>
      </c>
      <c r="E421" s="100">
        <f t="shared" si="43"/>
        <v>0</v>
      </c>
      <c r="F421" s="2"/>
      <c r="G421" s="102"/>
      <c r="H421" s="102"/>
      <c r="I421" s="102"/>
      <c r="J421" s="100">
        <f t="shared" si="45"/>
        <v>0</v>
      </c>
      <c r="K421" s="102"/>
      <c r="L421" s="102"/>
      <c r="M421" s="102"/>
      <c r="N421" s="102"/>
      <c r="O421" s="102"/>
      <c r="P421" s="100">
        <f aca="true" t="shared" si="46" ref="P421:P439">E421+J421</f>
        <v>0</v>
      </c>
      <c r="Q421" s="14"/>
    </row>
    <row r="422" spans="1:17" ht="33" customHeight="1" hidden="1">
      <c r="A422" s="3"/>
      <c r="B422" s="4"/>
      <c r="C422" s="5"/>
      <c r="D422" s="6" t="s">
        <v>288</v>
      </c>
      <c r="E422" s="100">
        <f t="shared" si="43"/>
        <v>0</v>
      </c>
      <c r="F422" s="2"/>
      <c r="G422" s="102"/>
      <c r="H422" s="102"/>
      <c r="I422" s="102"/>
      <c r="J422" s="100">
        <f t="shared" si="45"/>
        <v>0</v>
      </c>
      <c r="K422" s="102"/>
      <c r="L422" s="102"/>
      <c r="M422" s="102"/>
      <c r="N422" s="102"/>
      <c r="O422" s="102"/>
      <c r="P422" s="100">
        <f t="shared" si="46"/>
        <v>0</v>
      </c>
      <c r="Q422" s="14"/>
    </row>
    <row r="423" spans="1:17" ht="61.5" customHeight="1" hidden="1">
      <c r="A423" s="3"/>
      <c r="B423" s="4"/>
      <c r="C423" s="5"/>
      <c r="D423" s="6" t="s">
        <v>315</v>
      </c>
      <c r="E423" s="100">
        <f t="shared" si="43"/>
        <v>0</v>
      </c>
      <c r="F423" s="2"/>
      <c r="G423" s="102"/>
      <c r="H423" s="102"/>
      <c r="I423" s="102"/>
      <c r="J423" s="100">
        <f t="shared" si="45"/>
        <v>0</v>
      </c>
      <c r="K423" s="102"/>
      <c r="L423" s="102"/>
      <c r="M423" s="102"/>
      <c r="N423" s="102"/>
      <c r="O423" s="102"/>
      <c r="P423" s="100">
        <f t="shared" si="46"/>
        <v>0</v>
      </c>
      <c r="Q423" s="14"/>
    </row>
    <row r="424" spans="1:17" ht="30">
      <c r="A424" s="3"/>
      <c r="B424" s="4" t="s">
        <v>205</v>
      </c>
      <c r="C424" s="5" t="s">
        <v>202</v>
      </c>
      <c r="D424" s="6" t="s">
        <v>206</v>
      </c>
      <c r="E424" s="100">
        <f t="shared" si="43"/>
        <v>3400000</v>
      </c>
      <c r="F424" s="2"/>
      <c r="G424" s="102"/>
      <c r="H424" s="102"/>
      <c r="I424" s="102">
        <v>3400000</v>
      </c>
      <c r="J424" s="100">
        <f t="shared" si="45"/>
        <v>0</v>
      </c>
      <c r="K424" s="102"/>
      <c r="L424" s="102"/>
      <c r="M424" s="102"/>
      <c r="N424" s="102"/>
      <c r="O424" s="102"/>
      <c r="P424" s="100">
        <f t="shared" si="46"/>
        <v>3400000</v>
      </c>
      <c r="Q424" s="14"/>
    </row>
    <row r="425" spans="1:17" ht="60">
      <c r="A425" s="3"/>
      <c r="B425" s="4">
        <v>100302</v>
      </c>
      <c r="C425" s="7" t="s">
        <v>202</v>
      </c>
      <c r="D425" s="8" t="s">
        <v>207</v>
      </c>
      <c r="E425" s="100">
        <f t="shared" si="43"/>
        <v>3409850</v>
      </c>
      <c r="F425" s="2">
        <f>3366000+143850-100000</f>
        <v>3409850</v>
      </c>
      <c r="G425" s="102"/>
      <c r="H425" s="102"/>
      <c r="I425" s="102"/>
      <c r="J425" s="100">
        <f t="shared" si="45"/>
        <v>0</v>
      </c>
      <c r="K425" s="102"/>
      <c r="L425" s="102"/>
      <c r="M425" s="102"/>
      <c r="N425" s="102">
        <v>0</v>
      </c>
      <c r="O425" s="102">
        <v>0</v>
      </c>
      <c r="P425" s="100">
        <f t="shared" si="46"/>
        <v>3409850</v>
      </c>
      <c r="Q425" s="14"/>
    </row>
    <row r="426" spans="1:17" ht="29.25" customHeight="1">
      <c r="A426" s="3"/>
      <c r="B426" s="4">
        <v>150101</v>
      </c>
      <c r="C426" s="5" t="s">
        <v>259</v>
      </c>
      <c r="D426" s="6" t="s">
        <v>260</v>
      </c>
      <c r="E426" s="100">
        <f t="shared" si="43"/>
        <v>0</v>
      </c>
      <c r="F426" s="2"/>
      <c r="G426" s="102"/>
      <c r="H426" s="102"/>
      <c r="I426" s="102"/>
      <c r="J426" s="100">
        <f t="shared" si="45"/>
        <v>13228410</v>
      </c>
      <c r="K426" s="102"/>
      <c r="L426" s="102"/>
      <c r="M426" s="102"/>
      <c r="N426" s="102">
        <f>1318237+10359100-850000+30000+326118+87000+1957955</f>
        <v>13228410</v>
      </c>
      <c r="O426" s="102">
        <f>1318237+10359100-850000+30000+326118+87000+1957955</f>
        <v>13228410</v>
      </c>
      <c r="P426" s="100">
        <f t="shared" si="46"/>
        <v>13228410</v>
      </c>
      <c r="Q426" s="14"/>
    </row>
    <row r="427" spans="1:17" ht="45">
      <c r="A427" s="3"/>
      <c r="B427" s="4">
        <v>150110</v>
      </c>
      <c r="C427" s="5" t="s">
        <v>29</v>
      </c>
      <c r="D427" s="6" t="s">
        <v>261</v>
      </c>
      <c r="E427" s="100">
        <f t="shared" si="43"/>
        <v>0</v>
      </c>
      <c r="F427" s="2"/>
      <c r="G427" s="102"/>
      <c r="H427" s="102"/>
      <c r="I427" s="102"/>
      <c r="J427" s="100">
        <f t="shared" si="45"/>
        <v>3494000</v>
      </c>
      <c r="K427" s="102"/>
      <c r="L427" s="102"/>
      <c r="M427" s="102"/>
      <c r="N427" s="102">
        <f>0+2718000+776000</f>
        <v>3494000</v>
      </c>
      <c r="O427" s="102">
        <f>0+2718000+776000</f>
        <v>3494000</v>
      </c>
      <c r="P427" s="100">
        <f t="shared" si="46"/>
        <v>3494000</v>
      </c>
      <c r="Q427" s="14"/>
    </row>
    <row r="428" spans="1:17" ht="47.25" customHeight="1">
      <c r="A428" s="3"/>
      <c r="B428" s="24" t="s">
        <v>294</v>
      </c>
      <c r="C428" s="24" t="s">
        <v>35</v>
      </c>
      <c r="D428" s="6" t="s">
        <v>278</v>
      </c>
      <c r="E428" s="100">
        <f t="shared" si="43"/>
        <v>0</v>
      </c>
      <c r="F428" s="102"/>
      <c r="G428" s="102"/>
      <c r="H428" s="102"/>
      <c r="I428" s="102"/>
      <c r="J428" s="100">
        <f t="shared" si="45"/>
        <v>80000</v>
      </c>
      <c r="K428" s="102"/>
      <c r="L428" s="102"/>
      <c r="M428" s="102"/>
      <c r="N428" s="102">
        <v>80000</v>
      </c>
      <c r="O428" s="102">
        <v>80000</v>
      </c>
      <c r="P428" s="100">
        <f t="shared" si="46"/>
        <v>80000</v>
      </c>
      <c r="Q428" s="14"/>
    </row>
    <row r="429" spans="1:17" ht="51" customHeight="1">
      <c r="A429" s="3"/>
      <c r="B429" s="4" t="s">
        <v>209</v>
      </c>
      <c r="C429" s="5" t="s">
        <v>208</v>
      </c>
      <c r="D429" s="6" t="s">
        <v>210</v>
      </c>
      <c r="E429" s="100">
        <f t="shared" si="43"/>
        <v>28330200</v>
      </c>
      <c r="F429" s="2">
        <f>15300200-1000000+15000000+30000-1000000</f>
        <v>28330200</v>
      </c>
      <c r="G429" s="102"/>
      <c r="H429" s="102"/>
      <c r="I429" s="102"/>
      <c r="J429" s="100">
        <f t="shared" si="45"/>
        <v>3824700</v>
      </c>
      <c r="K429" s="102"/>
      <c r="L429" s="102"/>
      <c r="M429" s="102"/>
      <c r="N429" s="102">
        <f>630000+3224700-30000</f>
        <v>3824700</v>
      </c>
      <c r="O429" s="102">
        <f>630000+3224700-424700-30000</f>
        <v>3400000</v>
      </c>
      <c r="P429" s="100">
        <f t="shared" si="46"/>
        <v>32154900</v>
      </c>
      <c r="Q429" s="14">
        <v>630000</v>
      </c>
    </row>
    <row r="430" spans="1:17" ht="15" hidden="1">
      <c r="A430" s="3"/>
      <c r="B430" s="4" t="s">
        <v>209</v>
      </c>
      <c r="C430" s="5" t="s">
        <v>208</v>
      </c>
      <c r="D430" s="6" t="s">
        <v>296</v>
      </c>
      <c r="E430" s="100">
        <f t="shared" si="43"/>
        <v>0</v>
      </c>
      <c r="F430" s="2"/>
      <c r="G430" s="102"/>
      <c r="H430" s="102"/>
      <c r="I430" s="102"/>
      <c r="J430" s="100">
        <f t="shared" si="45"/>
        <v>0</v>
      </c>
      <c r="K430" s="102"/>
      <c r="L430" s="102"/>
      <c r="M430" s="102"/>
      <c r="N430" s="102"/>
      <c r="O430" s="102"/>
      <c r="P430" s="100">
        <f t="shared" si="46"/>
        <v>0</v>
      </c>
      <c r="Q430" s="14"/>
    </row>
    <row r="431" spans="1:17" ht="15" hidden="1">
      <c r="A431" s="3"/>
      <c r="B431" s="4">
        <v>180107</v>
      </c>
      <c r="C431" s="24" t="s">
        <v>301</v>
      </c>
      <c r="D431" s="6" t="s">
        <v>266</v>
      </c>
      <c r="E431" s="100">
        <f t="shared" si="43"/>
        <v>0</v>
      </c>
      <c r="F431" s="2"/>
      <c r="G431" s="102"/>
      <c r="H431" s="102"/>
      <c r="I431" s="102"/>
      <c r="J431" s="100">
        <f t="shared" si="45"/>
        <v>0</v>
      </c>
      <c r="K431" s="102"/>
      <c r="L431" s="102"/>
      <c r="M431" s="102"/>
      <c r="N431" s="102"/>
      <c r="O431" s="102"/>
      <c r="P431" s="100">
        <f t="shared" si="46"/>
        <v>0</v>
      </c>
      <c r="Q431" s="14"/>
    </row>
    <row r="432" spans="1:17" ht="60">
      <c r="A432" s="3"/>
      <c r="B432" s="4">
        <v>180409</v>
      </c>
      <c r="C432" s="5" t="s">
        <v>259</v>
      </c>
      <c r="D432" s="6" t="s">
        <v>262</v>
      </c>
      <c r="E432" s="100">
        <f t="shared" si="43"/>
        <v>0</v>
      </c>
      <c r="F432" s="2"/>
      <c r="G432" s="102"/>
      <c r="H432" s="102"/>
      <c r="I432" s="102"/>
      <c r="J432" s="100">
        <f aca="true" t="shared" si="47" ref="J432:J457">K432+N432</f>
        <v>29712155</v>
      </c>
      <c r="K432" s="102"/>
      <c r="L432" s="102"/>
      <c r="M432" s="102"/>
      <c r="N432" s="2">
        <f>400000+9825100+100000+20000000+702301-165000-149246-1001000</f>
        <v>29712155</v>
      </c>
      <c r="O432" s="2">
        <f>400000+9825100+100000+20000000+702301-165000-149246-1001000</f>
        <v>29712155</v>
      </c>
      <c r="P432" s="100">
        <f t="shared" si="46"/>
        <v>29712155</v>
      </c>
      <c r="Q432" s="14">
        <v>400000</v>
      </c>
    </row>
    <row r="433" spans="1:17" ht="15" hidden="1">
      <c r="A433" s="3"/>
      <c r="B433" s="4">
        <v>200700</v>
      </c>
      <c r="C433" s="5" t="s">
        <v>227</v>
      </c>
      <c r="D433" s="6" t="s">
        <v>303</v>
      </c>
      <c r="E433" s="100">
        <f t="shared" si="43"/>
        <v>0</v>
      </c>
      <c r="F433" s="2">
        <f>200000-200000</f>
        <v>0</v>
      </c>
      <c r="G433" s="102"/>
      <c r="H433" s="102"/>
      <c r="I433" s="102"/>
      <c r="J433" s="100">
        <f t="shared" si="47"/>
        <v>0</v>
      </c>
      <c r="K433" s="102"/>
      <c r="L433" s="102"/>
      <c r="M433" s="102"/>
      <c r="N433" s="2">
        <f>199000-199000</f>
        <v>0</v>
      </c>
      <c r="O433" s="2">
        <f>199000-199000</f>
        <v>0</v>
      </c>
      <c r="P433" s="100">
        <f t="shared" si="46"/>
        <v>0</v>
      </c>
      <c r="Q433" s="14">
        <v>199000</v>
      </c>
    </row>
    <row r="434" spans="1:17" ht="30">
      <c r="A434" s="3"/>
      <c r="B434" s="4">
        <v>240601</v>
      </c>
      <c r="C434" s="5" t="s">
        <v>218</v>
      </c>
      <c r="D434" s="6" t="s">
        <v>220</v>
      </c>
      <c r="E434" s="100">
        <f t="shared" si="43"/>
        <v>0</v>
      </c>
      <c r="F434" s="2"/>
      <c r="G434" s="102"/>
      <c r="H434" s="102"/>
      <c r="I434" s="102"/>
      <c r="J434" s="100">
        <f t="shared" si="47"/>
        <v>801000</v>
      </c>
      <c r="K434" s="102">
        <v>801000</v>
      </c>
      <c r="L434" s="102"/>
      <c r="M434" s="102"/>
      <c r="N434" s="102"/>
      <c r="O434" s="102"/>
      <c r="P434" s="100">
        <f t="shared" si="46"/>
        <v>801000</v>
      </c>
      <c r="Q434" s="14">
        <v>0</v>
      </c>
    </row>
    <row r="435" spans="1:17" ht="30" hidden="1">
      <c r="A435" s="3"/>
      <c r="B435" s="4"/>
      <c r="C435" s="5"/>
      <c r="D435" s="6" t="s">
        <v>305</v>
      </c>
      <c r="E435" s="100">
        <f t="shared" si="43"/>
        <v>0</v>
      </c>
      <c r="F435" s="2"/>
      <c r="G435" s="102"/>
      <c r="H435" s="102" t="s">
        <v>248</v>
      </c>
      <c r="I435" s="102"/>
      <c r="J435" s="100">
        <f t="shared" si="47"/>
        <v>0</v>
      </c>
      <c r="K435" s="102"/>
      <c r="L435" s="102"/>
      <c r="M435" s="102"/>
      <c r="N435" s="102"/>
      <c r="O435" s="102"/>
      <c r="P435" s="100">
        <f t="shared" si="46"/>
        <v>0</v>
      </c>
      <c r="Q435" s="14">
        <v>0</v>
      </c>
    </row>
    <row r="436" spans="1:17" ht="15">
      <c r="A436" s="3"/>
      <c r="B436" s="4">
        <v>240602</v>
      </c>
      <c r="C436" s="5" t="s">
        <v>221</v>
      </c>
      <c r="D436" s="6" t="s">
        <v>223</v>
      </c>
      <c r="E436" s="100">
        <f t="shared" si="43"/>
        <v>0</v>
      </c>
      <c r="F436" s="2"/>
      <c r="G436" s="102"/>
      <c r="H436" s="102"/>
      <c r="I436" s="102"/>
      <c r="J436" s="100">
        <f t="shared" si="47"/>
        <v>3707529</v>
      </c>
      <c r="K436" s="102"/>
      <c r="L436" s="102"/>
      <c r="M436" s="102"/>
      <c r="N436" s="102">
        <f>199000+3508529</f>
        <v>3707529</v>
      </c>
      <c r="O436" s="102"/>
      <c r="P436" s="100">
        <f t="shared" si="46"/>
        <v>3707529</v>
      </c>
      <c r="Q436" s="14">
        <v>0</v>
      </c>
    </row>
    <row r="437" spans="1:17" ht="30">
      <c r="A437" s="3"/>
      <c r="B437" s="4"/>
      <c r="C437" s="5"/>
      <c r="D437" s="6" t="s">
        <v>305</v>
      </c>
      <c r="E437" s="100">
        <f>F437+I437</f>
        <v>0</v>
      </c>
      <c r="F437" s="2"/>
      <c r="G437" s="102"/>
      <c r="H437" s="102" t="s">
        <v>248</v>
      </c>
      <c r="I437" s="102"/>
      <c r="J437" s="100">
        <f>K437+N437</f>
        <v>3508529</v>
      </c>
      <c r="K437" s="102"/>
      <c r="L437" s="102"/>
      <c r="M437" s="102"/>
      <c r="N437" s="102">
        <v>3508529</v>
      </c>
      <c r="O437" s="102"/>
      <c r="P437" s="100">
        <f>E437+J437</f>
        <v>3508529</v>
      </c>
      <c r="Q437" s="14">
        <v>0</v>
      </c>
    </row>
    <row r="438" spans="1:17" ht="30">
      <c r="A438" s="3"/>
      <c r="B438" s="4">
        <v>250324</v>
      </c>
      <c r="C438" s="5" t="s">
        <v>48</v>
      </c>
      <c r="D438" s="6" t="s">
        <v>306</v>
      </c>
      <c r="E438" s="100">
        <f t="shared" si="43"/>
        <v>0</v>
      </c>
      <c r="F438" s="2"/>
      <c r="G438" s="102"/>
      <c r="H438" s="102"/>
      <c r="I438" s="102"/>
      <c r="J438" s="100">
        <f t="shared" si="47"/>
        <v>2500000</v>
      </c>
      <c r="K438" s="102"/>
      <c r="L438" s="102"/>
      <c r="M438" s="102"/>
      <c r="N438" s="102">
        <f>0+2500000</f>
        <v>2500000</v>
      </c>
      <c r="O438" s="102">
        <f>0+2500000</f>
        <v>2500000</v>
      </c>
      <c r="P438" s="100">
        <f t="shared" si="46"/>
        <v>2500000</v>
      </c>
      <c r="Q438" s="14"/>
    </row>
    <row r="439" spans="1:17" ht="15">
      <c r="A439" s="3"/>
      <c r="B439" s="4">
        <v>250380</v>
      </c>
      <c r="C439" s="5" t="s">
        <v>48</v>
      </c>
      <c r="D439" s="6" t="s">
        <v>263</v>
      </c>
      <c r="E439" s="100">
        <f t="shared" si="43"/>
        <v>500000</v>
      </c>
      <c r="F439" s="102">
        <f>0+500000</f>
        <v>500000</v>
      </c>
      <c r="G439" s="102"/>
      <c r="H439" s="102"/>
      <c r="I439" s="102"/>
      <c r="J439" s="100">
        <f t="shared" si="47"/>
        <v>7056300</v>
      </c>
      <c r="K439" s="102"/>
      <c r="L439" s="102"/>
      <c r="M439" s="102"/>
      <c r="N439" s="2">
        <f>0+6400000+656300</f>
        <v>7056300</v>
      </c>
      <c r="O439" s="2">
        <f>0+6400000+656300</f>
        <v>7056300</v>
      </c>
      <c r="P439" s="100">
        <f t="shared" si="46"/>
        <v>7556300</v>
      </c>
      <c r="Q439" s="14"/>
    </row>
    <row r="440" spans="1:17" ht="15">
      <c r="A440" s="3"/>
      <c r="B440" s="4" t="s">
        <v>196</v>
      </c>
      <c r="C440" s="5" t="s">
        <v>195</v>
      </c>
      <c r="D440" s="6" t="s">
        <v>59</v>
      </c>
      <c r="E440" s="100">
        <f t="shared" si="43"/>
        <v>3494757</v>
      </c>
      <c r="F440" s="2">
        <f>1825300+16630+2000000+1827+31000-380000</f>
        <v>3494757</v>
      </c>
      <c r="G440" s="102"/>
      <c r="H440" s="102"/>
      <c r="I440" s="102"/>
      <c r="J440" s="100">
        <f t="shared" si="47"/>
        <v>400000</v>
      </c>
      <c r="K440" s="102"/>
      <c r="L440" s="102"/>
      <c r="M440" s="102"/>
      <c r="N440" s="102">
        <f>0+400000</f>
        <v>400000</v>
      </c>
      <c r="O440" s="102">
        <f>0+400000</f>
        <v>400000</v>
      </c>
      <c r="P440" s="100">
        <f>E440+J440</f>
        <v>3894757</v>
      </c>
      <c r="Q440" s="14"/>
    </row>
    <row r="441" spans="1:17" ht="15">
      <c r="A441" s="9" t="s">
        <v>211</v>
      </c>
      <c r="B441" s="10"/>
      <c r="C441" s="11"/>
      <c r="D441" s="12" t="s">
        <v>212</v>
      </c>
      <c r="E441" s="1">
        <f>F441+I441</f>
        <v>1757153</v>
      </c>
      <c r="F441" s="1">
        <f>F442+F444+F443+F445</f>
        <v>1757153</v>
      </c>
      <c r="G441" s="1">
        <f>G442+G444+G443+G445</f>
        <v>1025354</v>
      </c>
      <c r="H441" s="1">
        <f>H442+H444+H443+H445</f>
        <v>202401</v>
      </c>
      <c r="I441" s="1">
        <f>I442+I444+I443+I445</f>
        <v>0</v>
      </c>
      <c r="J441" s="1">
        <f t="shared" si="47"/>
        <v>2450600</v>
      </c>
      <c r="K441" s="1">
        <f>K442+K444+K443+K445</f>
        <v>0</v>
      </c>
      <c r="L441" s="1">
        <f>L442+L444+L443+L445</f>
        <v>0</v>
      </c>
      <c r="M441" s="1">
        <f>M442+M444+M443+M445</f>
        <v>0</v>
      </c>
      <c r="N441" s="1">
        <f>N442+N444+N443+N445</f>
        <v>2450600</v>
      </c>
      <c r="O441" s="1">
        <f>O442+O444+O443+O445</f>
        <v>2450600</v>
      </c>
      <c r="P441" s="1">
        <f aca="true" t="shared" si="48" ref="P441:P449">E441+J441</f>
        <v>4207753</v>
      </c>
      <c r="Q441" s="15">
        <f>Q442+Q444</f>
        <v>2414600</v>
      </c>
    </row>
    <row r="442" spans="1:17" ht="14.25" customHeight="1">
      <c r="A442" s="3"/>
      <c r="B442" s="4" t="s">
        <v>19</v>
      </c>
      <c r="C442" s="5" t="s">
        <v>18</v>
      </c>
      <c r="D442" s="6" t="s">
        <v>20</v>
      </c>
      <c r="E442" s="100">
        <f aca="true" t="shared" si="49" ref="E442:E456">F442+I442</f>
        <v>1671753</v>
      </c>
      <c r="F442" s="102">
        <f>1755365-140014+56402</f>
        <v>1671753</v>
      </c>
      <c r="G442" s="102">
        <f>979123+46231</f>
        <v>1025354</v>
      </c>
      <c r="H442" s="102">
        <v>202401</v>
      </c>
      <c r="I442" s="102"/>
      <c r="J442" s="100">
        <f t="shared" si="47"/>
        <v>36000</v>
      </c>
      <c r="K442" s="102"/>
      <c r="L442" s="102"/>
      <c r="M442" s="102"/>
      <c r="N442" s="102">
        <v>36000</v>
      </c>
      <c r="O442" s="102">
        <v>36000</v>
      </c>
      <c r="P442" s="100">
        <f t="shared" si="48"/>
        <v>1707753</v>
      </c>
      <c r="Q442" s="14"/>
    </row>
    <row r="443" spans="1:17" ht="12" customHeight="1" hidden="1">
      <c r="A443" s="3"/>
      <c r="B443" s="4">
        <v>150101</v>
      </c>
      <c r="C443" s="24" t="s">
        <v>259</v>
      </c>
      <c r="D443" s="6" t="s">
        <v>277</v>
      </c>
      <c r="E443" s="100">
        <f t="shared" si="49"/>
        <v>0</v>
      </c>
      <c r="F443" s="102"/>
      <c r="G443" s="102"/>
      <c r="H443" s="102"/>
      <c r="I443" s="102"/>
      <c r="J443" s="100">
        <f t="shared" si="47"/>
        <v>0</v>
      </c>
      <c r="K443" s="102"/>
      <c r="L443" s="102"/>
      <c r="M443" s="102"/>
      <c r="N443" s="102">
        <f>166400-166400</f>
        <v>0</v>
      </c>
      <c r="O443" s="102">
        <f>166400-166400</f>
        <v>0</v>
      </c>
      <c r="P443" s="100">
        <f t="shared" si="48"/>
        <v>0</v>
      </c>
      <c r="Q443" s="14"/>
    </row>
    <row r="444" spans="1:17" ht="30">
      <c r="A444" s="3"/>
      <c r="B444" s="4" t="s">
        <v>214</v>
      </c>
      <c r="C444" s="5" t="s">
        <v>213</v>
      </c>
      <c r="D444" s="6" t="s">
        <v>215</v>
      </c>
      <c r="E444" s="100">
        <f t="shared" si="49"/>
        <v>85400</v>
      </c>
      <c r="F444" s="102">
        <v>85400</v>
      </c>
      <c r="G444" s="102"/>
      <c r="H444" s="102"/>
      <c r="I444" s="102"/>
      <c r="J444" s="100">
        <f t="shared" si="47"/>
        <v>2414600</v>
      </c>
      <c r="K444" s="102"/>
      <c r="L444" s="102"/>
      <c r="M444" s="102"/>
      <c r="N444" s="102">
        <v>2414600</v>
      </c>
      <c r="O444" s="102">
        <v>2414600</v>
      </c>
      <c r="P444" s="100">
        <f t="shared" si="48"/>
        <v>2500000</v>
      </c>
      <c r="Q444" s="14">
        <v>2414600</v>
      </c>
    </row>
    <row r="445" spans="1:17" ht="15" hidden="1">
      <c r="A445" s="3"/>
      <c r="B445" s="4" t="s">
        <v>196</v>
      </c>
      <c r="C445" s="5" t="s">
        <v>195</v>
      </c>
      <c r="D445" s="6" t="s">
        <v>59</v>
      </c>
      <c r="E445" s="100">
        <f t="shared" si="49"/>
        <v>0</v>
      </c>
      <c r="F445" s="2"/>
      <c r="G445" s="102"/>
      <c r="H445" s="102"/>
      <c r="I445" s="102"/>
      <c r="J445" s="100">
        <f t="shared" si="47"/>
        <v>0</v>
      </c>
      <c r="K445" s="102"/>
      <c r="L445" s="102"/>
      <c r="M445" s="102"/>
      <c r="N445" s="102"/>
      <c r="O445" s="102"/>
      <c r="P445" s="100">
        <f t="shared" si="48"/>
        <v>0</v>
      </c>
      <c r="Q445" s="14"/>
    </row>
    <row r="446" spans="1:17" s="140" customFormat="1" ht="30">
      <c r="A446" s="54">
        <v>4801</v>
      </c>
      <c r="B446" s="54"/>
      <c r="C446" s="61"/>
      <c r="D446" s="40" t="s">
        <v>365</v>
      </c>
      <c r="E446" s="1">
        <f>F446+I434</f>
        <v>473375</v>
      </c>
      <c r="F446" s="1">
        <f>F447</f>
        <v>473375</v>
      </c>
      <c r="G446" s="1">
        <f>G447</f>
        <v>269488</v>
      </c>
      <c r="H446" s="1">
        <f>H447</f>
        <v>46200</v>
      </c>
      <c r="I446" s="1">
        <f>I447</f>
        <v>0</v>
      </c>
      <c r="J446" s="100">
        <f t="shared" si="47"/>
        <v>17000</v>
      </c>
      <c r="K446" s="1">
        <f>K447</f>
        <v>0</v>
      </c>
      <c r="L446" s="1">
        <f>L447</f>
        <v>0</v>
      </c>
      <c r="M446" s="1">
        <f>M447</f>
        <v>0</v>
      </c>
      <c r="N446" s="1">
        <f>N447</f>
        <v>17000</v>
      </c>
      <c r="O446" s="1">
        <f>O447</f>
        <v>17000</v>
      </c>
      <c r="P446" s="1">
        <f t="shared" si="48"/>
        <v>490375</v>
      </c>
      <c r="Q446" s="15">
        <f>Q447</f>
        <v>0</v>
      </c>
    </row>
    <row r="447" spans="1:17" s="47" customFormat="1" ht="15">
      <c r="A447" s="48"/>
      <c r="B447" s="18" t="s">
        <v>19</v>
      </c>
      <c r="C447" s="7" t="s">
        <v>18</v>
      </c>
      <c r="D447" s="8" t="s">
        <v>20</v>
      </c>
      <c r="E447" s="2">
        <f>F447+I447</f>
        <v>473375</v>
      </c>
      <c r="F447" s="2">
        <f>328775+144600</f>
        <v>473375</v>
      </c>
      <c r="G447" s="2">
        <v>269488</v>
      </c>
      <c r="H447" s="2">
        <v>46200</v>
      </c>
      <c r="I447" s="2"/>
      <c r="J447" s="2">
        <f t="shared" si="47"/>
        <v>17000</v>
      </c>
      <c r="K447" s="2"/>
      <c r="L447" s="2"/>
      <c r="M447" s="2"/>
      <c r="N447" s="2">
        <v>17000</v>
      </c>
      <c r="O447" s="2">
        <v>17000</v>
      </c>
      <c r="P447" s="2">
        <f t="shared" si="48"/>
        <v>490375</v>
      </c>
      <c r="Q447" s="73"/>
    </row>
    <row r="448" spans="1:17" ht="45">
      <c r="A448" s="9" t="s">
        <v>216</v>
      </c>
      <c r="B448" s="10"/>
      <c r="C448" s="11"/>
      <c r="D448" s="12" t="s">
        <v>217</v>
      </c>
      <c r="E448" s="1">
        <f>F448+I448</f>
        <v>933942</v>
      </c>
      <c r="F448" s="1">
        <f>F449+F450+F451+F452+F453+F454+F455</f>
        <v>933942</v>
      </c>
      <c r="G448" s="1">
        <f>G449+G450+G451+G452+G453+G454+G455</f>
        <v>645847</v>
      </c>
      <c r="H448" s="1">
        <f>H449+H450+H451+H452+H453+H454+H455</f>
        <v>64377</v>
      </c>
      <c r="I448" s="1">
        <f>I449+I450+I451+I452+I453+I454+I455</f>
        <v>0</v>
      </c>
      <c r="J448" s="1">
        <f t="shared" si="47"/>
        <v>9404700</v>
      </c>
      <c r="K448" s="1">
        <f>K449+K450+K451+K452+K453+K454+K455</f>
        <v>2878700</v>
      </c>
      <c r="L448" s="1">
        <f>L449+L450+L451+L452+L453+L454+L455</f>
        <v>0</v>
      </c>
      <c r="M448" s="1">
        <f>M449+M450+M451+M452+M453+M454+M455</f>
        <v>0</v>
      </c>
      <c r="N448" s="1">
        <f>N449+N450+N451+N452+N453+N454+N455</f>
        <v>6526000</v>
      </c>
      <c r="O448" s="1">
        <f>O449+O450+O451+O452+O453+O454+O455</f>
        <v>0</v>
      </c>
      <c r="P448" s="1">
        <f>E448+J448</f>
        <v>10338642</v>
      </c>
      <c r="Q448" s="15">
        <f>Q449+Q451+Q452+Q453+Q454+Q450</f>
        <v>5197500</v>
      </c>
    </row>
    <row r="449" spans="1:17" ht="15">
      <c r="A449" s="3"/>
      <c r="B449" s="4" t="s">
        <v>19</v>
      </c>
      <c r="C449" s="5" t="s">
        <v>18</v>
      </c>
      <c r="D449" s="6" t="s">
        <v>20</v>
      </c>
      <c r="E449" s="100">
        <f t="shared" si="49"/>
        <v>918942</v>
      </c>
      <c r="F449" s="102">
        <f>937968-84663+65637</f>
        <v>918942</v>
      </c>
      <c r="G449" s="102">
        <f>592046+53801</f>
        <v>645847</v>
      </c>
      <c r="H449" s="102">
        <v>64377</v>
      </c>
      <c r="I449" s="102"/>
      <c r="J449" s="100">
        <f t="shared" si="47"/>
        <v>0</v>
      </c>
      <c r="K449" s="102"/>
      <c r="L449" s="102"/>
      <c r="M449" s="102"/>
      <c r="N449" s="102"/>
      <c r="O449" s="102"/>
      <c r="P449" s="100">
        <f t="shared" si="48"/>
        <v>918942</v>
      </c>
      <c r="Q449" s="14"/>
    </row>
    <row r="450" spans="1:17" ht="15">
      <c r="A450" s="3"/>
      <c r="B450" s="4">
        <v>200700</v>
      </c>
      <c r="C450" s="5" t="s">
        <v>227</v>
      </c>
      <c r="D450" s="6" t="s">
        <v>303</v>
      </c>
      <c r="E450" s="100">
        <f>F450+I450</f>
        <v>0</v>
      </c>
      <c r="F450" s="2">
        <f>2678700-200000-2478700</f>
        <v>0</v>
      </c>
      <c r="G450" s="102"/>
      <c r="H450" s="102"/>
      <c r="I450" s="102"/>
      <c r="J450" s="100">
        <f t="shared" si="47"/>
        <v>0</v>
      </c>
      <c r="K450" s="102"/>
      <c r="L450" s="102"/>
      <c r="M450" s="102"/>
      <c r="N450" s="2">
        <f>5197500-5197500</f>
        <v>0</v>
      </c>
      <c r="O450" s="2">
        <f>5197500-5197500</f>
        <v>0</v>
      </c>
      <c r="P450" s="100">
        <f aca="true" t="shared" si="50" ref="P450:P455">E450+J450</f>
        <v>0</v>
      </c>
      <c r="Q450" s="14">
        <v>5197500</v>
      </c>
    </row>
    <row r="451" spans="1:17" ht="30">
      <c r="A451" s="3"/>
      <c r="B451" s="4" t="s">
        <v>219</v>
      </c>
      <c r="C451" s="5" t="s">
        <v>218</v>
      </c>
      <c r="D451" s="6" t="s">
        <v>220</v>
      </c>
      <c r="E451" s="100">
        <f t="shared" si="49"/>
        <v>0</v>
      </c>
      <c r="F451" s="2"/>
      <c r="G451" s="102"/>
      <c r="H451" s="102"/>
      <c r="I451" s="102"/>
      <c r="J451" s="100">
        <f t="shared" si="47"/>
        <v>6189200</v>
      </c>
      <c r="K451" s="102">
        <v>795700</v>
      </c>
      <c r="L451" s="102"/>
      <c r="M451" s="102"/>
      <c r="N451" s="102">
        <f>5197500+196000</f>
        <v>5393500</v>
      </c>
      <c r="O451" s="102"/>
      <c r="P451" s="100">
        <f t="shared" si="50"/>
        <v>6189200</v>
      </c>
      <c r="Q451" s="14">
        <v>0</v>
      </c>
    </row>
    <row r="452" spans="1:17" ht="15">
      <c r="A452" s="3"/>
      <c r="B452" s="4" t="s">
        <v>222</v>
      </c>
      <c r="C452" s="5" t="s">
        <v>221</v>
      </c>
      <c r="D452" s="6" t="s">
        <v>223</v>
      </c>
      <c r="E452" s="100">
        <f t="shared" si="49"/>
        <v>0</v>
      </c>
      <c r="F452" s="2"/>
      <c r="G452" s="102"/>
      <c r="H452" s="102"/>
      <c r="I452" s="102"/>
      <c r="J452" s="100">
        <f t="shared" si="47"/>
        <v>2632500</v>
      </c>
      <c r="K452" s="102">
        <v>1500000</v>
      </c>
      <c r="L452" s="102"/>
      <c r="M452" s="102"/>
      <c r="N452" s="102">
        <f>0+1132500</f>
        <v>1132500</v>
      </c>
      <c r="O452" s="102"/>
      <c r="P452" s="100">
        <f t="shared" si="50"/>
        <v>2632500</v>
      </c>
      <c r="Q452" s="14"/>
    </row>
    <row r="453" spans="1:17" ht="30">
      <c r="A453" s="3"/>
      <c r="B453" s="4" t="s">
        <v>225</v>
      </c>
      <c r="C453" s="5" t="s">
        <v>224</v>
      </c>
      <c r="D453" s="6" t="s">
        <v>226</v>
      </c>
      <c r="E453" s="100">
        <f t="shared" si="49"/>
        <v>0</v>
      </c>
      <c r="F453" s="2"/>
      <c r="G453" s="102"/>
      <c r="H453" s="102"/>
      <c r="I453" s="102"/>
      <c r="J453" s="100">
        <f t="shared" si="47"/>
        <v>520000</v>
      </c>
      <c r="K453" s="102">
        <f>120000+400000</f>
        <v>520000</v>
      </c>
      <c r="L453" s="102"/>
      <c r="M453" s="102"/>
      <c r="N453" s="102"/>
      <c r="O453" s="102"/>
      <c r="P453" s="100">
        <f t="shared" si="50"/>
        <v>520000</v>
      </c>
      <c r="Q453" s="14"/>
    </row>
    <row r="454" spans="1:17" ht="30">
      <c r="A454" s="3"/>
      <c r="B454" s="4" t="s">
        <v>228</v>
      </c>
      <c r="C454" s="5" t="s">
        <v>227</v>
      </c>
      <c r="D454" s="6" t="s">
        <v>229</v>
      </c>
      <c r="E454" s="100">
        <f t="shared" si="49"/>
        <v>0</v>
      </c>
      <c r="F454" s="2"/>
      <c r="G454" s="102"/>
      <c r="H454" s="102"/>
      <c r="I454" s="102"/>
      <c r="J454" s="100">
        <f t="shared" si="47"/>
        <v>63000</v>
      </c>
      <c r="K454" s="102">
        <f>43000+20000</f>
        <v>63000</v>
      </c>
      <c r="L454" s="102"/>
      <c r="M454" s="102"/>
      <c r="N454" s="102">
        <f>20000-20000</f>
        <v>0</v>
      </c>
      <c r="O454" s="102"/>
      <c r="P454" s="100">
        <f t="shared" si="50"/>
        <v>63000</v>
      </c>
      <c r="Q454" s="14"/>
    </row>
    <row r="455" spans="1:17" ht="15">
      <c r="A455" s="3"/>
      <c r="B455" s="4">
        <v>250404</v>
      </c>
      <c r="C455" s="5" t="s">
        <v>195</v>
      </c>
      <c r="D455" s="6" t="s">
        <v>59</v>
      </c>
      <c r="E455" s="100">
        <f t="shared" si="49"/>
        <v>15000</v>
      </c>
      <c r="F455" s="2">
        <v>15000</v>
      </c>
      <c r="G455" s="102"/>
      <c r="H455" s="102"/>
      <c r="I455" s="102"/>
      <c r="J455" s="100">
        <f t="shared" si="47"/>
        <v>0</v>
      </c>
      <c r="K455" s="102"/>
      <c r="L455" s="102"/>
      <c r="M455" s="102"/>
      <c r="N455" s="102"/>
      <c r="O455" s="102"/>
      <c r="P455" s="100">
        <f t="shared" si="50"/>
        <v>15000</v>
      </c>
      <c r="Q455" s="14"/>
    </row>
    <row r="456" spans="1:18" ht="30">
      <c r="A456" s="9" t="s">
        <v>230</v>
      </c>
      <c r="B456" s="10"/>
      <c r="C456" s="11"/>
      <c r="D456" s="12" t="s">
        <v>231</v>
      </c>
      <c r="E456" s="1">
        <f t="shared" si="49"/>
        <v>29025424</v>
      </c>
      <c r="F456" s="1">
        <f>F457+F458+F463+F459+F460+F461+F462</f>
        <v>1025424</v>
      </c>
      <c r="G456" s="1">
        <f>G457+G458+G463+G459+G460+G461+G462</f>
        <v>586826</v>
      </c>
      <c r="H456" s="1">
        <f>H457+H458+H463+H459+H460+H461+H462</f>
        <v>73433</v>
      </c>
      <c r="I456" s="1">
        <f>I457+I458+I463+I459+I460+I461+I462</f>
        <v>28000000</v>
      </c>
      <c r="J456" s="1">
        <f t="shared" si="47"/>
        <v>15090000</v>
      </c>
      <c r="K456" s="1">
        <f>K457+K458+K463+K459+K460+K461+K462</f>
        <v>10000</v>
      </c>
      <c r="L456" s="1">
        <f>L457+L458+L463+L459+L460+L461+L462</f>
        <v>0</v>
      </c>
      <c r="M456" s="1">
        <f>M457+M458+M463+M459+M460+M461+M462</f>
        <v>0</v>
      </c>
      <c r="N456" s="1">
        <f>N457+N458+N463+N459+N460+N461+N462</f>
        <v>15080000</v>
      </c>
      <c r="O456" s="1">
        <f>O457+O458+O463+O459+O460+O461+O462</f>
        <v>15080000</v>
      </c>
      <c r="P456" s="1">
        <f>E456+J456</f>
        <v>44115424</v>
      </c>
      <c r="Q456" s="15">
        <f>Q457+Q458+Q463+Q459+Q460+Q461+Q462</f>
        <v>0</v>
      </c>
      <c r="R456" s="113"/>
    </row>
    <row r="457" spans="1:17" ht="15">
      <c r="A457" s="3"/>
      <c r="B457" s="4" t="s">
        <v>19</v>
      </c>
      <c r="C457" s="5" t="s">
        <v>18</v>
      </c>
      <c r="D457" s="6" t="s">
        <v>20</v>
      </c>
      <c r="E457" s="100">
        <f aca="true" t="shared" si="51" ref="E457:E467">F457+I457</f>
        <v>978197</v>
      </c>
      <c r="F457" s="102">
        <f>1729551-143702+89000-656028-40624</f>
        <v>978197</v>
      </c>
      <c r="G457" s="102">
        <f>1004909-418083</f>
        <v>586826</v>
      </c>
      <c r="H457" s="102">
        <f>108773-35340</f>
        <v>73433</v>
      </c>
      <c r="I457" s="102"/>
      <c r="J457" s="100">
        <f t="shared" si="47"/>
        <v>0</v>
      </c>
      <c r="K457" s="102"/>
      <c r="L457" s="102"/>
      <c r="M457" s="102"/>
      <c r="N457" s="102">
        <f>101000-101000</f>
        <v>0</v>
      </c>
      <c r="O457" s="102">
        <f>101000-101000</f>
        <v>0</v>
      </c>
      <c r="P457" s="100">
        <f>E457+J457</f>
        <v>978197</v>
      </c>
      <c r="Q457" s="14"/>
    </row>
    <row r="458" spans="1:17" ht="15">
      <c r="A458" s="3"/>
      <c r="B458" s="4">
        <v>170103</v>
      </c>
      <c r="C458" s="5" t="s">
        <v>264</v>
      </c>
      <c r="D458" s="6" t="s">
        <v>265</v>
      </c>
      <c r="E458" s="100">
        <f t="shared" si="51"/>
        <v>0</v>
      </c>
      <c r="F458" s="2"/>
      <c r="G458" s="102"/>
      <c r="H458" s="102"/>
      <c r="I458" s="102"/>
      <c r="J458" s="100">
        <f aca="true" t="shared" si="52" ref="J458:J487">K458+N458</f>
        <v>10000</v>
      </c>
      <c r="K458" s="102">
        <v>10000</v>
      </c>
      <c r="L458" s="102"/>
      <c r="M458" s="102"/>
      <c r="N458" s="102"/>
      <c r="O458" s="102"/>
      <c r="P458" s="100">
        <f aca="true" t="shared" si="53" ref="P458:P465">E458+J458</f>
        <v>10000</v>
      </c>
      <c r="Q458" s="14"/>
    </row>
    <row r="459" spans="1:17" ht="15">
      <c r="A459" s="3"/>
      <c r="B459" s="4" t="s">
        <v>233</v>
      </c>
      <c r="C459" s="5" t="s">
        <v>232</v>
      </c>
      <c r="D459" s="6" t="s">
        <v>234</v>
      </c>
      <c r="E459" s="100">
        <f t="shared" si="51"/>
        <v>28000000</v>
      </c>
      <c r="F459" s="2"/>
      <c r="G459" s="102"/>
      <c r="H459" s="102"/>
      <c r="I459" s="102">
        <f>17000000+15000000-2500000-1500000</f>
        <v>28000000</v>
      </c>
      <c r="J459" s="100">
        <f t="shared" si="52"/>
        <v>0</v>
      </c>
      <c r="K459" s="102"/>
      <c r="L459" s="102"/>
      <c r="M459" s="102"/>
      <c r="N459" s="102"/>
      <c r="O459" s="102"/>
      <c r="P459" s="100">
        <f t="shared" si="53"/>
        <v>28000000</v>
      </c>
      <c r="Q459" s="14"/>
    </row>
    <row r="460" spans="1:17" ht="60">
      <c r="A460" s="3"/>
      <c r="B460" s="4">
        <v>180409</v>
      </c>
      <c r="C460" s="5" t="s">
        <v>259</v>
      </c>
      <c r="D460" s="6" t="s">
        <v>262</v>
      </c>
      <c r="E460" s="100">
        <f t="shared" si="51"/>
        <v>0</v>
      </c>
      <c r="F460" s="2"/>
      <c r="G460" s="102"/>
      <c r="H460" s="102"/>
      <c r="I460" s="102"/>
      <c r="J460" s="100">
        <f t="shared" si="52"/>
        <v>15080000</v>
      </c>
      <c r="K460" s="102"/>
      <c r="L460" s="102"/>
      <c r="M460" s="102"/>
      <c r="N460" s="102">
        <f>6500000+2500000+4000000+385000+1695000</f>
        <v>15080000</v>
      </c>
      <c r="O460" s="102">
        <f>6500000+2500000+4000000+385000+1695000</f>
        <v>15080000</v>
      </c>
      <c r="P460" s="100">
        <f t="shared" si="53"/>
        <v>15080000</v>
      </c>
      <c r="Q460" s="14"/>
    </row>
    <row r="461" spans="1:17" ht="45">
      <c r="A461" s="3"/>
      <c r="B461" s="4" t="s">
        <v>236</v>
      </c>
      <c r="C461" s="5" t="s">
        <v>235</v>
      </c>
      <c r="D461" s="6" t="s">
        <v>237</v>
      </c>
      <c r="E461" s="100">
        <f t="shared" si="51"/>
        <v>47227</v>
      </c>
      <c r="F461" s="2">
        <f>103600+52400-108773</f>
        <v>47227</v>
      </c>
      <c r="G461" s="102"/>
      <c r="H461" s="102"/>
      <c r="I461" s="102"/>
      <c r="J461" s="100">
        <f t="shared" si="52"/>
        <v>0</v>
      </c>
      <c r="K461" s="102"/>
      <c r="L461" s="102"/>
      <c r="M461" s="102"/>
      <c r="N461" s="102"/>
      <c r="O461" s="102"/>
      <c r="P461" s="100">
        <f t="shared" si="53"/>
        <v>47227</v>
      </c>
      <c r="Q461" s="14"/>
    </row>
    <row r="462" spans="1:17" ht="15" hidden="1">
      <c r="A462" s="3"/>
      <c r="B462" s="4">
        <v>250380</v>
      </c>
      <c r="C462" s="5" t="s">
        <v>48</v>
      </c>
      <c r="D462" s="6" t="s">
        <v>263</v>
      </c>
      <c r="E462" s="100">
        <f t="shared" si="51"/>
        <v>0</v>
      </c>
      <c r="F462" s="134"/>
      <c r="G462" s="102"/>
      <c r="H462" s="102"/>
      <c r="I462" s="102"/>
      <c r="J462" s="100">
        <f t="shared" si="52"/>
        <v>0</v>
      </c>
      <c r="K462" s="102"/>
      <c r="L462" s="102"/>
      <c r="M462" s="102"/>
      <c r="N462" s="102"/>
      <c r="O462" s="102"/>
      <c r="P462" s="100">
        <f t="shared" si="53"/>
        <v>0</v>
      </c>
      <c r="Q462" s="14"/>
    </row>
    <row r="463" spans="1:17" ht="0.75" customHeight="1" hidden="1">
      <c r="A463" s="3"/>
      <c r="B463" s="4">
        <v>250404</v>
      </c>
      <c r="C463" s="5" t="s">
        <v>195</v>
      </c>
      <c r="D463" s="6" t="s">
        <v>59</v>
      </c>
      <c r="E463" s="100">
        <f t="shared" si="51"/>
        <v>0</v>
      </c>
      <c r="F463" s="2">
        <v>0</v>
      </c>
      <c r="G463" s="102"/>
      <c r="H463" s="102"/>
      <c r="I463" s="102"/>
      <c r="J463" s="100">
        <f t="shared" si="52"/>
        <v>0</v>
      </c>
      <c r="K463" s="102"/>
      <c r="L463" s="102"/>
      <c r="M463" s="102"/>
      <c r="N463" s="102"/>
      <c r="O463" s="102"/>
      <c r="P463" s="100">
        <f t="shared" si="53"/>
        <v>0</v>
      </c>
      <c r="Q463" s="14"/>
    </row>
    <row r="464" spans="1:17" s="140" customFormat="1" ht="15">
      <c r="A464" s="142">
        <v>67</v>
      </c>
      <c r="B464" s="54"/>
      <c r="C464" s="61"/>
      <c r="D464" s="40" t="s">
        <v>362</v>
      </c>
      <c r="E464" s="1">
        <f>F464+I453</f>
        <v>962449</v>
      </c>
      <c r="F464" s="1">
        <f>F465+F466</f>
        <v>962449</v>
      </c>
      <c r="G464" s="1">
        <f>G465+G466</f>
        <v>546791</v>
      </c>
      <c r="H464" s="1">
        <f>H465+H466</f>
        <v>35340</v>
      </c>
      <c r="I464" s="1">
        <f>I465+I466</f>
        <v>0</v>
      </c>
      <c r="J464" s="100">
        <f t="shared" si="52"/>
        <v>101000</v>
      </c>
      <c r="K464" s="1">
        <f>K465+K466</f>
        <v>0</v>
      </c>
      <c r="L464" s="1">
        <f>L465+L466</f>
        <v>0</v>
      </c>
      <c r="M464" s="1">
        <f>M465+M466</f>
        <v>0</v>
      </c>
      <c r="N464" s="1">
        <f>N465+N466</f>
        <v>101000</v>
      </c>
      <c r="O464" s="1">
        <f>O465+O466</f>
        <v>101000</v>
      </c>
      <c r="P464" s="1">
        <f t="shared" si="53"/>
        <v>1063449</v>
      </c>
      <c r="Q464" s="15">
        <f>Q465</f>
        <v>0</v>
      </c>
    </row>
    <row r="465" spans="1:17" s="137" customFormat="1" ht="15">
      <c r="A465" s="48"/>
      <c r="B465" s="18" t="s">
        <v>19</v>
      </c>
      <c r="C465" s="7" t="s">
        <v>18</v>
      </c>
      <c r="D465" s="8" t="s">
        <v>20</v>
      </c>
      <c r="E465" s="2">
        <f>F465+I465</f>
        <v>853676</v>
      </c>
      <c r="F465" s="2">
        <f>813052+40624</f>
        <v>853676</v>
      </c>
      <c r="G465" s="2">
        <v>546791</v>
      </c>
      <c r="H465" s="2">
        <v>35340</v>
      </c>
      <c r="I465" s="2"/>
      <c r="J465" s="2">
        <f t="shared" si="52"/>
        <v>101000</v>
      </c>
      <c r="K465" s="2"/>
      <c r="L465" s="2"/>
      <c r="M465" s="2"/>
      <c r="N465" s="2">
        <v>101000</v>
      </c>
      <c r="O465" s="2">
        <v>101000</v>
      </c>
      <c r="P465" s="2">
        <f t="shared" si="53"/>
        <v>954676</v>
      </c>
      <c r="Q465" s="138"/>
    </row>
    <row r="466" spans="1:17" s="137" customFormat="1" ht="45">
      <c r="A466" s="48"/>
      <c r="B466" s="18" t="s">
        <v>236</v>
      </c>
      <c r="C466" s="7" t="s">
        <v>235</v>
      </c>
      <c r="D466" s="8" t="s">
        <v>237</v>
      </c>
      <c r="E466" s="2">
        <f>F466+I466</f>
        <v>108773</v>
      </c>
      <c r="F466" s="2">
        <f>0+108773</f>
        <v>108773</v>
      </c>
      <c r="G466" s="2"/>
      <c r="H466" s="2"/>
      <c r="I466" s="2"/>
      <c r="J466" s="2">
        <f>K466+N466</f>
        <v>0</v>
      </c>
      <c r="K466" s="2"/>
      <c r="L466" s="2"/>
      <c r="M466" s="2"/>
      <c r="N466" s="2"/>
      <c r="O466" s="2"/>
      <c r="P466" s="2">
        <f>E466+J466</f>
        <v>108773</v>
      </c>
      <c r="Q466" s="138"/>
    </row>
    <row r="467" spans="1:17" ht="15">
      <c r="A467" s="9" t="s">
        <v>238</v>
      </c>
      <c r="B467" s="10"/>
      <c r="C467" s="11"/>
      <c r="D467" s="12" t="s">
        <v>239</v>
      </c>
      <c r="E467" s="1">
        <f t="shared" si="51"/>
        <v>3727135</v>
      </c>
      <c r="F467" s="1">
        <f>SUM(F468:F471)</f>
        <v>3727135</v>
      </c>
      <c r="G467" s="1">
        <f>SUM(G468:G471)</f>
        <v>1356154</v>
      </c>
      <c r="H467" s="1">
        <f>SUM(H468:H471)</f>
        <v>97845</v>
      </c>
      <c r="I467" s="1">
        <f>SUM(I468:I471)</f>
        <v>0</v>
      </c>
      <c r="J467" s="1">
        <f t="shared" si="52"/>
        <v>1325539</v>
      </c>
      <c r="K467" s="1">
        <f>SUM(K468:K471)</f>
        <v>0</v>
      </c>
      <c r="L467" s="1">
        <f>SUM(L468:L471)</f>
        <v>0</v>
      </c>
      <c r="M467" s="1">
        <f>SUM(M468:M471)</f>
        <v>0</v>
      </c>
      <c r="N467" s="1">
        <f>SUM(N468:N471)</f>
        <v>1325539</v>
      </c>
      <c r="O467" s="1">
        <f>SUM(O468:O471)</f>
        <v>1325539</v>
      </c>
      <c r="P467" s="1">
        <f>E467+J467</f>
        <v>5052674</v>
      </c>
      <c r="Q467" s="15">
        <f>Q468+Q471</f>
        <v>0</v>
      </c>
    </row>
    <row r="468" spans="1:17" ht="15">
      <c r="A468" s="3"/>
      <c r="B468" s="4" t="s">
        <v>19</v>
      </c>
      <c r="C468" s="5" t="s">
        <v>18</v>
      </c>
      <c r="D468" s="6" t="s">
        <v>20</v>
      </c>
      <c r="E468" s="100">
        <f aca="true" t="shared" si="54" ref="E468:E473">F468+I468</f>
        <v>1931674</v>
      </c>
      <c r="F468" s="102">
        <f>1678514-147024+400184</f>
        <v>1931674</v>
      </c>
      <c r="G468" s="102">
        <f>1028134+328020</f>
        <v>1356154</v>
      </c>
      <c r="H468" s="102">
        <v>97845</v>
      </c>
      <c r="I468" s="102"/>
      <c r="J468" s="100">
        <f>K468+N468</f>
        <v>50000</v>
      </c>
      <c r="K468" s="102"/>
      <c r="L468" s="102"/>
      <c r="M468" s="102"/>
      <c r="N468" s="102">
        <v>50000</v>
      </c>
      <c r="O468" s="102">
        <v>50000</v>
      </c>
      <c r="P468" s="100">
        <f aca="true" t="shared" si="55" ref="P468:P489">E468+J468</f>
        <v>1981674</v>
      </c>
      <c r="Q468" s="14"/>
    </row>
    <row r="469" spans="1:17" ht="45">
      <c r="A469" s="3"/>
      <c r="B469" s="135">
        <v>150110</v>
      </c>
      <c r="C469" s="5" t="s">
        <v>29</v>
      </c>
      <c r="D469" s="6" t="s">
        <v>261</v>
      </c>
      <c r="E469" s="100">
        <f t="shared" si="54"/>
        <v>0</v>
      </c>
      <c r="F469" s="2"/>
      <c r="G469" s="102"/>
      <c r="H469" s="102"/>
      <c r="I469" s="102"/>
      <c r="J469" s="100">
        <f>K469+N469</f>
        <v>99994</v>
      </c>
      <c r="K469" s="102"/>
      <c r="L469" s="102"/>
      <c r="M469" s="102"/>
      <c r="N469" s="102">
        <f>0+75539+1000000-1000000+24455</f>
        <v>99994</v>
      </c>
      <c r="O469" s="102">
        <f>0+75539+1000000-1000000+24455</f>
        <v>99994</v>
      </c>
      <c r="P469" s="100">
        <f t="shared" si="55"/>
        <v>99994</v>
      </c>
      <c r="Q469" s="14"/>
    </row>
    <row r="470" spans="1:17" ht="45">
      <c r="A470" s="3"/>
      <c r="B470" s="24" t="s">
        <v>294</v>
      </c>
      <c r="C470" s="24" t="s">
        <v>35</v>
      </c>
      <c r="D470" s="6" t="s">
        <v>278</v>
      </c>
      <c r="E470" s="100">
        <f t="shared" si="54"/>
        <v>0</v>
      </c>
      <c r="F470" s="2"/>
      <c r="G470" s="102"/>
      <c r="H470" s="102"/>
      <c r="I470" s="102"/>
      <c r="J470" s="100">
        <f>K470+N470</f>
        <v>1175545</v>
      </c>
      <c r="K470" s="102"/>
      <c r="L470" s="102"/>
      <c r="M470" s="102"/>
      <c r="N470" s="102">
        <f>0+200000+1000000-24455</f>
        <v>1175545</v>
      </c>
      <c r="O470" s="102">
        <f>0+200000+1000000-24455</f>
        <v>1175545</v>
      </c>
      <c r="P470" s="100">
        <f t="shared" si="55"/>
        <v>1175545</v>
      </c>
      <c r="Q470" s="14"/>
    </row>
    <row r="471" spans="1:17" ht="15">
      <c r="A471" s="3"/>
      <c r="B471" s="18">
        <v>180107</v>
      </c>
      <c r="C471" s="24" t="s">
        <v>301</v>
      </c>
      <c r="D471" s="6" t="s">
        <v>266</v>
      </c>
      <c r="E471" s="100">
        <f t="shared" si="54"/>
        <v>1795461</v>
      </c>
      <c r="F471" s="2">
        <f>330500+2664961-1200000</f>
        <v>1795461</v>
      </c>
      <c r="G471" s="102"/>
      <c r="H471" s="102"/>
      <c r="I471" s="102"/>
      <c r="J471" s="100">
        <f>K471+N471</f>
        <v>0</v>
      </c>
      <c r="K471" s="102"/>
      <c r="L471" s="102"/>
      <c r="M471" s="102"/>
      <c r="N471" s="102"/>
      <c r="O471" s="102"/>
      <c r="P471" s="100">
        <f t="shared" si="55"/>
        <v>1795461</v>
      </c>
      <c r="Q471" s="14"/>
    </row>
    <row r="472" spans="1:17" ht="15">
      <c r="A472" s="9" t="s">
        <v>240</v>
      </c>
      <c r="B472" s="10"/>
      <c r="C472" s="11"/>
      <c r="D472" s="12" t="s">
        <v>241</v>
      </c>
      <c r="E472" s="1">
        <f t="shared" si="54"/>
        <v>2497438</v>
      </c>
      <c r="F472" s="1">
        <f>F473</f>
        <v>2497438</v>
      </c>
      <c r="G472" s="1">
        <f aca="true" t="shared" si="56" ref="G472:Q472">G473</f>
        <v>1697912</v>
      </c>
      <c r="H472" s="1">
        <f t="shared" si="56"/>
        <v>152695</v>
      </c>
      <c r="I472" s="1">
        <f t="shared" si="56"/>
        <v>0</v>
      </c>
      <c r="J472" s="1">
        <f t="shared" si="52"/>
        <v>80000</v>
      </c>
      <c r="K472" s="1">
        <f t="shared" si="56"/>
        <v>0</v>
      </c>
      <c r="L472" s="1">
        <f t="shared" si="56"/>
        <v>0</v>
      </c>
      <c r="M472" s="1">
        <f t="shared" si="56"/>
        <v>0</v>
      </c>
      <c r="N472" s="1">
        <f t="shared" si="56"/>
        <v>80000</v>
      </c>
      <c r="O472" s="1">
        <f t="shared" si="56"/>
        <v>80000</v>
      </c>
      <c r="P472" s="1">
        <f t="shared" si="55"/>
        <v>2577438</v>
      </c>
      <c r="Q472" s="15">
        <f t="shared" si="56"/>
        <v>0</v>
      </c>
    </row>
    <row r="473" spans="1:17" ht="15">
      <c r="A473" s="3"/>
      <c r="B473" s="4" t="s">
        <v>19</v>
      </c>
      <c r="C473" s="5" t="s">
        <v>18</v>
      </c>
      <c r="D473" s="6" t="s">
        <v>20</v>
      </c>
      <c r="E473" s="100">
        <f t="shared" si="54"/>
        <v>2497438</v>
      </c>
      <c r="F473" s="102">
        <f>2209028-191030+446379+33061</f>
        <v>2497438</v>
      </c>
      <c r="G473" s="102">
        <f>1335880+362032</f>
        <v>1697912</v>
      </c>
      <c r="H473" s="102">
        <v>152695</v>
      </c>
      <c r="I473" s="102"/>
      <c r="J473" s="100">
        <f t="shared" si="52"/>
        <v>80000</v>
      </c>
      <c r="K473" s="102"/>
      <c r="L473" s="102"/>
      <c r="M473" s="102"/>
      <c r="N473" s="102">
        <v>80000</v>
      </c>
      <c r="O473" s="102">
        <v>80000</v>
      </c>
      <c r="P473" s="100">
        <f t="shared" si="55"/>
        <v>2577438</v>
      </c>
      <c r="Q473" s="14"/>
    </row>
    <row r="474" spans="1:18" s="59" customFormat="1" ht="15">
      <c r="A474" s="53" t="s">
        <v>344</v>
      </c>
      <c r="B474" s="54"/>
      <c r="C474" s="54"/>
      <c r="D474" s="97" t="s">
        <v>345</v>
      </c>
      <c r="E474" s="119">
        <f>SUM(F474,I474)</f>
        <v>79251</v>
      </c>
      <c r="F474" s="119">
        <f>F475</f>
        <v>79251</v>
      </c>
      <c r="G474" s="119">
        <f aca="true" t="shared" si="57" ref="G474:O474">G475</f>
        <v>63542</v>
      </c>
      <c r="H474" s="119">
        <f t="shared" si="57"/>
        <v>0</v>
      </c>
      <c r="I474" s="119">
        <f t="shared" si="57"/>
        <v>0</v>
      </c>
      <c r="J474" s="119">
        <f t="shared" si="57"/>
        <v>0</v>
      </c>
      <c r="K474" s="119">
        <f t="shared" si="57"/>
        <v>0</v>
      </c>
      <c r="L474" s="119">
        <f t="shared" si="57"/>
        <v>0</v>
      </c>
      <c r="M474" s="119">
        <f t="shared" si="57"/>
        <v>0</v>
      </c>
      <c r="N474" s="119">
        <f t="shared" si="57"/>
        <v>0</v>
      </c>
      <c r="O474" s="119">
        <f t="shared" si="57"/>
        <v>0</v>
      </c>
      <c r="P474" s="121">
        <f>SUM(E474,J474)</f>
        <v>79251</v>
      </c>
      <c r="Q474" s="128"/>
      <c r="R474" s="63"/>
    </row>
    <row r="475" spans="1:18" s="59" customFormat="1" ht="15">
      <c r="A475" s="51"/>
      <c r="B475" s="51" t="s">
        <v>19</v>
      </c>
      <c r="C475" s="51" t="s">
        <v>18</v>
      </c>
      <c r="D475" s="60" t="s">
        <v>20</v>
      </c>
      <c r="E475" s="105">
        <f>SUM(F475,I475)</f>
        <v>79251</v>
      </c>
      <c r="F475" s="114">
        <f>167162-16641-64539-6731</f>
        <v>79251</v>
      </c>
      <c r="G475" s="114">
        <f>116369-52901+74</f>
        <v>63542</v>
      </c>
      <c r="H475" s="114">
        <v>0</v>
      </c>
      <c r="I475" s="114"/>
      <c r="J475" s="105">
        <f>K475+N475</f>
        <v>0</v>
      </c>
      <c r="K475" s="114"/>
      <c r="L475" s="114"/>
      <c r="M475" s="114"/>
      <c r="N475" s="114"/>
      <c r="O475" s="114"/>
      <c r="P475" s="122">
        <f>SUM(E475,J475)</f>
        <v>79251</v>
      </c>
      <c r="Q475" s="128"/>
      <c r="R475" s="63"/>
    </row>
    <row r="476" spans="1:18" s="62" customFormat="1" ht="15">
      <c r="A476" s="53" t="s">
        <v>342</v>
      </c>
      <c r="B476" s="54"/>
      <c r="C476" s="61"/>
      <c r="D476" s="40" t="s">
        <v>343</v>
      </c>
      <c r="E476" s="1">
        <f>F476+I476</f>
        <v>81733</v>
      </c>
      <c r="F476" s="1">
        <f>F477</f>
        <v>81733</v>
      </c>
      <c r="G476" s="1">
        <f>G477</f>
        <v>65426</v>
      </c>
      <c r="H476" s="1">
        <f>H477</f>
        <v>0</v>
      </c>
      <c r="I476" s="1">
        <f>I477</f>
        <v>0</v>
      </c>
      <c r="J476" s="100">
        <f t="shared" si="52"/>
        <v>0</v>
      </c>
      <c r="K476" s="1">
        <f>K477</f>
        <v>0</v>
      </c>
      <c r="L476" s="1">
        <f>L477</f>
        <v>0</v>
      </c>
      <c r="M476" s="1">
        <f>M477</f>
        <v>0</v>
      </c>
      <c r="N476" s="1">
        <f>N477</f>
        <v>0</v>
      </c>
      <c r="O476" s="1">
        <f>O477</f>
        <v>0</v>
      </c>
      <c r="P476" s="123">
        <f t="shared" si="55"/>
        <v>81733</v>
      </c>
      <c r="Q476" s="129"/>
      <c r="R476" s="64"/>
    </row>
    <row r="477" spans="1:18" s="62" customFormat="1" ht="15">
      <c r="A477" s="51"/>
      <c r="B477" s="18" t="s">
        <v>19</v>
      </c>
      <c r="C477" s="7" t="s">
        <v>18</v>
      </c>
      <c r="D477" s="8" t="s">
        <v>20</v>
      </c>
      <c r="E477" s="100">
        <f>F477+I477</f>
        <v>81733</v>
      </c>
      <c r="F477" s="2">
        <f>171298-16398-60083-13084</f>
        <v>81733</v>
      </c>
      <c r="G477" s="2">
        <f>114672-49248+2</f>
        <v>65426</v>
      </c>
      <c r="H477" s="2"/>
      <c r="I477" s="2"/>
      <c r="J477" s="100">
        <f t="shared" si="52"/>
        <v>0</v>
      </c>
      <c r="K477" s="2"/>
      <c r="L477" s="2"/>
      <c r="M477" s="2"/>
      <c r="N477" s="2"/>
      <c r="O477" s="2"/>
      <c r="P477" s="120">
        <f t="shared" si="55"/>
        <v>81733</v>
      </c>
      <c r="Q477" s="129"/>
      <c r="R477" s="64"/>
    </row>
    <row r="478" spans="1:18" s="59" customFormat="1" ht="15">
      <c r="A478" s="67" t="s">
        <v>346</v>
      </c>
      <c r="B478" s="82"/>
      <c r="C478" s="82"/>
      <c r="D478" s="96" t="s">
        <v>347</v>
      </c>
      <c r="E478" s="96">
        <f>F478+I478</f>
        <v>144373</v>
      </c>
      <c r="F478" s="96">
        <f>F479</f>
        <v>144373</v>
      </c>
      <c r="G478" s="96">
        <f>G479</f>
        <v>115343</v>
      </c>
      <c r="H478" s="96">
        <f aca="true" t="shared" si="58" ref="H478:O478">H479</f>
        <v>0</v>
      </c>
      <c r="I478" s="96">
        <f t="shared" si="58"/>
        <v>0</v>
      </c>
      <c r="J478" s="96">
        <f t="shared" si="52"/>
        <v>0</v>
      </c>
      <c r="K478" s="96">
        <f t="shared" si="58"/>
        <v>0</v>
      </c>
      <c r="L478" s="96">
        <f t="shared" si="58"/>
        <v>0</v>
      </c>
      <c r="M478" s="96">
        <f t="shared" si="58"/>
        <v>0</v>
      </c>
      <c r="N478" s="96">
        <f t="shared" si="58"/>
        <v>0</v>
      </c>
      <c r="O478" s="96">
        <f t="shared" si="58"/>
        <v>0</v>
      </c>
      <c r="P478" s="124">
        <f t="shared" si="55"/>
        <v>144373</v>
      </c>
      <c r="Q478" s="127"/>
      <c r="R478" s="58"/>
    </row>
    <row r="479" spans="1:18" s="59" customFormat="1" ht="15">
      <c r="A479" s="68"/>
      <c r="B479" s="83" t="s">
        <v>19</v>
      </c>
      <c r="C479" s="83" t="s">
        <v>18</v>
      </c>
      <c r="D479" s="70" t="s">
        <v>20</v>
      </c>
      <c r="E479" s="106">
        <f>F479+I479</f>
        <v>144373</v>
      </c>
      <c r="F479" s="70">
        <f>321435-31950-131866-13246</f>
        <v>144373</v>
      </c>
      <c r="G479" s="70">
        <f>223430-108087</f>
        <v>115343</v>
      </c>
      <c r="H479" s="70"/>
      <c r="I479" s="70"/>
      <c r="J479" s="106">
        <f t="shared" si="52"/>
        <v>0</v>
      </c>
      <c r="K479" s="70"/>
      <c r="L479" s="70"/>
      <c r="M479" s="70"/>
      <c r="N479" s="70"/>
      <c r="O479" s="70"/>
      <c r="P479" s="125">
        <f t="shared" si="55"/>
        <v>144373</v>
      </c>
      <c r="Q479" s="127"/>
      <c r="R479" s="58"/>
    </row>
    <row r="480" spans="1:17" ht="29.25" customHeight="1">
      <c r="A480" s="9" t="s">
        <v>242</v>
      </c>
      <c r="B480" s="10"/>
      <c r="C480" s="11"/>
      <c r="D480" s="12" t="s">
        <v>243</v>
      </c>
      <c r="E480" s="1">
        <f>E481+E483+E484+E485+E486</f>
        <v>13539608.06</v>
      </c>
      <c r="F480" s="1">
        <f>F481+F483+F484+F485+F486</f>
        <v>11035168.06</v>
      </c>
      <c r="G480" s="1">
        <f>G481+G483+G484+G486+G485</f>
        <v>0</v>
      </c>
      <c r="H480" s="1">
        <f>H481+H483+H484+H486+H485</f>
        <v>0</v>
      </c>
      <c r="I480" s="1">
        <f>I481+I483+I484+I486+I485</f>
        <v>0</v>
      </c>
      <c r="J480" s="1">
        <f>K480+N480</f>
        <v>82960</v>
      </c>
      <c r="K480" s="1">
        <f>K481+K483+K484+K486+K485</f>
        <v>0</v>
      </c>
      <c r="L480" s="1">
        <f>L481+L483+L484+L486+L485</f>
        <v>0</v>
      </c>
      <c r="M480" s="1">
        <f>M481+M483+M484+M486+M485</f>
        <v>0</v>
      </c>
      <c r="N480" s="1">
        <f>N481+N483+N484+N486+N485</f>
        <v>82960</v>
      </c>
      <c r="O480" s="1">
        <f>O481+O483+O484+O486+O485</f>
        <v>82960</v>
      </c>
      <c r="P480" s="1">
        <f>E480+J480</f>
        <v>13622568.06</v>
      </c>
      <c r="Q480" s="15">
        <f>Q483+Q484</f>
        <v>0</v>
      </c>
    </row>
    <row r="481" spans="1:17" s="47" customFormat="1" ht="49.5" customHeight="1">
      <c r="A481" s="18"/>
      <c r="B481" s="48">
        <v>250344</v>
      </c>
      <c r="C481" s="5"/>
      <c r="D481" s="143" t="s">
        <v>377</v>
      </c>
      <c r="E481" s="100">
        <f>F481+I481</f>
        <v>1000000</v>
      </c>
      <c r="F481" s="2">
        <v>1000000</v>
      </c>
      <c r="G481" s="2"/>
      <c r="H481" s="2"/>
      <c r="I481" s="2"/>
      <c r="J481" s="100">
        <f t="shared" si="52"/>
        <v>0</v>
      </c>
      <c r="K481" s="2"/>
      <c r="L481" s="2"/>
      <c r="M481" s="2"/>
      <c r="N481" s="2"/>
      <c r="O481" s="2"/>
      <c r="P481" s="1">
        <f t="shared" si="55"/>
        <v>1000000</v>
      </c>
      <c r="Q481" s="49"/>
    </row>
    <row r="482" spans="1:17" s="47" customFormat="1" ht="35.25" customHeight="1" hidden="1">
      <c r="A482" s="18"/>
      <c r="B482" s="48"/>
      <c r="C482" s="50"/>
      <c r="D482" s="8" t="s">
        <v>313</v>
      </c>
      <c r="E482" s="100">
        <f>F482+I482</f>
        <v>0</v>
      </c>
      <c r="F482" s="2"/>
      <c r="G482" s="2"/>
      <c r="H482" s="2"/>
      <c r="I482" s="2"/>
      <c r="J482" s="100">
        <f t="shared" si="52"/>
        <v>0</v>
      </c>
      <c r="K482" s="2"/>
      <c r="L482" s="2"/>
      <c r="M482" s="2"/>
      <c r="N482" s="2"/>
      <c r="O482" s="2"/>
      <c r="P482" s="1">
        <f t="shared" si="55"/>
        <v>0</v>
      </c>
      <c r="Q482" s="49"/>
    </row>
    <row r="483" spans="1:17" ht="15">
      <c r="A483" s="3"/>
      <c r="B483" s="4" t="s">
        <v>244</v>
      </c>
      <c r="C483" s="5" t="s">
        <v>195</v>
      </c>
      <c r="D483" s="6" t="s">
        <v>245</v>
      </c>
      <c r="E483" s="100">
        <f>5000000-17000-188560-50000-1400000-455000-370000-15000</f>
        <v>2504440</v>
      </c>
      <c r="F483" s="102"/>
      <c r="G483" s="102"/>
      <c r="H483" s="102"/>
      <c r="I483" s="102"/>
      <c r="J483" s="100">
        <f t="shared" si="52"/>
        <v>0</v>
      </c>
      <c r="K483" s="102"/>
      <c r="L483" s="102"/>
      <c r="M483" s="102"/>
      <c r="N483" s="102"/>
      <c r="O483" s="102"/>
      <c r="P483" s="1">
        <f t="shared" si="55"/>
        <v>2504440</v>
      </c>
      <c r="Q483" s="14"/>
    </row>
    <row r="484" spans="1:17" ht="15">
      <c r="A484" s="3"/>
      <c r="B484" s="4" t="s">
        <v>246</v>
      </c>
      <c r="C484" s="5" t="s">
        <v>48</v>
      </c>
      <c r="D484" s="6" t="s">
        <v>247</v>
      </c>
      <c r="E484" s="100">
        <f>F484+I484</f>
        <v>3946500</v>
      </c>
      <c r="F484" s="102">
        <v>3946500</v>
      </c>
      <c r="G484" s="102"/>
      <c r="H484" s="102"/>
      <c r="I484" s="102"/>
      <c r="J484" s="100">
        <f t="shared" si="52"/>
        <v>0</v>
      </c>
      <c r="K484" s="102"/>
      <c r="L484" s="102"/>
      <c r="M484" s="102"/>
      <c r="N484" s="102"/>
      <c r="O484" s="102"/>
      <c r="P484" s="1">
        <f t="shared" si="55"/>
        <v>3946500</v>
      </c>
      <c r="Q484" s="14"/>
    </row>
    <row r="485" spans="1:17" ht="15">
      <c r="A485" s="3"/>
      <c r="B485" s="4">
        <v>250380</v>
      </c>
      <c r="C485" s="5" t="s">
        <v>48</v>
      </c>
      <c r="D485" s="6" t="s">
        <v>263</v>
      </c>
      <c r="E485" s="100">
        <f>F485+I485</f>
        <v>68900</v>
      </c>
      <c r="F485" s="102">
        <v>68900</v>
      </c>
      <c r="G485" s="102"/>
      <c r="H485" s="102"/>
      <c r="I485" s="102"/>
      <c r="J485" s="100">
        <f>K485+N485</f>
        <v>0</v>
      </c>
      <c r="K485" s="102"/>
      <c r="L485" s="102"/>
      <c r="M485" s="102"/>
      <c r="N485" s="102"/>
      <c r="O485" s="102"/>
      <c r="P485" s="1">
        <f>E485+J485</f>
        <v>68900</v>
      </c>
      <c r="Q485" s="14"/>
    </row>
    <row r="486" spans="1:17" ht="18" customHeight="1">
      <c r="A486" s="3"/>
      <c r="B486" s="4">
        <v>250404</v>
      </c>
      <c r="C486" s="5" t="s">
        <v>195</v>
      </c>
      <c r="D486" s="6" t="s">
        <v>59</v>
      </c>
      <c r="E486" s="100">
        <f>F486</f>
        <v>6019768.0600000005</v>
      </c>
      <c r="F486" s="102">
        <f>7800000+8400000-68900+169960-996398-771740.77-560580.78-121794-18000-21400-19000-389870-279553.39-5000000-202955-1000000-900000</f>
        <v>6019768.0600000005</v>
      </c>
      <c r="G486" s="102"/>
      <c r="H486" s="102"/>
      <c r="I486" s="102"/>
      <c r="J486" s="100">
        <f t="shared" si="52"/>
        <v>82960</v>
      </c>
      <c r="K486" s="102"/>
      <c r="L486" s="102"/>
      <c r="M486" s="102"/>
      <c r="N486" s="102">
        <f>169960-87000</f>
        <v>82960</v>
      </c>
      <c r="O486" s="102">
        <f>169960-87000</f>
        <v>82960</v>
      </c>
      <c r="P486" s="1">
        <f t="shared" si="55"/>
        <v>6102728.0600000005</v>
      </c>
      <c r="Q486" s="14"/>
    </row>
    <row r="487" spans="1:17" ht="0.75" customHeight="1" hidden="1">
      <c r="A487" s="3"/>
      <c r="B487" s="4"/>
      <c r="C487" s="5"/>
      <c r="D487" s="6" t="s">
        <v>288</v>
      </c>
      <c r="E487" s="100"/>
      <c r="F487" s="102"/>
      <c r="G487" s="102"/>
      <c r="H487" s="102"/>
      <c r="I487" s="102"/>
      <c r="J487" s="100">
        <f t="shared" si="52"/>
        <v>0</v>
      </c>
      <c r="K487" s="102"/>
      <c r="L487" s="102"/>
      <c r="M487" s="102"/>
      <c r="N487" s="102"/>
      <c r="O487" s="102"/>
      <c r="P487" s="1">
        <f t="shared" si="55"/>
        <v>0</v>
      </c>
      <c r="Q487" s="14"/>
    </row>
    <row r="488" spans="1:17" ht="45" customHeight="1" hidden="1">
      <c r="A488" s="3"/>
      <c r="B488" s="4">
        <v>250388</v>
      </c>
      <c r="C488" s="5" t="s">
        <v>48</v>
      </c>
      <c r="D488" s="6" t="s">
        <v>311</v>
      </c>
      <c r="E488" s="100">
        <f>F488+I488</f>
        <v>0</v>
      </c>
      <c r="F488" s="102"/>
      <c r="G488" s="102"/>
      <c r="H488" s="102"/>
      <c r="I488" s="102"/>
      <c r="J488" s="100">
        <f>K488+N488</f>
        <v>0</v>
      </c>
      <c r="K488" s="102"/>
      <c r="L488" s="102"/>
      <c r="M488" s="102"/>
      <c r="N488" s="102"/>
      <c r="O488" s="102"/>
      <c r="P488" s="1">
        <f t="shared" si="55"/>
        <v>0</v>
      </c>
      <c r="Q488" s="14"/>
    </row>
    <row r="489" spans="1:17" ht="49.5" customHeight="1">
      <c r="A489" s="3"/>
      <c r="B489" s="4"/>
      <c r="C489" s="5"/>
      <c r="D489" s="6" t="s">
        <v>359</v>
      </c>
      <c r="E489" s="100">
        <f>F489+I489</f>
        <v>132960</v>
      </c>
      <c r="F489" s="102">
        <f>169960-8000-10000-19000</f>
        <v>132960</v>
      </c>
      <c r="G489" s="102"/>
      <c r="H489" s="102"/>
      <c r="I489" s="102"/>
      <c r="J489" s="100">
        <v>169960</v>
      </c>
      <c r="K489" s="102"/>
      <c r="L489" s="102"/>
      <c r="M489" s="102"/>
      <c r="N489" s="102">
        <f>169960-87000</f>
        <v>82960</v>
      </c>
      <c r="O489" s="102">
        <f>169960-87000</f>
        <v>82960</v>
      </c>
      <c r="P489" s="1">
        <f t="shared" si="55"/>
        <v>302920</v>
      </c>
      <c r="Q489" s="14"/>
    </row>
    <row r="490" spans="1:19" ht="15">
      <c r="A490" s="37"/>
      <c r="B490" s="38" t="s">
        <v>248</v>
      </c>
      <c r="C490" s="39"/>
      <c r="D490" s="40" t="s">
        <v>7</v>
      </c>
      <c r="E490" s="1">
        <f>F490+I490+E483</f>
        <v>1479051563</v>
      </c>
      <c r="F490" s="1">
        <f>F14+F23+F30+F37+F43+F69+F87+F108+F175+F240+F305+F370+F375+F378+F381+F384+F395+F399+F402+F411+F441+F448+F456+F467+F472+F474+F476+F478+F480+F397+F446+F464</f>
        <v>1443557823</v>
      </c>
      <c r="G490" s="1">
        <f>G14+G23+G30+G37+G43+G69+G87+G108+G175+G240+G305+G370+G375+G378+G381+G384+G395+G399+G402+G411+G441+G448+G456+G467+G472+G474+G476+G478+G480+G397+G446+G464</f>
        <v>487484781</v>
      </c>
      <c r="H490" s="1">
        <f>H14+H23+H30+H37+H43+H69+H87+H108+H175+H240+H305+H370+H375+H378+H381+H384+H395+H399+H402+H411+H441+H448+H456+H467+H472+H474+H476+H478+H480+H397+H446+H464</f>
        <v>166097215</v>
      </c>
      <c r="I490" s="1">
        <f>I14+I23+I30+I37+I43+I69+I87+I108+I175+I240+I305+I370+I375+I378+I381+I384+I395+I399+I402+I411+I441+I448+I456+I467+I472+I474+I476+I478+I480+I397+I446+I464</f>
        <v>32989300</v>
      </c>
      <c r="J490" s="1">
        <f>K490+N490</f>
        <v>184368306</v>
      </c>
      <c r="K490" s="1">
        <f>K14+K23+K30+K37+K43+K69+K87+K108+K175+K240+K305+K370+K375+K378+K381+K384+K395+K399+K402+K411+K441+K448+K456+K467+K472+K474+K476+K478+K480+K397+K446+K464</f>
        <v>43517470</v>
      </c>
      <c r="L490" s="1">
        <f>L14+L23+L30+L37+L43+L69+L87+L108+L175+L240+L305+L370+L375+L378+L381+L384+L395+L399+L402+L411+L441+L448+L456+L467+L472+L474+L476+L478+L480+L397+L446+L464</f>
        <v>5062855</v>
      </c>
      <c r="M490" s="1">
        <f>M14+M23+M30+M37+M43+M69+M87+M108+M175+M240+M305+M370+M375+M378+M381+M384+M395+M399+M402+M411+M441+M448+M456+M467+M472+M474+M476+M478+M480+M397+M446+M464</f>
        <v>2479098</v>
      </c>
      <c r="N490" s="1">
        <f>N14+N23+N30+N37+N43+N69+N87+N108+N175+N240+N305+N370+N375+N378+N381+N384+N395+N399+N402+N411+N441+N448+N456+N467+N472+N474+N476+N478+N480+N397+N446+N464</f>
        <v>140850836</v>
      </c>
      <c r="O490" s="1">
        <f>O14+O23+O30+O37+O43+O69+O87+O108+O175+O240+O305+O370+O375+O378+O381+O384+O395+O399+O402+O411+O441+O448+O456+O467+O472+O474+O476+O478+O480+O397+O446+O464</f>
        <v>129348377</v>
      </c>
      <c r="P490" s="1">
        <f>E490+J490</f>
        <v>1663419869</v>
      </c>
      <c r="Q490" s="1">
        <f>Q14+Q43+Q87+Q108+Q370+Q384+Q395+Q399+Q402+Q411+Q441+Q448+Q456+Q467+Q472+Q480+Q69</f>
        <v>11611100</v>
      </c>
      <c r="R490" s="46">
        <f>O490-Q490</f>
        <v>117737277</v>
      </c>
      <c r="S490" s="46">
        <f>2281000-R490</f>
        <v>-115456277</v>
      </c>
    </row>
    <row r="492" ht="15">
      <c r="Q492" s="20">
        <f>1617980762.43-P490</f>
        <v>-45439106.56999993</v>
      </c>
    </row>
    <row r="493" spans="2:12" ht="22.5" customHeight="1">
      <c r="B493" s="41" t="s">
        <v>295</v>
      </c>
      <c r="I493" s="41"/>
      <c r="L493" s="19" t="s">
        <v>350</v>
      </c>
    </row>
    <row r="496" spans="4:17" ht="15">
      <c r="D496" s="42" t="s">
        <v>267</v>
      </c>
      <c r="E496" s="43">
        <f>SUM(E497:E512)</f>
        <v>1479051563</v>
      </c>
      <c r="F496" s="43">
        <f aca="true" t="shared" si="59" ref="F496:O496">SUM(F497:F512)</f>
        <v>1443557823</v>
      </c>
      <c r="G496" s="43">
        <f t="shared" si="59"/>
        <v>487484781</v>
      </c>
      <c r="H496" s="43">
        <f t="shared" si="59"/>
        <v>166097215</v>
      </c>
      <c r="I496" s="43">
        <f t="shared" si="59"/>
        <v>32989300</v>
      </c>
      <c r="J496" s="43">
        <f>SUM(J497:J512)</f>
        <v>184368306</v>
      </c>
      <c r="K496" s="43">
        <f t="shared" si="59"/>
        <v>43517470</v>
      </c>
      <c r="L496" s="43">
        <f t="shared" si="59"/>
        <v>5062855</v>
      </c>
      <c r="M496" s="43">
        <f t="shared" si="59"/>
        <v>2479098</v>
      </c>
      <c r="N496" s="43">
        <f t="shared" si="59"/>
        <v>140850836</v>
      </c>
      <c r="O496" s="43">
        <f t="shared" si="59"/>
        <v>129348377</v>
      </c>
      <c r="P496" s="43">
        <f>E496+J496</f>
        <v>1663419869</v>
      </c>
      <c r="Q496" s="20">
        <f>P490-P496</f>
        <v>0</v>
      </c>
    </row>
    <row r="497" spans="4:16" ht="15">
      <c r="D497" s="19">
        <v>10</v>
      </c>
      <c r="E497" s="44">
        <f aca="true" t="shared" si="60" ref="E497:O497">SUM(E15+E44+E70+E88+E306+E371+E385+E396+E400+E403+E412+E442+E449+E457+E468+E473+E24+E31+E38+E176+E241+E376+E379+E382+E475+E477+E479+E398+E447+E465)</f>
        <v>70854506</v>
      </c>
      <c r="F497" s="44">
        <f t="shared" si="60"/>
        <v>70854506</v>
      </c>
      <c r="G497" s="44">
        <f t="shared" si="60"/>
        <v>46575692</v>
      </c>
      <c r="H497" s="44">
        <f t="shared" si="60"/>
        <v>4416207</v>
      </c>
      <c r="I497" s="44">
        <f t="shared" si="60"/>
        <v>0</v>
      </c>
      <c r="J497" s="44">
        <f t="shared" si="60"/>
        <v>6237975</v>
      </c>
      <c r="K497" s="44">
        <f t="shared" si="60"/>
        <v>534000</v>
      </c>
      <c r="L497" s="44">
        <f t="shared" si="60"/>
        <v>0</v>
      </c>
      <c r="M497" s="44">
        <f t="shared" si="60"/>
        <v>360000</v>
      </c>
      <c r="N497" s="44">
        <f t="shared" si="60"/>
        <v>5703975</v>
      </c>
      <c r="O497" s="44">
        <f t="shared" si="60"/>
        <v>5695975</v>
      </c>
      <c r="P497" s="43">
        <f aca="true" t="shared" si="61" ref="P497:P513">E497+J497</f>
        <v>77092481</v>
      </c>
    </row>
    <row r="498" spans="4:16" ht="15">
      <c r="D498" s="19">
        <v>70</v>
      </c>
      <c r="E498" s="44">
        <f aca="true" t="shared" si="62" ref="E498:O498">E45+E47+E52+E54+E57+E58+E60+E109+E177+E242+E307+E55+E59</f>
        <v>443267798.55</v>
      </c>
      <c r="F498" s="44">
        <f t="shared" si="62"/>
        <v>443267798.55</v>
      </c>
      <c r="G498" s="44">
        <f>G45+G47+G52+G54+G57+G58+G60+G109+G177+G242+G307+G55+G59</f>
        <v>242200760</v>
      </c>
      <c r="H498" s="44">
        <f t="shared" si="62"/>
        <v>84079163</v>
      </c>
      <c r="I498" s="44">
        <f t="shared" si="62"/>
        <v>0</v>
      </c>
      <c r="J498" s="43">
        <f t="shared" si="62"/>
        <v>35842225</v>
      </c>
      <c r="K498" s="44">
        <f t="shared" si="62"/>
        <v>27467400</v>
      </c>
      <c r="L498" s="44">
        <f t="shared" si="62"/>
        <v>185760</v>
      </c>
      <c r="M498" s="44">
        <f t="shared" si="62"/>
        <v>152200</v>
      </c>
      <c r="N498" s="44">
        <f t="shared" si="62"/>
        <v>8374825</v>
      </c>
      <c r="O498" s="44">
        <f t="shared" si="62"/>
        <v>8305425</v>
      </c>
      <c r="P498" s="43">
        <f t="shared" si="61"/>
        <v>479110023.55</v>
      </c>
    </row>
    <row r="499" spans="4:16" ht="15">
      <c r="D499" s="19">
        <v>80</v>
      </c>
      <c r="E499" s="43">
        <f>E89+E92+E94+E96+E98+E101+E103</f>
        <v>283403572.39</v>
      </c>
      <c r="F499" s="44">
        <f aca="true" t="shared" si="63" ref="F499:O499">F89+F92+F94+F96+F98+F101+F103</f>
        <v>283403572.39</v>
      </c>
      <c r="G499" s="44">
        <f t="shared" si="63"/>
        <v>163218300</v>
      </c>
      <c r="H499" s="44">
        <f t="shared" si="63"/>
        <v>37144095</v>
      </c>
      <c r="I499" s="44">
        <f t="shared" si="63"/>
        <v>0</v>
      </c>
      <c r="J499" s="43">
        <f t="shared" si="63"/>
        <v>15197730</v>
      </c>
      <c r="K499" s="44">
        <f t="shared" si="63"/>
        <v>9797970</v>
      </c>
      <c r="L499" s="44">
        <f t="shared" si="63"/>
        <v>4194795</v>
      </c>
      <c r="M499" s="44">
        <f t="shared" si="63"/>
        <v>1922698</v>
      </c>
      <c r="N499" s="44">
        <f t="shared" si="63"/>
        <v>5399760</v>
      </c>
      <c r="O499" s="44">
        <f t="shared" si="63"/>
        <v>5167630</v>
      </c>
      <c r="P499" s="43">
        <f t="shared" si="61"/>
        <v>298601302.39</v>
      </c>
    </row>
    <row r="500" spans="4:16" ht="15">
      <c r="D500" s="19">
        <v>90</v>
      </c>
      <c r="E500" s="44">
        <f>F500+I500</f>
        <v>436328201</v>
      </c>
      <c r="F500" s="44">
        <f>F25+F26+F32+F39+F62+F71+F72+F73+F74+F75+F76+F115+F156+F164+F165+F179+F181+F183+F185+F188+F190+F192+F194+F196+F198+F200+F202+F204+F206+F208+F210+F212+F214+F216+F218+F220+F226+F230+F231+F234+F236+F237+F238+F244+F248+F250+F253+F257+F261+F263+F265+F267+F269+F271+F273+F275+F277+F279+F281+F283+F285+F291+F295+F296+F299+F301+F302+F303+F304+F309+F311+F313+F315+F318+F322+F326+F328+F330+F332+F334+F336+F338+F340+F342+F344+F346+F348+F350+F356+F360+F361+F364+F366+F367+F368+F372+F373+F374+F377+F380+F383+F413+F34+F41</f>
        <v>436328201</v>
      </c>
      <c r="G500" s="44">
        <f>G25+G26+G32+G39+G62+G71+G72+G73+G74+G75+G76+G115+G156+G164+G165+G179+G181+G183+G185+G188+G190+G192+G194+G196+G198+G200+G202+G204+G206+G208+G210+G212+G214+G216+G218+G220+G226+G230+G231+G234+G236+G237+G238+G244+G248+G250+G253+G257+G261+G263+G265+G267+G269+G271+G273+G275+G277+G279+G281+G283+G285+G291+G295+G296+G299+G301+G302+G303+G304+G309+G311+G313+G315+G318+G322+G326+G328+G330+G332+G334+G336+G338+G340+G342+G344+G346+G348+G350+G356+G360+G361+G364+G366+G367+G368+G372+G373+G374+G377+G380+G383+G413</f>
        <v>12485329</v>
      </c>
      <c r="H500" s="44">
        <f>H25+H26+H32+H39+H62+H71+H72+H73+H74+H75+H76+H115+H156+H164+H165+H179+H181+H183+H185+H188+H190+H192+H194+H196+H198+H200+H202+H204+H206+H208+H210+H212+H214+H216+H218+H220+H226+H230+H231+H234+H236+H237+H238+H244+H248+H250+H253+H257+H261+H263+H265+H267+H269+H271+H273+H275+H277+H279+H281+H283+H285+H291+H295+H296+H299+H301+H302+H303+H304+H309+H311+H313+H315+H318+H322+H326+H328+H330+H332+H334+H336+H338+H340+H342+H344+H346+H348+H350+H356+H360+H361+H364+H366+H367+H368+H372+H373+H374+H377+H380+H383+H413</f>
        <v>1520900</v>
      </c>
      <c r="I500" s="44">
        <f>I25+I26+I32+I39+I62+I71+I72+I73+I74+I75+I76+I115+I156+I164+I165+I179+I181+I183+I185+I188+I190+I192+I194+I196+I198+I200+I202+I204+I206+I208+I210+I212+I214+I216+I218+I220+I226+I230+I231+I234+I236+I237+I238+I244+I248+I250+I253+I257+I261+I263+I265+I267+I269+I271+I273+I275+I277+I279+I281+I283+I285+I291+I295+I296+I299+I301+I302+I303+I304+I309+I311+I313+I315+I318+I322+I326+I328+I330+I332+I334+I336+I338+I340+I342+I344+I346+I348+I350+I356+I360+I361+I364+I366+I367+I368+I372+I373+I374+I377+I380+I383+I413</f>
        <v>0</v>
      </c>
      <c r="J500" s="43">
        <f aca="true" t="shared" si="64" ref="J500:O500">J32+J39+J62+SUM(J71:J76)+J111+J113+J115+J117+J120+J122+J124+J126+J128+J130+J132+J134+J136+J138+J140+J142+J144+J146+J148+J150+J152+J154+J156+J158+J160+SUM(J162:J166)+J179+J181+J183+J185+J188+J190+J192+J194+J196+J198+J200+J202+J204+J206+J208+J210+J212+J214+J216+J218+J220+J222+J224+J226+J228+SUM(J230:J234)+SUM(J236:J238)+J244+J246+J248+J250+J253+J255+J257+J259+J261+J263+J265+J267+J269+J271+J273+J275+J277+J279+J281+J283+J285+J287+J289+J291+J293+SUM(J295:J299)+SUM(J301:J303)+J309+J311+J313+J315+J318+J320+J322+J324+J326+J328+J330+J332+J334+J336+J338+J340+J342+J344+J346+J348+J350+J352+J354+J356+J358+SUM(J360:J364)+SUM(J366:J368)+SUM(J372:J374)+J380+J383</f>
        <v>727499</v>
      </c>
      <c r="K500" s="44">
        <f t="shared" si="64"/>
        <v>520300</v>
      </c>
      <c r="L500" s="44">
        <f t="shared" si="64"/>
        <v>81300</v>
      </c>
      <c r="M500" s="44">
        <f t="shared" si="64"/>
        <v>0</v>
      </c>
      <c r="N500" s="44">
        <f t="shared" si="64"/>
        <v>207199</v>
      </c>
      <c r="O500" s="44">
        <f t="shared" si="64"/>
        <v>207199</v>
      </c>
      <c r="P500" s="43">
        <f t="shared" si="61"/>
        <v>437055700</v>
      </c>
    </row>
    <row r="501" spans="4:16" ht="15">
      <c r="D501" s="19">
        <v>100</v>
      </c>
      <c r="E501" s="43">
        <f aca="true" t="shared" si="65" ref="E501:O501">E414+E416+E419+E420+E424+E425+E417+E481+E27+E33+E40</f>
        <v>105807746</v>
      </c>
      <c r="F501" s="44">
        <f t="shared" si="65"/>
        <v>102407746</v>
      </c>
      <c r="G501" s="44">
        <f t="shared" si="65"/>
        <v>0</v>
      </c>
      <c r="H501" s="44">
        <f t="shared" si="65"/>
        <v>33484750</v>
      </c>
      <c r="I501" s="44">
        <f t="shared" si="65"/>
        <v>3400000</v>
      </c>
      <c r="J501" s="43">
        <f t="shared" si="65"/>
        <v>24182772</v>
      </c>
      <c r="K501" s="44">
        <f t="shared" si="65"/>
        <v>0</v>
      </c>
      <c r="L501" s="44">
        <f t="shared" si="65"/>
        <v>0</v>
      </c>
      <c r="M501" s="44">
        <f t="shared" si="65"/>
        <v>0</v>
      </c>
      <c r="N501" s="44">
        <f t="shared" si="65"/>
        <v>24182772</v>
      </c>
      <c r="O501" s="44">
        <f t="shared" si="65"/>
        <v>23897772</v>
      </c>
      <c r="P501" s="43">
        <f t="shared" si="61"/>
        <v>129990518</v>
      </c>
    </row>
    <row r="502" spans="4:16" ht="15">
      <c r="D502" s="19">
        <v>110</v>
      </c>
      <c r="E502" s="43">
        <f>E386+E387+E388+E389+E390+E391+E28</f>
        <v>40952800</v>
      </c>
      <c r="F502" s="44">
        <f>F386+F387+F388+F389+F390+F391+F28</f>
        <v>40952800</v>
      </c>
      <c r="G502" s="44">
        <f aca="true" t="shared" si="66" ref="G502:O502">G386+G387+G388+G389+G390+G391+G28+G34+G41</f>
        <v>15623400</v>
      </c>
      <c r="H502" s="44">
        <f t="shared" si="66"/>
        <v>3505400</v>
      </c>
      <c r="I502" s="44">
        <f t="shared" si="66"/>
        <v>0</v>
      </c>
      <c r="J502" s="43">
        <f t="shared" si="66"/>
        <v>1637500</v>
      </c>
      <c r="K502" s="44">
        <f t="shared" si="66"/>
        <v>1321800</v>
      </c>
      <c r="L502" s="44">
        <f t="shared" si="66"/>
        <v>601000</v>
      </c>
      <c r="M502" s="44">
        <f t="shared" si="66"/>
        <v>3900</v>
      </c>
      <c r="N502" s="44">
        <f t="shared" si="66"/>
        <v>315700</v>
      </c>
      <c r="O502" s="44">
        <f t="shared" si="66"/>
        <v>103000</v>
      </c>
      <c r="P502" s="43">
        <f t="shared" si="61"/>
        <v>42590300</v>
      </c>
    </row>
    <row r="503" spans="4:16" ht="15">
      <c r="D503" s="19">
        <v>120</v>
      </c>
      <c r="E503" s="43">
        <f>E16+E17</f>
        <v>350000</v>
      </c>
      <c r="F503" s="44">
        <f aca="true" t="shared" si="67" ref="F503:O503">F16+F17</f>
        <v>350000</v>
      </c>
      <c r="G503" s="44">
        <f t="shared" si="67"/>
        <v>0</v>
      </c>
      <c r="H503" s="44">
        <f t="shared" si="67"/>
        <v>0</v>
      </c>
      <c r="I503" s="44">
        <f t="shared" si="67"/>
        <v>0</v>
      </c>
      <c r="J503" s="43">
        <f t="shared" si="67"/>
        <v>285000</v>
      </c>
      <c r="K503" s="44">
        <f t="shared" si="67"/>
        <v>0</v>
      </c>
      <c r="L503" s="44">
        <f t="shared" si="67"/>
        <v>0</v>
      </c>
      <c r="M503" s="44">
        <f t="shared" si="67"/>
        <v>0</v>
      </c>
      <c r="N503" s="44">
        <f t="shared" si="67"/>
        <v>285000</v>
      </c>
      <c r="O503" s="44">
        <f t="shared" si="67"/>
        <v>285000</v>
      </c>
      <c r="P503" s="43">
        <f t="shared" si="61"/>
        <v>635000</v>
      </c>
    </row>
    <row r="504" spans="4:19" ht="15">
      <c r="D504" s="19">
        <v>130</v>
      </c>
      <c r="E504" s="43">
        <f>E61+E77+E78+E79+E80+E81+E82+E83+E84+E86+E85+E35</f>
        <v>21085313</v>
      </c>
      <c r="F504" s="44">
        <f aca="true" t="shared" si="68" ref="F504:O504">F61+F77+F78+F79+F80+F81+F82+F83+F84+F86+F85+F35</f>
        <v>21085313</v>
      </c>
      <c r="G504" s="44">
        <f t="shared" si="68"/>
        <v>7381300</v>
      </c>
      <c r="H504" s="44">
        <f t="shared" si="68"/>
        <v>1946700</v>
      </c>
      <c r="I504" s="44">
        <f t="shared" si="68"/>
        <v>0</v>
      </c>
      <c r="J504" s="43">
        <f t="shared" si="68"/>
        <v>1325527</v>
      </c>
      <c r="K504" s="44">
        <f t="shared" si="68"/>
        <v>128000</v>
      </c>
      <c r="L504" s="44">
        <f t="shared" si="68"/>
        <v>0</v>
      </c>
      <c r="M504" s="44">
        <f t="shared" si="68"/>
        <v>40300</v>
      </c>
      <c r="N504" s="44">
        <f t="shared" si="68"/>
        <v>1197527</v>
      </c>
      <c r="O504" s="44">
        <f t="shared" si="68"/>
        <v>1160527</v>
      </c>
      <c r="P504" s="43">
        <f t="shared" si="61"/>
        <v>22410840</v>
      </c>
      <c r="S504" s="20">
        <v>13393372</v>
      </c>
    </row>
    <row r="505" spans="4:16" ht="15">
      <c r="D505" s="19">
        <v>150</v>
      </c>
      <c r="E505" s="43">
        <f aca="true" t="shared" si="69" ref="E505:P505">E404+E426+E427+E444+E63+E64+E104+E443+E428+E405+E469+E392+E470</f>
        <v>85400</v>
      </c>
      <c r="F505" s="44">
        <f t="shared" si="69"/>
        <v>85400</v>
      </c>
      <c r="G505" s="44">
        <f t="shared" si="69"/>
        <v>0</v>
      </c>
      <c r="H505" s="44">
        <f t="shared" si="69"/>
        <v>0</v>
      </c>
      <c r="I505" s="44">
        <f t="shared" si="69"/>
        <v>0</v>
      </c>
      <c r="J505" s="43">
        <f t="shared" si="69"/>
        <v>25705434</v>
      </c>
      <c r="K505" s="44">
        <f t="shared" si="69"/>
        <v>0</v>
      </c>
      <c r="L505" s="44">
        <f t="shared" si="69"/>
        <v>0</v>
      </c>
      <c r="M505" s="44">
        <f t="shared" si="69"/>
        <v>0</v>
      </c>
      <c r="N505" s="44">
        <f t="shared" si="69"/>
        <v>25705434</v>
      </c>
      <c r="O505" s="44">
        <f t="shared" si="69"/>
        <v>25705434</v>
      </c>
      <c r="P505" s="43">
        <f t="shared" si="69"/>
        <v>25790834</v>
      </c>
    </row>
    <row r="506" spans="4:16" ht="15">
      <c r="D506" s="19">
        <v>160</v>
      </c>
      <c r="E506" s="43">
        <f>E407</f>
        <v>1589300</v>
      </c>
      <c r="F506" s="44">
        <f aca="true" t="shared" si="70" ref="F506:O506">F407</f>
        <v>0</v>
      </c>
      <c r="G506" s="44">
        <f t="shared" si="70"/>
        <v>0</v>
      </c>
      <c r="H506" s="44">
        <f t="shared" si="70"/>
        <v>0</v>
      </c>
      <c r="I506" s="44">
        <f t="shared" si="70"/>
        <v>1589300</v>
      </c>
      <c r="J506" s="43">
        <f t="shared" si="70"/>
        <v>94000</v>
      </c>
      <c r="K506" s="44">
        <f t="shared" si="70"/>
        <v>0</v>
      </c>
      <c r="L506" s="44">
        <f t="shared" si="70"/>
        <v>0</v>
      </c>
      <c r="M506" s="44">
        <f t="shared" si="70"/>
        <v>0</v>
      </c>
      <c r="N506" s="44">
        <f t="shared" si="70"/>
        <v>94000</v>
      </c>
      <c r="O506" s="44">
        <f t="shared" si="70"/>
        <v>94000</v>
      </c>
      <c r="P506" s="43">
        <f t="shared" si="61"/>
        <v>1683300</v>
      </c>
    </row>
    <row r="507" spans="4:16" ht="15">
      <c r="D507" s="19">
        <v>170</v>
      </c>
      <c r="E507" s="43">
        <f aca="true" t="shared" si="71" ref="E507:O507">E168+E170+E172+E429+E458+E459</f>
        <v>56330200</v>
      </c>
      <c r="F507" s="44">
        <f t="shared" si="71"/>
        <v>28330200</v>
      </c>
      <c r="G507" s="44">
        <f t="shared" si="71"/>
        <v>0</v>
      </c>
      <c r="H507" s="44">
        <f t="shared" si="71"/>
        <v>0</v>
      </c>
      <c r="I507" s="44">
        <f t="shared" si="71"/>
        <v>28000000</v>
      </c>
      <c r="J507" s="43">
        <f t="shared" si="71"/>
        <v>3834700</v>
      </c>
      <c r="K507" s="44">
        <f t="shared" si="71"/>
        <v>10000</v>
      </c>
      <c r="L507" s="44">
        <f t="shared" si="71"/>
        <v>0</v>
      </c>
      <c r="M507" s="44">
        <f t="shared" si="71"/>
        <v>0</v>
      </c>
      <c r="N507" s="44">
        <f t="shared" si="71"/>
        <v>3824700</v>
      </c>
      <c r="O507" s="44">
        <f t="shared" si="71"/>
        <v>3400000</v>
      </c>
      <c r="P507" s="43">
        <f t="shared" si="61"/>
        <v>60164900</v>
      </c>
    </row>
    <row r="508" spans="4:16" ht="15">
      <c r="D508" s="19">
        <v>180</v>
      </c>
      <c r="E508" s="43">
        <f aca="true" t="shared" si="72" ref="E508:O508">E393+E401+E432+E460+E471+E431</f>
        <v>1800661</v>
      </c>
      <c r="F508" s="44">
        <f t="shared" si="72"/>
        <v>1800661</v>
      </c>
      <c r="G508" s="44">
        <f t="shared" si="72"/>
        <v>0</v>
      </c>
      <c r="H508" s="44">
        <f t="shared" si="72"/>
        <v>0</v>
      </c>
      <c r="I508" s="44">
        <f t="shared" si="72"/>
        <v>0</v>
      </c>
      <c r="J508" s="43">
        <f t="shared" si="72"/>
        <v>45187155</v>
      </c>
      <c r="K508" s="44">
        <f t="shared" si="72"/>
        <v>0</v>
      </c>
      <c r="L508" s="44">
        <f t="shared" si="72"/>
        <v>0</v>
      </c>
      <c r="M508" s="44">
        <f t="shared" si="72"/>
        <v>0</v>
      </c>
      <c r="N508" s="44">
        <f t="shared" si="72"/>
        <v>45187155</v>
      </c>
      <c r="O508" s="44">
        <f t="shared" si="72"/>
        <v>45187155</v>
      </c>
      <c r="P508" s="43">
        <f t="shared" si="61"/>
        <v>46987816</v>
      </c>
    </row>
    <row r="509" spans="4:18" ht="15">
      <c r="D509" s="19">
        <v>200</v>
      </c>
      <c r="E509" s="43">
        <f aca="true" t="shared" si="73" ref="E509:O509">E65+E433+E450</f>
        <v>0</v>
      </c>
      <c r="F509" s="44">
        <f t="shared" si="73"/>
        <v>0</v>
      </c>
      <c r="G509" s="44">
        <f t="shared" si="73"/>
        <v>0</v>
      </c>
      <c r="H509" s="44">
        <f t="shared" si="73"/>
        <v>0</v>
      </c>
      <c r="I509" s="44">
        <f t="shared" si="73"/>
        <v>0</v>
      </c>
      <c r="J509" s="43">
        <f t="shared" si="73"/>
        <v>0</v>
      </c>
      <c r="K509" s="44">
        <f t="shared" si="73"/>
        <v>0</v>
      </c>
      <c r="L509" s="44">
        <f t="shared" si="73"/>
        <v>0</v>
      </c>
      <c r="M509" s="44">
        <f t="shared" si="73"/>
        <v>0</v>
      </c>
      <c r="N509" s="44">
        <f t="shared" si="73"/>
        <v>0</v>
      </c>
      <c r="O509" s="44">
        <f t="shared" si="73"/>
        <v>0</v>
      </c>
      <c r="P509" s="43">
        <f t="shared" si="61"/>
        <v>0</v>
      </c>
      <c r="R509" s="113"/>
    </row>
    <row r="510" spans="4:16" ht="15">
      <c r="D510" s="19">
        <v>210</v>
      </c>
      <c r="E510" s="43">
        <f aca="true" t="shared" si="74" ref="E510:P510">E461+E466</f>
        <v>156000</v>
      </c>
      <c r="F510" s="44">
        <f t="shared" si="74"/>
        <v>156000</v>
      </c>
      <c r="G510" s="44">
        <f t="shared" si="74"/>
        <v>0</v>
      </c>
      <c r="H510" s="44">
        <f t="shared" si="74"/>
        <v>0</v>
      </c>
      <c r="I510" s="44">
        <f t="shared" si="74"/>
        <v>0</v>
      </c>
      <c r="J510" s="43">
        <f t="shared" si="74"/>
        <v>0</v>
      </c>
      <c r="K510" s="44">
        <f t="shared" si="74"/>
        <v>0</v>
      </c>
      <c r="L510" s="44">
        <f t="shared" si="74"/>
        <v>0</v>
      </c>
      <c r="M510" s="44">
        <f t="shared" si="74"/>
        <v>0</v>
      </c>
      <c r="N510" s="44">
        <f t="shared" si="74"/>
        <v>0</v>
      </c>
      <c r="O510" s="44">
        <f t="shared" si="74"/>
        <v>0</v>
      </c>
      <c r="P510" s="43">
        <f t="shared" si="74"/>
        <v>156000</v>
      </c>
    </row>
    <row r="511" spans="4:16" ht="15">
      <c r="D511" s="19">
        <v>240</v>
      </c>
      <c r="E511" s="43">
        <f aca="true" t="shared" si="75" ref="E511:O511">E66+E105+E394+E434+E436+E451+E452+E453+E454</f>
        <v>0</v>
      </c>
      <c r="F511" s="44">
        <f t="shared" si="75"/>
        <v>0</v>
      </c>
      <c r="G511" s="44">
        <f t="shared" si="75"/>
        <v>0</v>
      </c>
      <c r="H511" s="44">
        <f t="shared" si="75"/>
        <v>0</v>
      </c>
      <c r="I511" s="44">
        <f t="shared" si="75"/>
        <v>0</v>
      </c>
      <c r="J511" s="43">
        <f t="shared" si="75"/>
        <v>13971529</v>
      </c>
      <c r="K511" s="44">
        <f t="shared" si="75"/>
        <v>3738000</v>
      </c>
      <c r="L511" s="44">
        <f t="shared" si="75"/>
        <v>0</v>
      </c>
      <c r="M511" s="44">
        <f t="shared" si="75"/>
        <v>0</v>
      </c>
      <c r="N511" s="44">
        <f t="shared" si="75"/>
        <v>10233529</v>
      </c>
      <c r="O511" s="44">
        <f t="shared" si="75"/>
        <v>0</v>
      </c>
      <c r="P511" s="43">
        <f t="shared" si="61"/>
        <v>13971529</v>
      </c>
    </row>
    <row r="512" spans="4:16" ht="15">
      <c r="D512" s="19">
        <v>250</v>
      </c>
      <c r="E512" s="43">
        <f>E18+E106+E483+E484+E485+E486+E440+E409+E410+E438+E439+E107+E68+E455</f>
        <v>17040065.060000002</v>
      </c>
      <c r="F512" s="43">
        <f aca="true" t="shared" si="76" ref="F512:P512">F18+F106+F483+F484+F485+F486+F440+F409+F410+F438+F439+F107+F68+F455</f>
        <v>14535625.06</v>
      </c>
      <c r="G512" s="43">
        <f t="shared" si="76"/>
        <v>0</v>
      </c>
      <c r="H512" s="43">
        <f t="shared" si="76"/>
        <v>0</v>
      </c>
      <c r="I512" s="43">
        <f t="shared" si="76"/>
        <v>0</v>
      </c>
      <c r="J512" s="43">
        <f t="shared" si="76"/>
        <v>10139260</v>
      </c>
      <c r="K512" s="43">
        <f t="shared" si="76"/>
        <v>0</v>
      </c>
      <c r="L512" s="43">
        <f t="shared" si="76"/>
        <v>0</v>
      </c>
      <c r="M512" s="43">
        <f t="shared" si="76"/>
        <v>0</v>
      </c>
      <c r="N512" s="43">
        <f t="shared" si="76"/>
        <v>10139260</v>
      </c>
      <c r="O512" s="43">
        <f t="shared" si="76"/>
        <v>10139260</v>
      </c>
      <c r="P512" s="43">
        <f t="shared" si="76"/>
        <v>27179325.060000002</v>
      </c>
    </row>
    <row r="513" spans="5:16" ht="15">
      <c r="E513" s="45">
        <f>E490-E496</f>
        <v>0</v>
      </c>
      <c r="F513" s="45">
        <f aca="true" t="shared" si="77" ref="F513:O513">F490-F496</f>
        <v>0</v>
      </c>
      <c r="G513" s="45">
        <f t="shared" si="77"/>
        <v>0</v>
      </c>
      <c r="H513" s="45">
        <f t="shared" si="77"/>
        <v>0</v>
      </c>
      <c r="I513" s="45">
        <f t="shared" si="77"/>
        <v>0</v>
      </c>
      <c r="J513" s="45">
        <f t="shared" si="77"/>
        <v>0</v>
      </c>
      <c r="K513" s="45">
        <f t="shared" si="77"/>
        <v>0</v>
      </c>
      <c r="L513" s="45">
        <f t="shared" si="77"/>
        <v>0</v>
      </c>
      <c r="M513" s="45">
        <f t="shared" si="77"/>
        <v>0</v>
      </c>
      <c r="N513" s="45">
        <f t="shared" si="77"/>
        <v>0</v>
      </c>
      <c r="O513" s="45">
        <f t="shared" si="77"/>
        <v>0</v>
      </c>
      <c r="P513" s="43">
        <f t="shared" si="61"/>
        <v>0</v>
      </c>
    </row>
    <row r="514" ht="15">
      <c r="P514" s="45">
        <f>SUM(P497:P513)</f>
        <v>1663419869</v>
      </c>
    </row>
    <row r="515" spans="5:14" ht="15">
      <c r="E515" s="45">
        <f>E490-'[1]Лист1'!$E$217</f>
        <v>311158303</v>
      </c>
      <c r="F515" s="45">
        <f>F490-'[1]Лист1'!$F$217</f>
        <v>291771936</v>
      </c>
      <c r="G515" s="45">
        <f>G490-'[1]Лист1'!$G$217</f>
        <v>130960879</v>
      </c>
      <c r="H515" s="45">
        <f>H490-'[1]Лист1'!$H$217</f>
        <v>62625038</v>
      </c>
      <c r="I515" s="45">
        <f>I490-'[1]Лист1'!$I$217</f>
        <v>17297700</v>
      </c>
      <c r="J515" s="45">
        <f>J490-'[1]Лист1'!$J$217</f>
        <v>1125805</v>
      </c>
      <c r="K515" s="45">
        <f>K490-'[1]Лист1'!$K$217</f>
        <v>13720195</v>
      </c>
      <c r="L515" s="45">
        <f>L490-'[1]Лист1'!$L$217</f>
        <v>1229834</v>
      </c>
      <c r="M515" s="45">
        <f>M490-'[1]Лист1'!$M$217</f>
        <v>614251</v>
      </c>
      <c r="N515" s="45">
        <f>N490-'[1]Лист1'!$N$217</f>
        <v>-12594390</v>
      </c>
    </row>
    <row r="516" spans="15:16" ht="15">
      <c r="O516" s="45"/>
      <c r="P516" s="45"/>
    </row>
    <row r="517" spans="5:16" ht="15">
      <c r="E517" s="45"/>
      <c r="F517" s="45"/>
      <c r="G517" s="45"/>
      <c r="H517" s="45"/>
      <c r="I517" s="45"/>
      <c r="J517" s="45"/>
      <c r="K517" s="45"/>
      <c r="L517" s="45"/>
      <c r="M517" s="45"/>
      <c r="N517" s="45"/>
      <c r="O517" s="45"/>
      <c r="P517" s="45"/>
    </row>
    <row r="521" ht="15">
      <c r="F521" s="45"/>
    </row>
  </sheetData>
  <sheetProtection/>
  <mergeCells count="23">
    <mergeCell ref="Q9:Q12"/>
    <mergeCell ref="P9:P12"/>
    <mergeCell ref="H11:H12"/>
    <mergeCell ref="I10:I12"/>
    <mergeCell ref="O11:O12"/>
    <mergeCell ref="N10:N12"/>
    <mergeCell ref="J10:J12"/>
    <mergeCell ref="A6:P6"/>
    <mergeCell ref="A7:P7"/>
    <mergeCell ref="A9:A12"/>
    <mergeCell ref="B9:B12"/>
    <mergeCell ref="C9:C12"/>
    <mergeCell ref="E10:E12"/>
    <mergeCell ref="D9:D12"/>
    <mergeCell ref="E9:I9"/>
    <mergeCell ref="M11:M12"/>
    <mergeCell ref="L11:L12"/>
    <mergeCell ref="G11:G12"/>
    <mergeCell ref="F10:F12"/>
    <mergeCell ref="J9:O9"/>
    <mergeCell ref="K10:K12"/>
    <mergeCell ref="G10:H10"/>
    <mergeCell ref="L10:M10"/>
  </mergeCells>
  <printOptions/>
  <pageMargins left="0.45" right="0.196850393700787" top="0.37" bottom="0.196850393700787" header="0.36" footer="0"/>
  <pageSetup fitToHeight="22" horizontalDpi="600" verticalDpi="600" orientation="landscape" paperSize="9" scale="51" r:id="rId1"/>
  <rowBreaks count="1" manualBreakCount="1">
    <brk id="17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MultiDVD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2016-05-30T07:46:56Z</cp:lastPrinted>
  <dcterms:created xsi:type="dcterms:W3CDTF">2015-01-13T20:51:03Z</dcterms:created>
  <dcterms:modified xsi:type="dcterms:W3CDTF">2016-06-02T07:34:21Z</dcterms:modified>
  <cp:category/>
  <cp:version/>
  <cp:contentType/>
  <cp:contentStatus/>
</cp:coreProperties>
</file>