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0" yWindow="65524" windowWidth="10248" windowHeight="9516" activeTab="0"/>
  </bookViews>
  <sheets>
    <sheet name="Лист1" sheetId="1" r:id="rId1"/>
  </sheets>
  <externalReferences>
    <externalReference r:id="rId4"/>
  </externalReferences>
  <definedNames>
    <definedName name="_xlnm.Print_Area" localSheetId="0">'Лист1'!$A$1:$P$471</definedName>
  </definedNames>
  <calcPr fullCalcOnLoad="1"/>
</workbook>
</file>

<file path=xl/sharedStrings.xml><?xml version="1.0" encoding="utf-8"?>
<sst xmlns="http://schemas.openxmlformats.org/spreadsheetml/2006/main" count="1217" uniqueCount="582">
  <si>
    <t>РОЗПОДІЛ</t>
  </si>
  <si>
    <t>(грн.)</t>
  </si>
  <si>
    <t>Код програмної класифікації видатків та кредитування місцевих бюджетів1</t>
  </si>
  <si>
    <t>Код ТПКВКМБ / ТКВКБМС2</t>
  </si>
  <si>
    <t>Код ФКВКБ3</t>
  </si>
  <si>
    <t>Найменування головного розпорядника, відповідального виконавця, бюджетної програми або напряму видатків згідно з типовою відомчою / ТПКВКМБ / ТКВКБМС</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</si>
  <si>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</si>
  <si>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</si>
  <si>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</si>
  <si>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</si>
  <si>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</si>
  <si>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</si>
  <si>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</si>
  <si>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</si>
  <si>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</si>
  <si>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</si>
  <si>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0100000</t>
  </si>
  <si>
    <t>Апарат місцевої ради</t>
  </si>
  <si>
    <t>0110000</t>
  </si>
  <si>
    <t>0110170</t>
  </si>
  <si>
    <t>0111</t>
  </si>
  <si>
    <t>0170</t>
  </si>
  <si>
    <t>0117210</t>
  </si>
  <si>
    <t>Підтримка засобів масової інформації</t>
  </si>
  <si>
    <t>0117211</t>
  </si>
  <si>
    <t>0830</t>
  </si>
  <si>
    <t>7211</t>
  </si>
  <si>
    <t>Сприяння діяльності телебачення і радіомовлення</t>
  </si>
  <si>
    <t>0117212</t>
  </si>
  <si>
    <t>7212</t>
  </si>
  <si>
    <t>Підтримка періодичних видань (газет та журналів)</t>
  </si>
  <si>
    <t>0133</t>
  </si>
  <si>
    <t>8600</t>
  </si>
  <si>
    <t>Інші видатки</t>
  </si>
  <si>
    <t>0300000</t>
  </si>
  <si>
    <t>0180</t>
  </si>
  <si>
    <t>1050</t>
  </si>
  <si>
    <t>3240</t>
  </si>
  <si>
    <t>Організація та проведення громадських робіт</t>
  </si>
  <si>
    <t>0620</t>
  </si>
  <si>
    <t>6060</t>
  </si>
  <si>
    <t>Благоустрій міст, сіл, селищ</t>
  </si>
  <si>
    <t>Оргінізація та проведення громадських робіт</t>
  </si>
  <si>
    <t>1000000</t>
  </si>
  <si>
    <t>Департамент з гуманітарних питань  міської ради</t>
  </si>
  <si>
    <t>1010000</t>
  </si>
  <si>
    <t>1010180</t>
  </si>
  <si>
    <t>1011010</t>
  </si>
  <si>
    <t>0910</t>
  </si>
  <si>
    <t>1010</t>
  </si>
  <si>
    <t>Дошкільна освiта</t>
  </si>
  <si>
    <t>1011020</t>
  </si>
  <si>
    <t>0921</t>
  </si>
  <si>
    <t>1020</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</si>
  <si>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</si>
  <si>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t>1011040</t>
  </si>
  <si>
    <t>0922</t>
  </si>
  <si>
    <t>1040</t>
  </si>
  <si>
    <t>Надання загальної середньої освіти загальноосвiтнiми школами-iнтернатами, загальноосвітніми санаторними школами-інтернатами</t>
  </si>
  <si>
    <t>1011090</t>
  </si>
  <si>
    <t>0960</t>
  </si>
  <si>
    <t>1090</t>
  </si>
  <si>
    <t>Надання позашкільної освіти позашкільними закладами освіти, заходи із позашкільної роботи з дітьми</t>
  </si>
  <si>
    <t>1011170</t>
  </si>
  <si>
    <t>0990</t>
  </si>
  <si>
    <t>1170</t>
  </si>
  <si>
    <t>Методичне забезпечення діяльності навчальних закладів та інші заходи в галузі освіти</t>
  </si>
  <si>
    <t>1011190</t>
  </si>
  <si>
    <t>1190</t>
  </si>
  <si>
    <t>Централізоване ведення бухгалтерського обліку</t>
  </si>
  <si>
    <t>1011200</t>
  </si>
  <si>
    <t>1200</t>
  </si>
  <si>
    <t>Здійснення централізованого господарського обслуговування</t>
  </si>
  <si>
    <t>1011230</t>
  </si>
  <si>
    <t>1230</t>
  </si>
  <si>
    <t>Надання допомоги дітям-сиротам і дітям, позбавленим батьківського піклування, яким виповнюється 18 років</t>
  </si>
  <si>
    <t>1013140</t>
  </si>
  <si>
    <t>1013141</t>
  </si>
  <si>
    <t>3141</t>
  </si>
  <si>
    <t>Здійснення заходів та реалізація проектів на виконання Державної цільової соціальної програми `Молодь України`</t>
  </si>
  <si>
    <t>1013160</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</si>
  <si>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</si>
  <si>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</si>
  <si>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1013500</t>
  </si>
  <si>
    <t>3500</t>
  </si>
  <si>
    <t>1014020</t>
  </si>
  <si>
    <t>0821</t>
  </si>
  <si>
    <t>4020</t>
  </si>
  <si>
    <t>Театри</t>
  </si>
  <si>
    <t>1014030</t>
  </si>
  <si>
    <t>0822</t>
  </si>
  <si>
    <t>4030</t>
  </si>
  <si>
    <t>Фiлармонiї, музичнi колективи i ансамблі та iншi мистецькі заклади та заходи</t>
  </si>
  <si>
    <t>1014060</t>
  </si>
  <si>
    <t>0824</t>
  </si>
  <si>
    <t>4060</t>
  </si>
  <si>
    <t>Бiблiотеки</t>
  </si>
  <si>
    <t>1014070</t>
  </si>
  <si>
    <t>4070</t>
  </si>
  <si>
    <t>Музеї i виставки</t>
  </si>
  <si>
    <t>1014100</t>
  </si>
  <si>
    <t>4100</t>
  </si>
  <si>
    <t>Школи естетичного виховання дiтей</t>
  </si>
  <si>
    <t>1015010</t>
  </si>
  <si>
    <t>Проведення спортивної роботи в регіоні</t>
  </si>
  <si>
    <t>1015011</t>
  </si>
  <si>
    <t>0810</t>
  </si>
  <si>
    <t>5011</t>
  </si>
  <si>
    <t>Проведення навчально-тренувальних зборів і змагань з олімпійських видів спорту</t>
  </si>
  <si>
    <t>1015012</t>
  </si>
  <si>
    <t>5012</t>
  </si>
  <si>
    <t>Проведення навчально-тренувальних зборів і змагань з неолімпійських видів спорту</t>
  </si>
  <si>
    <t>1015020</t>
  </si>
  <si>
    <t>Здійснення фізкультурно-спортивної та реабілітаційної роботи серед інвалідів</t>
  </si>
  <si>
    <t>1015021</t>
  </si>
  <si>
    <t>5021</t>
  </si>
  <si>
    <t>Утримання центрів з інвалідного спорту і реабілітаційних шкіл</t>
  </si>
  <si>
    <t>1015022</t>
  </si>
  <si>
    <t>5022</t>
  </si>
  <si>
    <t>Проведення навчально-тренувальних зборів і змагань та заходів з інвалідного спорту</t>
  </si>
  <si>
    <t>1015030</t>
  </si>
  <si>
    <t>Розвиток дитячо-юнацького та резервного спорту</t>
  </si>
  <si>
    <t>1015031</t>
  </si>
  <si>
    <t>5031</t>
  </si>
  <si>
    <t>Утримання та навчально-тренувальна робота комунальних дитячо-юнацьких спортивних шкіл</t>
  </si>
  <si>
    <t>1015032</t>
  </si>
  <si>
    <t>5032</t>
  </si>
  <si>
    <t>Фінансова підтримка дитячо-юнацьких спортивних шкіл фізкультурно-спортивних товариств</t>
  </si>
  <si>
    <t>1015040</t>
  </si>
  <si>
    <t>Підтримка і розвиток спортивної інфраструктури</t>
  </si>
  <si>
    <t>1015041</t>
  </si>
  <si>
    <t>5041</t>
  </si>
  <si>
    <t>Утримання комунальних спортивних споруд</t>
  </si>
  <si>
    <t>1015050</t>
  </si>
  <si>
    <t>Підтримка фізкультурно-спортивного руху</t>
  </si>
  <si>
    <t>1015053</t>
  </si>
  <si>
    <t>5053</t>
  </si>
  <si>
    <t>Фінансова підтримка на утримання місцевих осередків (рад) всеукраїнських організацій фізкультурно-спортивної спрямованості</t>
  </si>
  <si>
    <t>1015060</t>
  </si>
  <si>
    <t>Інші заходи з розвитку фізичної культури та спорту</t>
  </si>
  <si>
    <t>1015061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</si>
  <si>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</si>
  <si>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</si>
  <si>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t>
  </si>
  <si>
    <t>5062</t>
  </si>
  <si>
    <t>Підтримка спорту вищих досягнень та організацій, які здійснюють фізкультурно-спортивну діяльність в регіоні</t>
  </si>
  <si>
    <t>1017470</t>
  </si>
  <si>
    <t>0490</t>
  </si>
  <si>
    <t>7470</t>
  </si>
  <si>
    <t>Внески до статутного капіталу суб`єктів господарювання</t>
  </si>
  <si>
    <t>1019110</t>
  </si>
  <si>
    <t>0511</t>
  </si>
  <si>
    <t>9110</t>
  </si>
  <si>
    <t>Охорона та раціональне використання природних ресурсів</t>
  </si>
  <si>
    <t>1400000</t>
  </si>
  <si>
    <t>1410000</t>
  </si>
  <si>
    <t>1410180</t>
  </si>
  <si>
    <t>1412010</t>
  </si>
  <si>
    <t>0731</t>
  </si>
  <si>
    <t>2010</t>
  </si>
  <si>
    <t>Багатопрофільна стаціонарна медична допомога населенню</t>
  </si>
  <si>
    <t>1412030</t>
  </si>
  <si>
    <t>0732</t>
  </si>
  <si>
    <t>2030</t>
  </si>
  <si>
    <t>Спеціалізована стаціонарна медична допомога населенню</t>
  </si>
  <si>
    <t>1412120</t>
  </si>
  <si>
    <t>0721</t>
  </si>
  <si>
    <t>2120</t>
  </si>
  <si>
    <t>Амбулаторно-поліклінічна допомога населенню</t>
  </si>
  <si>
    <t>1412140</t>
  </si>
  <si>
    <t>0722</t>
  </si>
  <si>
    <t>2140</t>
  </si>
  <si>
    <t>Надання стоматологічної допомоги населенню</t>
  </si>
  <si>
    <t>1412180</t>
  </si>
  <si>
    <t>0726</t>
  </si>
  <si>
    <t>2180</t>
  </si>
  <si>
    <t>Первинна медична допомога населенню</t>
  </si>
  <si>
    <t>1412200</t>
  </si>
  <si>
    <t>0763</t>
  </si>
  <si>
    <t>2200</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</si>
  <si>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</si>
  <si>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1412220</t>
  </si>
  <si>
    <t>2220</t>
  </si>
  <si>
    <t>Інші заходи в галузі охорони здоров`я</t>
  </si>
  <si>
    <t>1413030</t>
  </si>
  <si>
    <t>1413031</t>
  </si>
  <si>
    <t>1030</t>
  </si>
  <si>
    <t>3031</t>
  </si>
  <si>
    <t>1413035</t>
  </si>
  <si>
    <t>1070</t>
  </si>
  <si>
    <t>3035</t>
  </si>
  <si>
    <t>Компенсаційні виплати на пільговий проїзд автомобільним транспортом окремим категоріям громадян</t>
  </si>
  <si>
    <t>1413037</t>
  </si>
  <si>
    <t>3037</t>
  </si>
  <si>
    <t>Компенсаційні виплати за пільговий проїзд окремих категорій громадян на залізничному транспорті</t>
  </si>
  <si>
    <t>1413038</t>
  </si>
  <si>
    <t>3038</t>
  </si>
  <si>
    <t>Компенсаційні виплати на пільговий проїзд електротранспортом окремим категоріям громадян</t>
  </si>
  <si>
    <t>1413130</t>
  </si>
  <si>
    <t>Здійснення соціальної роботи з вразливими категоріями населення</t>
  </si>
  <si>
    <t>1413131</t>
  </si>
  <si>
    <t>3131</t>
  </si>
  <si>
    <t>Центри соціальних служб для сім`ї, дітей та молоді</t>
  </si>
  <si>
    <t>1413132</t>
  </si>
  <si>
    <t>3132</t>
  </si>
  <si>
    <t>Програми і заходи центрів соціальних служб для сім`ї, дітей та молоді</t>
  </si>
  <si>
    <t>1413134</t>
  </si>
  <si>
    <t>3134</t>
  </si>
  <si>
    <t>Заходи державної політики з питань сім`ї</t>
  </si>
  <si>
    <t>1413160</t>
  </si>
  <si>
    <t>1413200</t>
  </si>
  <si>
    <t>Соціальний захист ветеранів війни та праці</t>
  </si>
  <si>
    <t>1413202</t>
  </si>
  <si>
    <t>3202</t>
  </si>
  <si>
    <t>Надання фінансової підтримки громадським організаціям інвалідів і ветеранів, діяльність яких має соціальну спрямованість</t>
  </si>
  <si>
    <t>1413300</t>
  </si>
  <si>
    <t>3300</t>
  </si>
  <si>
    <t>Інші установи та заклади</t>
  </si>
  <si>
    <t>1413400</t>
  </si>
  <si>
    <t>3400</t>
  </si>
  <si>
    <t>Інші видатки на соціальний захист населення  </t>
  </si>
  <si>
    <t>1416310</t>
  </si>
  <si>
    <t>6310</t>
  </si>
  <si>
    <t>Реалізація заходів щодо інвестиційного розвитку території</t>
  </si>
  <si>
    <t>1500000</t>
  </si>
  <si>
    <t>Орган з питань праці та соціального захисту населення</t>
  </si>
  <si>
    <t>1060</t>
  </si>
  <si>
    <t>3011</t>
  </si>
  <si>
    <t>3012</t>
  </si>
  <si>
    <t>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</si>
  <si>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</si>
  <si>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3014</t>
  </si>
  <si>
    <t>3015</t>
  </si>
  <si>
    <t>Надання пільг багатодітним сім`ям на житлово-комунальні послуги</t>
  </si>
  <si>
    <t>3016</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</si>
  <si>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</si>
  <si>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</si>
  <si>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3021</t>
  </si>
  <si>
    <t>3025</t>
  </si>
  <si>
    <t>Надання пільг багатодітним сім`ям на придбання твердого палива та скрапленого газу</t>
  </si>
  <si>
    <t>3026</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</si>
  <si>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</si>
  <si>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сім`ям з дітьми, малозабезпеченим сім`ям, інвалідам з дитинства, дітям-інвалідам та тимчасової допомоги дітям</t>
  </si>
  <si>
    <t>3041</t>
  </si>
  <si>
    <t>Надання допомоги у зв`язку з вагітністю і пологами</t>
  </si>
  <si>
    <t>3042</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</si>
  <si>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</si>
  <si>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</si>
  <si>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</si>
  <si>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</si>
  <si>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</si>
  <si>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</si>
  <si>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</si>
  <si>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</si>
  <si>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</si>
  <si>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</si>
  <si>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3048</t>
  </si>
  <si>
    <t>Надання державної соціальної допомоги малозабезпеченим сім`ям</t>
  </si>
  <si>
    <t>3049</t>
  </si>
  <si>
    <t>Надання державної соціальної допомоги інвалідам з дитинства та дітям-інвалідам</t>
  </si>
  <si>
    <t>3080</t>
  </si>
  <si>
    <t>Надання соціальних та реабілітаційних послуг громадянам в установах соціального обслуговування</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</si>
  <si>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</si>
  <si>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</si>
  <si>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інвалідам, фізичним особам, які надають соціальні послуги громадянам, які не здатні до самообслуговування і потребують сторонньої допомоги</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</si>
  <si>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</si>
  <si>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</si>
  <si>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3190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</si>
  <si>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</si>
  <si>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2000000</t>
  </si>
  <si>
    <t>Орган у справах дітей</t>
  </si>
  <si>
    <t>2010000</t>
  </si>
  <si>
    <t>2010180</t>
  </si>
  <si>
    <t>2013110</t>
  </si>
  <si>
    <t>Заклади і заходи з питань дітей та їх соціального захисту</t>
  </si>
  <si>
    <t>2013111</t>
  </si>
  <si>
    <t>3111</t>
  </si>
  <si>
    <t>Утримання закладів, що надають соціальні послуги дітям, які опинились у складних життєвих обставинах</t>
  </si>
  <si>
    <t>2013112</t>
  </si>
  <si>
    <t>3112</t>
  </si>
  <si>
    <t>Заходи державної політики з питань дітей та їх соціального захисту</t>
  </si>
  <si>
    <t>2013500</t>
  </si>
  <si>
    <t>2900000</t>
  </si>
  <si>
    <t>Архівна установа</t>
  </si>
  <si>
    <t>2910000</t>
  </si>
  <si>
    <t>2910180</t>
  </si>
  <si>
    <t>3100000</t>
  </si>
  <si>
    <t>Орган з питань реклами</t>
  </si>
  <si>
    <t>3110000</t>
  </si>
  <si>
    <t>Відділ реклами міської ради</t>
  </si>
  <si>
    <t>3110180</t>
  </si>
  <si>
    <t>3200000</t>
  </si>
  <si>
    <t>Орган з питань регуляторної політики і підприємництва</t>
  </si>
  <si>
    <t>3210000</t>
  </si>
  <si>
    <t>'Департмент муніципальних послуг та регуляторної політики міської ради</t>
  </si>
  <si>
    <t>3210180</t>
  </si>
  <si>
    <t>3217450</t>
  </si>
  <si>
    <t>0411</t>
  </si>
  <si>
    <t>7450</t>
  </si>
  <si>
    <t>Сприяння розвитку малого та середнього підприємництва</t>
  </si>
  <si>
    <t>4500000</t>
  </si>
  <si>
    <t>Орган з питань комунальної власності</t>
  </si>
  <si>
    <t>4510000</t>
  </si>
  <si>
    <t>'Департамент комунальної власності, земельних відносин та реєстрації речових прав на нерухоме майно міської ради</t>
  </si>
  <si>
    <t>4510180</t>
  </si>
  <si>
    <t>4517310</t>
  </si>
  <si>
    <t>0421</t>
  </si>
  <si>
    <t>7310</t>
  </si>
  <si>
    <t>Проведення заходів із землеустрою</t>
  </si>
  <si>
    <t>4700000</t>
  </si>
  <si>
    <t>Орган з питань будівництва</t>
  </si>
  <si>
    <t>4710000</t>
  </si>
  <si>
    <t>Департамент житлово-комунального господарства та будівництва міської ради</t>
  </si>
  <si>
    <t>4710180</t>
  </si>
  <si>
    <t>4713240</t>
  </si>
  <si>
    <t>4716010</t>
  </si>
  <si>
    <t>0610</t>
  </si>
  <si>
    <t>6010</t>
  </si>
  <si>
    <t>Забезпечення надійного та безперебійного функціонування житлово-експлуатаційного господарства</t>
  </si>
  <si>
    <t>4716020</t>
  </si>
  <si>
    <t>Капітальний ремонт об`єктів житлового господарства</t>
  </si>
  <si>
    <t>4716021</t>
  </si>
  <si>
    <t>6021</t>
  </si>
  <si>
    <t>Капітальний ремонт житлового фонду</t>
  </si>
  <si>
    <t>4716050</t>
  </si>
  <si>
    <t>Фінансова підтримка об`єктів комунального господарства</t>
  </si>
  <si>
    <t>4716051</t>
  </si>
  <si>
    <t>6051</t>
  </si>
  <si>
    <t>Забезпечення функціонування теплових мереж</t>
  </si>
  <si>
    <t>4716060</t>
  </si>
  <si>
    <t>4716130</t>
  </si>
  <si>
    <t>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</si>
  <si>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</si>
  <si>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4716310</t>
  </si>
  <si>
    <t>4716350</t>
  </si>
  <si>
    <t>6350</t>
  </si>
  <si>
    <t>Проведення невідкладних відновлювальних робіт, будівництво та реконструкція позашкільних навчальних закладів</t>
  </si>
  <si>
    <t>4716650</t>
  </si>
  <si>
    <t>0456</t>
  </si>
  <si>
    <t>6650</t>
  </si>
  <si>
    <t>Утримання та розвиток інфраструктури доріг</t>
  </si>
  <si>
    <t>4717470</t>
  </si>
  <si>
    <t>4718600</t>
  </si>
  <si>
    <t>4718800</t>
  </si>
  <si>
    <t>8800</t>
  </si>
  <si>
    <t>Інші субвенції</t>
  </si>
  <si>
    <t>4800000</t>
  </si>
  <si>
    <t>Орган з питань містобудування та архітектури</t>
  </si>
  <si>
    <t>4810000</t>
  </si>
  <si>
    <t>Управління містобудування та архітектури міської ради</t>
  </si>
  <si>
    <t>4810180</t>
  </si>
  <si>
    <t>4816430</t>
  </si>
  <si>
    <t>0443</t>
  </si>
  <si>
    <t>6430</t>
  </si>
  <si>
    <t>Розробка схем та проектних рішень масового застосування</t>
  </si>
  <si>
    <t>4817470</t>
  </si>
  <si>
    <t>4818800</t>
  </si>
  <si>
    <t>6000000</t>
  </si>
  <si>
    <t>Орган з питань екології, охорони навколишнього середовища та природних ресурсів</t>
  </si>
  <si>
    <t>6010000</t>
  </si>
  <si>
    <t>Управління екології та природних ресурсів Кам'янської міської ради</t>
  </si>
  <si>
    <t>6010180</t>
  </si>
  <si>
    <t>6017470</t>
  </si>
  <si>
    <t>6019110</t>
  </si>
  <si>
    <t>6019120</t>
  </si>
  <si>
    <t>0512</t>
  </si>
  <si>
    <t>9120</t>
  </si>
  <si>
    <t>Утилізація відходів</t>
  </si>
  <si>
    <t>6019130</t>
  </si>
  <si>
    <t>0513</t>
  </si>
  <si>
    <t>9130</t>
  </si>
  <si>
    <t>Ліквідація іншого забруднення навколишнього природного середовища</t>
  </si>
  <si>
    <t>6019140</t>
  </si>
  <si>
    <t>0540</t>
  </si>
  <si>
    <t>9140</t>
  </si>
  <si>
    <t>Інша діяльність у сфері охорони навколишнього природного середовища</t>
  </si>
  <si>
    <t>6500000</t>
  </si>
  <si>
    <t>Орган з питань транспорту, зв`язку та інформатизації</t>
  </si>
  <si>
    <t>6510000</t>
  </si>
  <si>
    <t>Управління транспортної інфраструктури та звязку міської ради</t>
  </si>
  <si>
    <t>6510180</t>
  </si>
  <si>
    <t>6516640</t>
  </si>
  <si>
    <t>0455</t>
  </si>
  <si>
    <t>6640</t>
  </si>
  <si>
    <t>Інші заходи у сфері електротранспорту</t>
  </si>
  <si>
    <t>6516700</t>
  </si>
  <si>
    <t>0460</t>
  </si>
  <si>
    <t>6700</t>
  </si>
  <si>
    <t>Діяльність і послуги, не віднесені до інших категорій</t>
  </si>
  <si>
    <t>6516800</t>
  </si>
  <si>
    <t>0451</t>
  </si>
  <si>
    <t>6800</t>
  </si>
  <si>
    <t>Інші заходи у сфері автомобільного транспорту</t>
  </si>
  <si>
    <t>6517470</t>
  </si>
  <si>
    <t>6700000</t>
  </si>
  <si>
    <t>Орган з питань надзвичайних ситуацій</t>
  </si>
  <si>
    <t>6710000</t>
  </si>
  <si>
    <t>Управління з надзвичайних ситуацій та цивільного захисту населення міської ради</t>
  </si>
  <si>
    <t>6710180</t>
  </si>
  <si>
    <t>6717810</t>
  </si>
  <si>
    <t>0320</t>
  </si>
  <si>
    <t>7810</t>
  </si>
  <si>
    <t>Видатки на запобігання та ліквідацію надзвичайних ситуацій та наслідків стихійного лиха</t>
  </si>
  <si>
    <t>7300000</t>
  </si>
  <si>
    <t>Орган з питань економіки</t>
  </si>
  <si>
    <t>7310000</t>
  </si>
  <si>
    <t>'Департамент економічного розвитку міської ради</t>
  </si>
  <si>
    <t>7310180</t>
  </si>
  <si>
    <t>7317410</t>
  </si>
  <si>
    <t>0470</t>
  </si>
  <si>
    <t>7410</t>
  </si>
  <si>
    <t>Заходи з енергозбереження</t>
  </si>
  <si>
    <t>7500000</t>
  </si>
  <si>
    <t>Фінансовий орган</t>
  </si>
  <si>
    <t>7510000</t>
  </si>
  <si>
    <t>7510180</t>
  </si>
  <si>
    <t>7600000</t>
  </si>
  <si>
    <t>7610000</t>
  </si>
  <si>
    <t>7618010</t>
  </si>
  <si>
    <t>8010</t>
  </si>
  <si>
    <t>Резервний фонд</t>
  </si>
  <si>
    <t>7618600</t>
  </si>
  <si>
    <t>7618800</t>
  </si>
  <si>
    <t xml:space="preserve"> </t>
  </si>
  <si>
    <t>Орган* з питань охорони здоров'я</t>
  </si>
  <si>
    <t>Управління державного будівельно-архітектурного контролю</t>
  </si>
  <si>
    <t>Кам'янська міська рада</t>
  </si>
  <si>
    <t>0310000</t>
  </si>
  <si>
    <t>0310180</t>
  </si>
  <si>
    <t>Адміністрація Південного району міської ради</t>
  </si>
  <si>
    <t>0313240</t>
  </si>
  <si>
    <t>0316060</t>
  </si>
  <si>
    <t>Адміністрація Дніпровського району міської ради</t>
  </si>
  <si>
    <t>Адміністрація Заводського району міської ради</t>
  </si>
  <si>
    <t>Управління соціального захисту населення адміністрації Південного району міської ради</t>
  </si>
  <si>
    <t>1510000</t>
  </si>
  <si>
    <t>1510180</t>
  </si>
  <si>
    <t>1513010</t>
  </si>
  <si>
    <t>1511060</t>
  </si>
  <si>
    <t>1513011</t>
  </si>
  <si>
    <t>1513012</t>
  </si>
  <si>
    <t>1513013</t>
  </si>
  <si>
    <t>1513014</t>
  </si>
  <si>
    <t>1513015</t>
  </si>
  <si>
    <t>1513016</t>
  </si>
  <si>
    <t>1513020</t>
  </si>
  <si>
    <t>1513021</t>
  </si>
  <si>
    <t>1513025</t>
  </si>
  <si>
    <t>1513026</t>
  </si>
  <si>
    <t>1513040</t>
  </si>
  <si>
    <t>1513041</t>
  </si>
  <si>
    <t>1513042</t>
  </si>
  <si>
    <t>1513043</t>
  </si>
  <si>
    <t>1513044</t>
  </si>
  <si>
    <t>1513045</t>
  </si>
  <si>
    <t>1513046</t>
  </si>
  <si>
    <t>1513047</t>
  </si>
  <si>
    <t>1513048</t>
  </si>
  <si>
    <t>1513049</t>
  </si>
  <si>
    <t>1513080</t>
  </si>
  <si>
    <t>1513100</t>
  </si>
  <si>
    <t>1513104</t>
  </si>
  <si>
    <t>1513180</t>
  </si>
  <si>
    <t>1513181</t>
  </si>
  <si>
    <t>1513190</t>
  </si>
  <si>
    <t>1513200</t>
  </si>
  <si>
    <t>1513202</t>
  </si>
  <si>
    <t>1513400</t>
  </si>
  <si>
    <t>1516310</t>
  </si>
  <si>
    <t>Управління соціального захисту населення адміністрації Дніпровського району міської ради</t>
  </si>
  <si>
    <t>Управління соціального захисту населення адміністрації Заводського району міської ради</t>
  </si>
  <si>
    <t>Служба у справах дітей міської ради</t>
  </si>
  <si>
    <t>Служба у справах дітей  адміністрації Південного району міської ради</t>
  </si>
  <si>
    <t>Служба у справах дітей адміністрації Дніпровського району міської ради</t>
  </si>
  <si>
    <t>Служба у справах дітей адміністрації Заводського району міської ради</t>
  </si>
  <si>
    <t>Архівне управління міської ради</t>
  </si>
  <si>
    <t>Департамент фінансів  міської ради</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</si>
  <si>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</si>
  <si>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4518600</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</si>
  <si>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</si>
  <si>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</si>
  <si>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t>
  </si>
  <si>
    <t>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</si>
  <si>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</si>
  <si>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</si>
  <si>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</si>
  <si>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</si>
  <si>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у тому числі:</t>
  </si>
  <si>
    <t>Субвенція Петриківському району на виготовлення планів земельних ділянок для учасників АТО</t>
  </si>
  <si>
    <t>Субвенція до обласного бюджету на капітальний ремонт об`єктів соціально-культурної сфери та інфраструктури міста</t>
  </si>
  <si>
    <t>Відшкодування за рішеннями суду, постанов, виконавчих проваджень</t>
  </si>
  <si>
    <t>Здійснення заходів  підтримки сімей з території південних та східних областей України</t>
  </si>
  <si>
    <t>Здійснення заходів  підтримки   демобілізованих учасників антитерористичної операції</t>
  </si>
  <si>
    <t>Здійснення заходів щодо набуття права власності (користування) на житло мешканцям при відселені з аварійних (непридатних для проживання) житлових приміщень, будинків</t>
  </si>
  <si>
    <t>Здійснення заходів з  розвитку місцевого самоврядування</t>
  </si>
  <si>
    <t>Здійснення заходів по забезпеченню діяльності органів самоорганізації населення</t>
  </si>
  <si>
    <t>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</si>
  <si>
    <t>Додаток 3</t>
  </si>
  <si>
    <t>до рішення міської ради</t>
  </si>
  <si>
    <t>( у редакції рішення міської ради</t>
  </si>
  <si>
    <t>Секретар міської ради</t>
  </si>
  <si>
    <t xml:space="preserve">О.Ю.Залевський </t>
  </si>
  <si>
    <t>в т.ч.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</si>
  <si>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в т.ч.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</si>
  <si>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в т.ч.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</si>
  <si>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в т.ч.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</si>
  <si>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 xml:space="preserve">у тому числі за рахунок додаткової дотації </t>
  </si>
  <si>
    <t>в тому числі за рахунок освітньої субвенції з державного бюджету місцевим бюджетам</t>
  </si>
  <si>
    <t>в тому числі за рахунок медичної субвенції з державного бюджету місцевим бюджетам</t>
  </si>
  <si>
    <t>Проведення невідкладних відновлювальних робіт, будівництво та реконструкція лікарень загального профілю</t>
  </si>
  <si>
    <t>Інші видатки, в тому числі:</t>
  </si>
  <si>
    <t>0318600</t>
  </si>
  <si>
    <t>3118600</t>
  </si>
  <si>
    <t>0118600</t>
  </si>
  <si>
    <t>1418600</t>
  </si>
  <si>
    <t>Реалізація державної політики у молодіжній сфері</t>
  </si>
  <si>
    <t>4716360</t>
  </si>
  <si>
    <t>6360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</si>
  <si>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</si>
  <si>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6716400</t>
  </si>
  <si>
    <t>6400</t>
  </si>
  <si>
    <t>Здійснення заходів по проведенню технічної інвентаризації об’єктів комунальної власності територіальної громади</t>
  </si>
  <si>
    <t>7618370</t>
  </si>
  <si>
    <t>Субвенція з місцевого бюджету державному бюджету на виконання програм соціально-економічного та культурного розвитку регіонів</t>
  </si>
  <si>
    <t>8370</t>
  </si>
  <si>
    <t>Орган з питань освіти і науки, молоді та спорту</t>
  </si>
  <si>
    <r>
      <t xml:space="preserve">Фінансовий орган                                        </t>
    </r>
    <r>
      <rPr>
        <sz val="12"/>
        <rFont val="Times New Roman"/>
        <family val="1"/>
      </rPr>
      <t xml:space="preserve"> (в частині міжбюджетних трансфертів, резервного фонду)</t>
    </r>
  </si>
  <si>
    <r>
      <t xml:space="preserve">Департамент фінансів міської ради </t>
    </r>
    <r>
      <rPr>
        <sz val="11"/>
        <rFont val="Times New Roman"/>
        <family val="1"/>
      </rPr>
      <t xml:space="preserve"> (в частині міжбюджетних трансфертів, резервного фонду)</t>
    </r>
  </si>
  <si>
    <t>Здійснення підтримки териториальної виборчої комісії у міжвиборчий період</t>
  </si>
  <si>
    <t>6018600</t>
  </si>
  <si>
    <t>Надання допомоги до досягнення дитиною трирічного віку</t>
  </si>
  <si>
    <t>Надання допомоги по догляду за інвалідами I чи II групи внаслідок психічного розладу</t>
  </si>
  <si>
    <t>в тому числі за рахунок субвенції з державного бюджету місцевим бюджетам на надання державної підтримки особам з особливими освітніми потребами</t>
  </si>
  <si>
    <t>в тому числі за рахунок субвенції з обласного бюджету за рахунок залишку коштів освітньої субвенції, що утворився на початок бюджетного періоду, на підтримку інклюзивної освіти</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</si>
  <si>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</si>
  <si>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Керівництво і управління у відповідній сфері у містах, селищах, селах</t>
  </si>
  <si>
    <t>8070</t>
  </si>
  <si>
    <t>Підготовка земельних ділянок несількогосподарського призначення або прав на них комунальної власності для продажу на земельних торгах та проведення такіх торгів</t>
  </si>
  <si>
    <t>в тому числі за рахунок субвенції з державного бюджету місцевим бюджетам на відшкодування вартості лікарських засобів для лікувіання окремих захворювань</t>
  </si>
  <si>
    <t>видатків міського бюджету  на 2017 рік</t>
  </si>
  <si>
    <t>Здійснення заходів по виготовленню та розміщенню соціальної реклами та інформації про загальнодержавні та загальноміські події, заходи та свята у м.Кам'янському</t>
  </si>
  <si>
    <t>0316010</t>
  </si>
  <si>
    <t>'Забезпечення надійного та безперебійного функціонування житлово-експлуатаційного господарства</t>
  </si>
  <si>
    <t>1419110</t>
  </si>
  <si>
    <t>4719110</t>
  </si>
  <si>
    <t>3217470</t>
  </si>
  <si>
    <t>7318600</t>
  </si>
  <si>
    <t>3216310</t>
  </si>
  <si>
    <t>Здійснення заходів з  розвитку туристичної галузі міста Кам'янське</t>
  </si>
  <si>
    <t>4716330</t>
  </si>
  <si>
    <t>6330</t>
  </si>
  <si>
    <t>Проведення невідкладних відновлювальних робіт, будівництво та реконструкція загальноосвітніх навчальних закладів</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</si>
  <si>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</si>
  <si>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в тому числі субвенція з державного бюджету місцевим бюджетам на здійснення заходів щодо соціально-економічного розвитку окремих територій</t>
  </si>
  <si>
    <t>0316310</t>
  </si>
  <si>
    <t>1516320</t>
  </si>
  <si>
    <t>Надання допомоги у вирішенні житлових питань</t>
  </si>
  <si>
    <t>1516324</t>
  </si>
  <si>
    <t>Будівництво та придбання житла для окремих категорій населення</t>
  </si>
  <si>
    <t>7616150</t>
  </si>
  <si>
    <t>6150</t>
  </si>
  <si>
    <t>0640</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</si>
  <si>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</si>
  <si>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3023</t>
  </si>
  <si>
    <t>1513023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</si>
  <si>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</si>
  <si>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Управління соціальної політики міської ради</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</si>
  <si>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t>
  </si>
  <si>
    <t>споруд та прибудинкових територій), вивезення побутового сміття та рідких нечистот) та компенсації за пільговий проїзд окремих категорій громадян</t>
  </si>
  <si>
    <t>7700</t>
  </si>
  <si>
    <t>Інші природоохоронні заходи</t>
  </si>
  <si>
    <t>в тому числі за рахунок залишку освітньої субвенції з державного бюджету місцевим бюджетам</t>
  </si>
  <si>
    <t>в тому числі за рахунок залишку медичної субвенції з державного бюджету місцевим бюджетам</t>
  </si>
  <si>
    <t>в тому числі за рахунок субвенції здержавного бюджету місцевим бюджетам на здійснення заходів щодо соціально-економічного розвитку окремих територій</t>
  </si>
  <si>
    <t>в тому числі  за рахунок залишку коштів освітньої субвенції з державного бюджету місцевим бюджетам, що утворився на початок бюджетного періоду, на підтримку інклюзивної освіти</t>
  </si>
  <si>
    <t>в тому числі  за рахунок залишку коштів освітньої субвенції з державного бюджету місцевим бюджетам, що утворився на початок бюджетного періоду створення ресурсних кімнат для дітей з особливими освітніми потребами, що потребують інклюзивної освіти</t>
  </si>
  <si>
    <t>в тому числі на виконання доручень виборців депутатами обласної ради у 2017 році</t>
  </si>
  <si>
    <t>в тому числі за рахунок субвенції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</si>
  <si>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в тому числі за рахунок субвенції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</si>
  <si>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Управління охорони здоров'я  міської ради</t>
  </si>
  <si>
    <r>
      <t>від</t>
    </r>
    <r>
      <rPr>
        <u val="single"/>
        <sz val="16"/>
        <rFont val="Times New Roman"/>
        <family val="1"/>
      </rPr>
      <t xml:space="preserve"> 17.11.2017</t>
    </r>
    <r>
      <rPr>
        <sz val="16"/>
        <rFont val="Times New Roman"/>
        <family val="1"/>
      </rPr>
      <t xml:space="preserve"> №</t>
    </r>
    <r>
      <rPr>
        <u val="single"/>
        <sz val="16"/>
        <rFont val="Times New Roman"/>
        <family val="1"/>
      </rPr>
      <t xml:space="preserve"> 867-20/VII</t>
    </r>
    <r>
      <rPr>
        <sz val="16"/>
        <rFont val="Times New Roman"/>
        <family val="1"/>
      </rPr>
      <t>)</t>
    </r>
  </si>
  <si>
    <r>
      <t xml:space="preserve">від  </t>
    </r>
    <r>
      <rPr>
        <u val="single"/>
        <sz val="16"/>
        <rFont val="Times New Roman"/>
        <family val="1"/>
      </rPr>
      <t xml:space="preserve">16.12.2016 </t>
    </r>
    <r>
      <rPr>
        <sz val="16"/>
        <rFont val="Times New Roman"/>
        <family val="1"/>
      </rPr>
      <t xml:space="preserve"> №</t>
    </r>
    <r>
      <rPr>
        <u val="single"/>
        <sz val="16"/>
        <rFont val="Times New Roman"/>
        <family val="1"/>
      </rPr>
      <t xml:space="preserve"> 560-12/VII                     </t>
    </r>
    <r>
      <rPr>
        <sz val="16"/>
        <rFont val="Times New Roman"/>
        <family val="1"/>
      </rPr>
      <t xml:space="preserve"> </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</si>
</sst>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
  </numFmts>
  <fonts count="59">
    <font>
      <sz val="10"/>
      <name val="Arial Cyr"/>
      <family val="0"/>
    </font>
    <font>
      <sz val="8"/>
      <name val="Arial Cyr"/>
      <family val="0"/>
    </font>
    <font>
      <u val="single"/>
      <sz val="10"/>
      <color indexed="12"/>
      <name val="Arial Cyr"/>
      <family val="0"/>
    </font>
    <font>
      <u val="single"/>
      <sz val="10"/>
      <color indexed="36"/>
      <name val="Arial Cyr"/>
      <family val="0"/>
    </font>
    <font>
      <sz val="14"/>
      <name val="Times New Roman"/>
      <family val="1"/>
    </font>
    <font>
      <b/>
      <sz val="14"/>
      <name val="Times New Roman"/>
      <family val="1"/>
    </font>
    <font>
      <sz val="22"/>
      <name val="Times New Roman"/>
      <family val="1"/>
    </font>
    <font>
      <sz val="11"/>
      <name val="Times New Roman"/>
      <family val="1"/>
    </font>
    <font>
      <b/>
      <sz val="11"/>
      <name val="Times New Roman"/>
      <family val="1"/>
    </font>
    <font>
      <sz val="10"/>
      <name val="Times New Roman"/>
      <family val="1"/>
    </font>
    <font>
      <sz val="7"/>
      <name val="Times New Roman"/>
      <family val="1"/>
    </font>
    <font>
      <i/>
      <sz val="11"/>
      <name val="Times New Roman"/>
      <family val="1"/>
    </font>
    <font>
      <b/>
      <i/>
      <sz val="11"/>
      <name val="Times New Roman"/>
      <family val="1"/>
    </font>
    <font>
      <b/>
      <sz val="12"/>
      <name val="Times New Roman"/>
      <family val="1"/>
    </font>
    <font>
      <sz val="12"/>
      <name val="Times New Roman"/>
      <family val="1"/>
    </font>
    <font>
      <sz val="16"/>
      <name val="Times New Roman"/>
      <family val="1"/>
    </font>
    <font>
      <u val="single"/>
      <sz val="16"/>
      <name val="Times New Roman"/>
      <family val="1"/>
    </font>
    <font>
      <b/>
      <sz val="16"/>
      <name val="Times New Roman"/>
      <family val="1"/>
    </font>
    <font>
      <sz val="11"/>
      <color indexed="10"/>
      <name val="Times New Roman"/>
      <family val="1"/>
    </font>
    <font>
      <sz val="12"/>
      <color indexed="10"/>
      <name val="Times New Roman"/>
      <family val="1"/>
    </font>
    <font>
      <i/>
      <sz val="12"/>
      <name val="Times New Roman"/>
      <family val="1"/>
    </font>
    <font>
      <sz val="16"/>
      <color indexed="10"/>
      <name val="Times New Roman"/>
      <family val="1"/>
    </font>
    <font>
      <i/>
      <sz val="10"/>
      <name val="Times New Roman"/>
      <family val="1"/>
    </font>
    <font>
      <sz val="10"/>
      <color indexed="8"/>
      <name val="Arial"/>
      <family val="2"/>
    </font>
    <font>
      <sz val="10"/>
      <color indexed="12"/>
      <name val="Times New Roman"/>
      <family val="1"/>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10"/>
      <color theme="1"/>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1" applyNumberFormat="0" applyAlignment="0" applyProtection="0"/>
    <xf numFmtId="0" fontId="45" fillId="26" borderId="2" applyNumberFormat="0" applyAlignment="0" applyProtection="0"/>
    <xf numFmtId="0" fontId="46" fillId="26"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3" fillId="0" borderId="0">
      <alignment vertical="top"/>
      <protection/>
    </xf>
    <xf numFmtId="0" fontId="50" fillId="0" borderId="6" applyNumberFormat="0" applyFill="0" applyAlignment="0" applyProtection="0"/>
    <xf numFmtId="0" fontId="51" fillId="27" borderId="7" applyNumberFormat="0" applyAlignment="0" applyProtection="0"/>
    <xf numFmtId="0" fontId="52" fillId="0" borderId="0" applyNumberFormat="0" applyFill="0" applyBorder="0" applyAlignment="0" applyProtection="0"/>
    <xf numFmtId="0" fontId="53" fillId="28" borderId="0" applyNumberFormat="0" applyBorder="0" applyAlignment="0" applyProtection="0"/>
    <xf numFmtId="0" fontId="3"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1" borderId="0" applyNumberFormat="0" applyBorder="0" applyAlignment="0" applyProtection="0"/>
  </cellStyleXfs>
  <cellXfs count="195">
    <xf numFmtId="0" fontId="0" fillId="0" borderId="0" xfId="0" applyAlignment="1">
      <alignment/>
    </xf>
    <xf numFmtId="0" fontId="4" fillId="0" borderId="0" xfId="0" applyFont="1" applyAlignment="1">
      <alignment vertical="center" wrapText="1"/>
    </xf>
    <xf numFmtId="0" fontId="5" fillId="0" borderId="0" xfId="0" applyFont="1" applyAlignment="1">
      <alignment horizontal="left" vertical="center" wrapText="1"/>
    </xf>
    <xf numFmtId="0" fontId="8" fillId="0" borderId="10" xfId="0" applyFont="1" applyBorder="1" applyAlignment="1" quotePrefix="1">
      <alignment horizontal="center" vertical="center" wrapText="1"/>
    </xf>
    <xf numFmtId="2" fontId="8" fillId="0" borderId="10" xfId="0" applyNumberFormat="1" applyFont="1" applyBorder="1" applyAlignment="1" quotePrefix="1">
      <alignment horizontal="center" vertical="center" wrapText="1"/>
    </xf>
    <xf numFmtId="49" fontId="8" fillId="0" borderId="10" xfId="0" applyNumberFormat="1" applyFont="1" applyBorder="1" applyAlignment="1" quotePrefix="1">
      <alignment horizontal="center" vertical="center" wrapText="1"/>
    </xf>
    <xf numFmtId="0" fontId="9" fillId="0" borderId="0" xfId="0" applyFont="1" applyAlignment="1">
      <alignment vertical="center" wrapText="1"/>
    </xf>
    <xf numFmtId="0" fontId="9" fillId="0" borderId="0" xfId="0" applyFont="1" applyAlignment="1">
      <alignment horizontal="right" vertical="center" wrapText="1"/>
    </xf>
    <xf numFmtId="0" fontId="10" fillId="0" borderId="0" xfId="0" applyFont="1" applyAlignment="1">
      <alignment vertical="center" wrapText="1"/>
    </xf>
    <xf numFmtId="0" fontId="7" fillId="0" borderId="10" xfId="0" applyFont="1" applyBorder="1" applyAlignment="1">
      <alignment horizontal="center" vertical="center" wrapText="1"/>
    </xf>
    <xf numFmtId="0" fontId="7" fillId="32" borderId="10" xfId="0" applyFont="1" applyFill="1" applyBorder="1" applyAlignment="1">
      <alignment horizontal="center" vertical="center" wrapText="1"/>
    </xf>
    <xf numFmtId="0" fontId="7" fillId="0" borderId="0" xfId="0" applyFont="1" applyAlignment="1">
      <alignment vertical="center" wrapText="1"/>
    </xf>
    <xf numFmtId="0" fontId="8" fillId="4" borderId="10" xfId="0" applyFont="1" applyFill="1" applyBorder="1" applyAlignment="1" quotePrefix="1">
      <alignment horizontal="center" vertical="center" wrapText="1"/>
    </xf>
    <xf numFmtId="49" fontId="8" fillId="4" borderId="10" xfId="0" applyNumberFormat="1" applyFont="1" applyFill="1" applyBorder="1" applyAlignment="1">
      <alignment horizontal="center" vertical="center" wrapText="1"/>
    </xf>
    <xf numFmtId="2" fontId="8" fillId="4" borderId="10" xfId="0" applyNumberFormat="1" applyFont="1" applyFill="1" applyBorder="1" applyAlignment="1">
      <alignment horizontal="center" vertical="center" wrapText="1"/>
    </xf>
    <xf numFmtId="4" fontId="8" fillId="4" borderId="10" xfId="0" applyNumberFormat="1" applyFont="1" applyFill="1" applyBorder="1" applyAlignment="1">
      <alignment vertical="center" wrapText="1"/>
    </xf>
    <xf numFmtId="0" fontId="8" fillId="33" borderId="10" xfId="0" applyFont="1" applyFill="1" applyBorder="1" applyAlignment="1" quotePrefix="1">
      <alignment horizontal="center" vertical="center" wrapText="1"/>
    </xf>
    <xf numFmtId="49" fontId="8" fillId="33" borderId="10" xfId="0" applyNumberFormat="1" applyFont="1" applyFill="1" applyBorder="1" applyAlignment="1">
      <alignment horizontal="center" vertical="center" wrapText="1"/>
    </xf>
    <xf numFmtId="2" fontId="8" fillId="33" borderId="10" xfId="0" applyNumberFormat="1" applyFont="1" applyFill="1" applyBorder="1" applyAlignment="1">
      <alignment horizontal="center" vertical="center" wrapText="1"/>
    </xf>
    <xf numFmtId="4" fontId="8" fillId="33" borderId="10" xfId="0" applyNumberFormat="1" applyFont="1" applyFill="1" applyBorder="1" applyAlignment="1">
      <alignment vertical="center" wrapText="1"/>
    </xf>
    <xf numFmtId="4" fontId="8" fillId="32" borderId="10" xfId="0" applyNumberFormat="1" applyFont="1" applyFill="1" applyBorder="1" applyAlignment="1">
      <alignment vertical="center" wrapText="1"/>
    </xf>
    <xf numFmtId="4" fontId="8" fillId="0" borderId="10" xfId="0" applyNumberFormat="1" applyFont="1" applyBorder="1" applyAlignment="1">
      <alignment vertical="center" wrapText="1"/>
    </xf>
    <xf numFmtId="0" fontId="7" fillId="0" borderId="10" xfId="0" applyFont="1" applyBorder="1" applyAlignment="1" quotePrefix="1">
      <alignment horizontal="center" vertical="center" wrapText="1"/>
    </xf>
    <xf numFmtId="49" fontId="7" fillId="0" borderId="10" xfId="0" applyNumberFormat="1" applyFont="1" applyBorder="1" applyAlignment="1" quotePrefix="1">
      <alignment horizontal="center" vertical="center" wrapText="1"/>
    </xf>
    <xf numFmtId="2" fontId="7" fillId="0" borderId="10" xfId="0" applyNumberFormat="1" applyFont="1" applyBorder="1" applyAlignment="1" quotePrefix="1">
      <alignment horizontal="center" vertical="center" wrapText="1"/>
    </xf>
    <xf numFmtId="4" fontId="7" fillId="32" borderId="10" xfId="0" applyNumberFormat="1" applyFont="1" applyFill="1" applyBorder="1" applyAlignment="1">
      <alignment vertical="center" wrapText="1"/>
    </xf>
    <xf numFmtId="4" fontId="7" fillId="0" borderId="10" xfId="0" applyNumberFormat="1" applyFont="1" applyBorder="1" applyAlignment="1">
      <alignment vertical="center" wrapText="1"/>
    </xf>
    <xf numFmtId="0" fontId="8" fillId="32" borderId="10" xfId="0" applyFont="1" applyFill="1" applyBorder="1" applyAlignment="1" quotePrefix="1">
      <alignment horizontal="center" vertical="center" wrapText="1"/>
    </xf>
    <xf numFmtId="49" fontId="8" fillId="32" borderId="10" xfId="0" applyNumberFormat="1" applyFont="1" applyFill="1" applyBorder="1" applyAlignment="1">
      <alignment horizontal="center" vertical="center" wrapText="1"/>
    </xf>
    <xf numFmtId="2" fontId="8" fillId="32" borderId="10" xfId="0" applyNumberFormat="1" applyFont="1" applyFill="1" applyBorder="1" applyAlignment="1">
      <alignment horizontal="center" vertical="center" wrapText="1"/>
    </xf>
    <xf numFmtId="49" fontId="8" fillId="0" borderId="10" xfId="0" applyNumberFormat="1" applyFont="1" applyBorder="1" applyAlignment="1">
      <alignment horizontal="center" vertical="center" wrapText="1"/>
    </xf>
    <xf numFmtId="2" fontId="8" fillId="0" borderId="10" xfId="0" applyNumberFormat="1" applyFont="1" applyBorder="1" applyAlignment="1">
      <alignment horizontal="center" vertical="center" wrapText="1"/>
    </xf>
    <xf numFmtId="0" fontId="7" fillId="0" borderId="11" xfId="0" applyFont="1" applyBorder="1" applyAlignment="1" quotePrefix="1">
      <alignment horizontal="center" vertical="center" wrapText="1"/>
    </xf>
    <xf numFmtId="49" fontId="7" fillId="0" borderId="11" xfId="0" applyNumberFormat="1" applyFont="1" applyBorder="1" applyAlignment="1" quotePrefix="1">
      <alignment horizontal="center" vertical="center" wrapText="1"/>
    </xf>
    <xf numFmtId="2" fontId="7" fillId="0" borderId="12" xfId="0" applyNumberFormat="1" applyFont="1" applyBorder="1" applyAlignment="1" quotePrefix="1">
      <alignment horizontal="center" vertical="center" wrapText="1"/>
    </xf>
    <xf numFmtId="4" fontId="7" fillId="0" borderId="11" xfId="0" applyNumberFormat="1" applyFont="1" applyBorder="1" applyAlignment="1">
      <alignment vertical="center" wrapText="1"/>
    </xf>
    <xf numFmtId="0" fontId="7" fillId="0" borderId="13" xfId="0" applyFont="1" applyBorder="1" applyAlignment="1" quotePrefix="1">
      <alignment horizontal="center" vertical="center" wrapText="1"/>
    </xf>
    <xf numFmtId="49" fontId="7" fillId="0" borderId="13" xfId="0" applyNumberFormat="1" applyFont="1" applyBorder="1" applyAlignment="1" quotePrefix="1">
      <alignment horizontal="center" vertical="center" wrapText="1"/>
    </xf>
    <xf numFmtId="2" fontId="7" fillId="0" borderId="14" xfId="0" applyNumberFormat="1" applyFont="1" applyBorder="1" applyAlignment="1" quotePrefix="1">
      <alignment horizontal="center" vertical="center" wrapText="1"/>
    </xf>
    <xf numFmtId="4" fontId="7" fillId="0" borderId="13" xfId="0" applyNumberFormat="1" applyFont="1" applyBorder="1" applyAlignment="1">
      <alignment horizontal="center" vertical="center" wrapText="1"/>
    </xf>
    <xf numFmtId="4" fontId="7" fillId="32" borderId="13" xfId="0" applyNumberFormat="1" applyFont="1" applyFill="1" applyBorder="1" applyAlignment="1">
      <alignment horizontal="center" vertical="center" wrapText="1"/>
    </xf>
    <xf numFmtId="0" fontId="7" fillId="33" borderId="0" xfId="0" applyFont="1" applyFill="1" applyAlignment="1">
      <alignment vertical="center" wrapText="1"/>
    </xf>
    <xf numFmtId="0" fontId="11" fillId="0" borderId="10" xfId="0" applyFont="1" applyBorder="1" applyAlignment="1" quotePrefix="1">
      <alignment horizontal="center" vertical="center" wrapText="1"/>
    </xf>
    <xf numFmtId="49" fontId="11" fillId="0" borderId="10" xfId="0" applyNumberFormat="1" applyFont="1" applyBorder="1" applyAlignment="1" quotePrefix="1">
      <alignment horizontal="center" vertical="center" wrapText="1"/>
    </xf>
    <xf numFmtId="2" fontId="11" fillId="0" borderId="10" xfId="0" applyNumberFormat="1" applyFont="1" applyBorder="1" applyAlignment="1" quotePrefix="1">
      <alignment horizontal="center" vertical="center" wrapText="1"/>
    </xf>
    <xf numFmtId="4" fontId="11" fillId="32" borderId="10" xfId="0" applyNumberFormat="1" applyFont="1" applyFill="1" applyBorder="1" applyAlignment="1">
      <alignment vertical="center" wrapText="1"/>
    </xf>
    <xf numFmtId="4" fontId="11" fillId="0" borderId="10" xfId="0" applyNumberFormat="1" applyFont="1" applyBorder="1" applyAlignment="1">
      <alignment vertical="center" wrapText="1"/>
    </xf>
    <xf numFmtId="0" fontId="11" fillId="0" borderId="0" xfId="0" applyFont="1" applyAlignment="1">
      <alignment vertical="center" wrapText="1"/>
    </xf>
    <xf numFmtId="0" fontId="12" fillId="0" borderId="10" xfId="0" applyFont="1" applyBorder="1" applyAlignment="1" quotePrefix="1">
      <alignment horizontal="center" vertical="center" wrapText="1"/>
    </xf>
    <xf numFmtId="49" fontId="12" fillId="0" borderId="10" xfId="0" applyNumberFormat="1" applyFont="1" applyBorder="1" applyAlignment="1" quotePrefix="1">
      <alignment horizontal="center" vertical="center" wrapText="1"/>
    </xf>
    <xf numFmtId="2" fontId="12" fillId="0" borderId="10" xfId="0" applyNumberFormat="1" applyFont="1" applyBorder="1" applyAlignment="1" quotePrefix="1">
      <alignment horizontal="center" vertical="center" wrapText="1"/>
    </xf>
    <xf numFmtId="4" fontId="12" fillId="0" borderId="10" xfId="0" applyNumberFormat="1" applyFont="1" applyBorder="1" applyAlignment="1">
      <alignment vertical="center" wrapText="1"/>
    </xf>
    <xf numFmtId="4" fontId="12" fillId="32" borderId="10" xfId="0" applyNumberFormat="1" applyFont="1" applyFill="1" applyBorder="1" applyAlignment="1">
      <alignment vertical="center" wrapText="1"/>
    </xf>
    <xf numFmtId="0" fontId="8" fillId="0" borderId="0" xfId="0" applyFont="1" applyAlignment="1">
      <alignment vertical="center" wrapText="1"/>
    </xf>
    <xf numFmtId="0" fontId="8" fillId="32" borderId="10" xfId="0" applyFont="1" applyFill="1" applyBorder="1" applyAlignment="1">
      <alignment horizontal="center" vertical="center" wrapText="1"/>
    </xf>
    <xf numFmtId="0" fontId="7" fillId="32" borderId="10" xfId="0" applyFont="1" applyFill="1" applyBorder="1" applyAlignment="1">
      <alignment horizontal="right" vertical="center" wrapText="1"/>
    </xf>
    <xf numFmtId="4" fontId="8" fillId="4" borderId="10" xfId="0" applyNumberFormat="1" applyFont="1" applyFill="1" applyBorder="1" applyAlignment="1">
      <alignment horizontal="right" vertical="center" wrapText="1"/>
    </xf>
    <xf numFmtId="4" fontId="8" fillId="33" borderId="10" xfId="0" applyNumberFormat="1" applyFont="1" applyFill="1" applyBorder="1" applyAlignment="1">
      <alignment horizontal="right" vertical="center" wrapText="1"/>
    </xf>
    <xf numFmtId="4" fontId="8" fillId="32" borderId="10" xfId="0" applyNumberFormat="1" applyFont="1" applyFill="1" applyBorder="1" applyAlignment="1">
      <alignment horizontal="right" vertical="center" wrapText="1"/>
    </xf>
    <xf numFmtId="4" fontId="7" fillId="32" borderId="10" xfId="0" applyNumberFormat="1" applyFont="1" applyFill="1" applyBorder="1" applyAlignment="1">
      <alignment horizontal="right" vertical="center" wrapText="1"/>
    </xf>
    <xf numFmtId="4" fontId="7" fillId="32" borderId="15" xfId="0" applyNumberFormat="1" applyFont="1" applyFill="1" applyBorder="1" applyAlignment="1">
      <alignment horizontal="right" vertical="center" wrapText="1"/>
    </xf>
    <xf numFmtId="4" fontId="11" fillId="32" borderId="10" xfId="0" applyNumberFormat="1" applyFont="1" applyFill="1" applyBorder="1" applyAlignment="1">
      <alignment horizontal="right" vertical="center" wrapText="1"/>
    </xf>
    <xf numFmtId="4" fontId="12" fillId="32" borderId="10" xfId="0" applyNumberFormat="1" applyFont="1" applyFill="1" applyBorder="1" applyAlignment="1">
      <alignment horizontal="right" vertical="center" wrapText="1"/>
    </xf>
    <xf numFmtId="0" fontId="4" fillId="0" borderId="0" xfId="0" applyFont="1" applyAlignment="1">
      <alignment horizontal="right" vertical="center" wrapText="1"/>
    </xf>
    <xf numFmtId="49" fontId="8" fillId="33" borderId="10" xfId="0" applyNumberFormat="1" applyFont="1" applyFill="1" applyBorder="1" applyAlignment="1" quotePrefix="1">
      <alignment horizontal="center" vertical="center" wrapText="1"/>
    </xf>
    <xf numFmtId="2" fontId="8" fillId="33" borderId="10" xfId="0" applyNumberFormat="1" applyFont="1" applyFill="1" applyBorder="1" applyAlignment="1" quotePrefix="1">
      <alignment horizontal="center" vertical="center" wrapText="1"/>
    </xf>
    <xf numFmtId="0" fontId="13" fillId="4" borderId="10" xfId="0" applyFont="1" applyFill="1" applyBorder="1" applyAlignment="1" quotePrefix="1">
      <alignment horizontal="center" vertical="center" wrapText="1"/>
    </xf>
    <xf numFmtId="49" fontId="13" fillId="4" borderId="10" xfId="0" applyNumberFormat="1" applyFont="1" applyFill="1" applyBorder="1" applyAlignment="1">
      <alignment horizontal="center" vertical="center" wrapText="1"/>
    </xf>
    <xf numFmtId="2" fontId="13" fillId="4" borderId="10" xfId="0" applyNumberFormat="1" applyFont="1" applyFill="1" applyBorder="1" applyAlignment="1">
      <alignment horizontal="center" vertical="center" wrapText="1"/>
    </xf>
    <xf numFmtId="4" fontId="13" fillId="4" borderId="10" xfId="0" applyNumberFormat="1" applyFont="1" applyFill="1" applyBorder="1" applyAlignment="1">
      <alignment horizontal="right" vertical="center" wrapText="1"/>
    </xf>
    <xf numFmtId="4" fontId="13" fillId="4" borderId="10" xfId="0" applyNumberFormat="1" applyFont="1" applyFill="1" applyBorder="1" applyAlignment="1">
      <alignment vertical="center" wrapText="1"/>
    </xf>
    <xf numFmtId="0" fontId="14" fillId="0" borderId="0" xfId="0" applyFont="1" applyAlignment="1">
      <alignment vertical="center" wrapText="1"/>
    </xf>
    <xf numFmtId="2" fontId="13" fillId="4" borderId="10" xfId="0" applyNumberFormat="1" applyFont="1" applyFill="1" applyBorder="1" applyAlignment="1" quotePrefix="1">
      <alignment vertical="center" wrapText="1"/>
    </xf>
    <xf numFmtId="2" fontId="8" fillId="0" borderId="10" xfId="0" applyNumberFormat="1" applyFont="1" applyBorder="1" applyAlignment="1" quotePrefix="1">
      <alignment vertical="center" wrapText="1"/>
    </xf>
    <xf numFmtId="2" fontId="8" fillId="33" borderId="10" xfId="0" applyNumberFormat="1" applyFont="1" applyFill="1" applyBorder="1" applyAlignment="1" quotePrefix="1">
      <alignment vertical="center" wrapText="1"/>
    </xf>
    <xf numFmtId="2" fontId="7" fillId="0" borderId="10" xfId="0" applyNumberFormat="1" applyFont="1" applyBorder="1" applyAlignment="1" quotePrefix="1">
      <alignment vertical="center" wrapText="1"/>
    </xf>
    <xf numFmtId="2" fontId="8" fillId="33" borderId="10" xfId="0" applyNumberFormat="1" applyFont="1" applyFill="1" applyBorder="1" applyAlignment="1">
      <alignment vertical="center" wrapText="1"/>
    </xf>
    <xf numFmtId="2" fontId="7" fillId="0" borderId="10" xfId="0" applyNumberFormat="1" applyFont="1" applyBorder="1" applyAlignment="1">
      <alignment vertical="center" wrapText="1"/>
    </xf>
    <xf numFmtId="2" fontId="8" fillId="32" borderId="10" xfId="0" applyNumberFormat="1" applyFont="1" applyFill="1" applyBorder="1" applyAlignment="1" quotePrefix="1">
      <alignment vertical="center" wrapText="1"/>
    </xf>
    <xf numFmtId="2" fontId="8" fillId="4" borderId="10" xfId="0" applyNumberFormat="1" applyFont="1" applyFill="1" applyBorder="1" applyAlignment="1" quotePrefix="1">
      <alignment vertical="center" wrapText="1"/>
    </xf>
    <xf numFmtId="0" fontId="7" fillId="33" borderId="10" xfId="0" applyFont="1" applyFill="1" applyBorder="1" applyAlignment="1">
      <alignment horizontal="justify" vertical="center" wrapText="1"/>
    </xf>
    <xf numFmtId="2" fontId="7" fillId="0" borderId="0" xfId="0" applyNumberFormat="1" applyFont="1" applyAlignment="1">
      <alignment vertical="center" wrapText="1"/>
    </xf>
    <xf numFmtId="0" fontId="7" fillId="0" borderId="16" xfId="0" applyFont="1" applyBorder="1" applyAlignment="1">
      <alignment vertical="center" wrapText="1"/>
    </xf>
    <xf numFmtId="0" fontId="7" fillId="0" borderId="12" xfId="0" applyFont="1" applyBorder="1" applyAlignment="1">
      <alignment horizontal="justify" vertical="center" wrapText="1"/>
    </xf>
    <xf numFmtId="0" fontId="7" fillId="0" borderId="14" xfId="0" applyNumberFormat="1" applyFont="1" applyBorder="1" applyAlignment="1">
      <alignment horizontal="justify" vertical="center" wrapText="1"/>
    </xf>
    <xf numFmtId="2" fontId="7" fillId="0" borderId="14" xfId="0" applyNumberFormat="1" applyFont="1" applyBorder="1" applyAlignment="1" quotePrefix="1">
      <alignment vertical="center" wrapText="1"/>
    </xf>
    <xf numFmtId="0" fontId="7" fillId="0" borderId="0" xfId="0" applyFont="1" applyAlignment="1">
      <alignment horizontal="justify" vertical="center" wrapText="1"/>
    </xf>
    <xf numFmtId="2" fontId="7" fillId="0" borderId="16" xfId="0" applyNumberFormat="1" applyFont="1" applyBorder="1" applyAlignment="1" quotePrefix="1">
      <alignment vertical="center" wrapText="1"/>
    </xf>
    <xf numFmtId="2" fontId="8" fillId="33" borderId="16" xfId="0" applyNumberFormat="1" applyFont="1" applyFill="1" applyBorder="1" applyAlignment="1" quotePrefix="1">
      <alignment vertical="center" wrapText="1"/>
    </xf>
    <xf numFmtId="0" fontId="8" fillId="33" borderId="10" xfId="0" applyFont="1" applyFill="1" applyBorder="1" applyAlignment="1">
      <alignment horizontal="justify" vertical="center" wrapText="1"/>
    </xf>
    <xf numFmtId="0" fontId="7" fillId="0" borderId="10" xfId="0" applyFont="1" applyBorder="1" applyAlignment="1">
      <alignment vertical="center" wrapText="1"/>
    </xf>
    <xf numFmtId="0" fontId="7" fillId="0" borderId="11" xfId="0" applyFont="1" applyBorder="1" applyAlignment="1">
      <alignment horizontal="justify" vertical="center" wrapText="1"/>
    </xf>
    <xf numFmtId="0" fontId="7" fillId="0" borderId="13" xfId="0" applyNumberFormat="1" applyFont="1" applyBorder="1" applyAlignment="1">
      <alignment horizontal="justify" vertical="center" wrapText="1"/>
    </xf>
    <xf numFmtId="2" fontId="7" fillId="0" borderId="13" xfId="0" applyNumberFormat="1" applyFont="1" applyBorder="1" applyAlignment="1" quotePrefix="1">
      <alignment vertical="center" wrapText="1"/>
    </xf>
    <xf numFmtId="2" fontId="11" fillId="0" borderId="10" xfId="0" applyNumberFormat="1" applyFont="1" applyBorder="1" applyAlignment="1">
      <alignment horizontal="right" vertical="center" wrapText="1"/>
    </xf>
    <xf numFmtId="2" fontId="8" fillId="0" borderId="10" xfId="0" applyNumberFormat="1" applyFont="1" applyBorder="1" applyAlignment="1">
      <alignment vertical="center" wrapText="1"/>
    </xf>
    <xf numFmtId="2" fontId="8" fillId="32" borderId="10" xfId="0" applyNumberFormat="1" applyFont="1" applyFill="1" applyBorder="1" applyAlignment="1">
      <alignment vertical="center" wrapText="1"/>
    </xf>
    <xf numFmtId="0" fontId="7" fillId="4" borderId="0" xfId="0" applyFont="1" applyFill="1" applyAlignment="1">
      <alignment vertical="center" wrapText="1"/>
    </xf>
    <xf numFmtId="0" fontId="14" fillId="4" borderId="0" xfId="0" applyFont="1" applyFill="1" applyAlignment="1">
      <alignment vertical="center" wrapText="1"/>
    </xf>
    <xf numFmtId="0" fontId="7" fillId="32" borderId="0" xfId="0" applyFont="1" applyFill="1" applyAlignment="1">
      <alignment vertical="center" wrapText="1"/>
    </xf>
    <xf numFmtId="0" fontId="8" fillId="32" borderId="0" xfId="0" applyFont="1" applyFill="1" applyAlignment="1">
      <alignment vertical="center" wrapText="1"/>
    </xf>
    <xf numFmtId="0" fontId="15" fillId="0" borderId="0" xfId="0" applyFont="1" applyAlignment="1">
      <alignment vertical="center" wrapText="1"/>
    </xf>
    <xf numFmtId="0" fontId="15" fillId="0" borderId="0" xfId="0" applyFont="1" applyAlignment="1">
      <alignment horizontal="right" vertical="center" wrapText="1"/>
    </xf>
    <xf numFmtId="0" fontId="17" fillId="0" borderId="0" xfId="0" applyFont="1" applyAlignment="1">
      <alignment horizontal="left" vertical="center" wrapText="1"/>
    </xf>
    <xf numFmtId="0" fontId="7" fillId="0" borderId="10" xfId="0" applyFont="1" applyBorder="1" applyAlignment="1">
      <alignment horizontal="justify" vertical="center" wrapText="1"/>
    </xf>
    <xf numFmtId="4" fontId="7" fillId="0" borderId="10" xfId="0" applyNumberFormat="1" applyFont="1" applyBorder="1" applyAlignment="1">
      <alignment horizontal="center" vertical="center" wrapText="1"/>
    </xf>
    <xf numFmtId="4" fontId="7" fillId="32" borderId="10" xfId="0" applyNumberFormat="1" applyFont="1" applyFill="1" applyBorder="1" applyAlignment="1">
      <alignment horizontal="center" vertical="center" wrapText="1"/>
    </xf>
    <xf numFmtId="0" fontId="7" fillId="0" borderId="10" xfId="0" applyNumberFormat="1" applyFont="1" applyBorder="1" applyAlignment="1">
      <alignment horizontal="justify" vertical="center" wrapText="1"/>
    </xf>
    <xf numFmtId="4" fontId="7" fillId="0" borderId="0" xfId="0" applyNumberFormat="1" applyFont="1" applyAlignment="1">
      <alignment vertical="center" wrapText="1"/>
    </xf>
    <xf numFmtId="4" fontId="15" fillId="0" borderId="0" xfId="0" applyNumberFormat="1" applyFont="1" applyAlignment="1">
      <alignment vertical="center" wrapText="1"/>
    </xf>
    <xf numFmtId="49" fontId="9" fillId="0" borderId="0" xfId="0" applyNumberFormat="1" applyFont="1" applyAlignment="1">
      <alignment horizontal="right" vertical="center" wrapText="1"/>
    </xf>
    <xf numFmtId="4" fontId="9" fillId="0" borderId="0" xfId="0" applyNumberFormat="1" applyFont="1" applyAlignment="1">
      <alignment vertical="center" wrapText="1"/>
    </xf>
    <xf numFmtId="4" fontId="9" fillId="0" borderId="0" xfId="0" applyNumberFormat="1" applyFont="1" applyAlignment="1">
      <alignment horizontal="right" vertical="center" wrapText="1"/>
    </xf>
    <xf numFmtId="2" fontId="11" fillId="0" borderId="10" xfId="0" applyNumberFormat="1" applyFont="1" applyBorder="1" applyAlignment="1">
      <alignment vertical="center" wrapText="1"/>
    </xf>
    <xf numFmtId="0" fontId="18" fillId="0" borderId="0" xfId="0" applyFont="1" applyAlignment="1">
      <alignment vertical="center" wrapText="1"/>
    </xf>
    <xf numFmtId="4" fontId="18" fillId="0" borderId="0" xfId="0" applyNumberFormat="1" applyFont="1" applyAlignment="1">
      <alignment vertical="center" wrapText="1"/>
    </xf>
    <xf numFmtId="4" fontId="14" fillId="0" borderId="0" xfId="0" applyNumberFormat="1" applyFont="1" applyAlignment="1">
      <alignment vertical="center" wrapText="1"/>
    </xf>
    <xf numFmtId="4" fontId="7" fillId="4" borderId="0" xfId="0" applyNumberFormat="1" applyFont="1" applyFill="1" applyAlignment="1">
      <alignment vertical="center" wrapText="1"/>
    </xf>
    <xf numFmtId="4" fontId="14" fillId="4" borderId="0" xfId="0" applyNumberFormat="1" applyFont="1" applyFill="1" applyAlignment="1">
      <alignment vertical="center" wrapText="1"/>
    </xf>
    <xf numFmtId="4" fontId="8" fillId="0" borderId="0" xfId="0" applyNumberFormat="1" applyFont="1" applyAlignment="1">
      <alignment vertical="center" wrapText="1"/>
    </xf>
    <xf numFmtId="4" fontId="7" fillId="33" borderId="0" xfId="0" applyNumberFormat="1" applyFont="1" applyFill="1" applyAlignment="1">
      <alignment vertical="center" wrapText="1"/>
    </xf>
    <xf numFmtId="4" fontId="8" fillId="32" borderId="0" xfId="0" applyNumberFormat="1" applyFont="1" applyFill="1" applyAlignment="1">
      <alignment vertical="center" wrapText="1"/>
    </xf>
    <xf numFmtId="4" fontId="7" fillId="32" borderId="0" xfId="0" applyNumberFormat="1" applyFont="1" applyFill="1" applyAlignment="1">
      <alignment vertical="center" wrapText="1"/>
    </xf>
    <xf numFmtId="4" fontId="19" fillId="4" borderId="0" xfId="0" applyNumberFormat="1" applyFont="1" applyFill="1" applyAlignment="1">
      <alignment vertical="center" wrapText="1"/>
    </xf>
    <xf numFmtId="2" fontId="11" fillId="0" borderId="10" xfId="0" applyNumberFormat="1" applyFont="1" applyFill="1" applyBorder="1" applyAlignment="1" quotePrefix="1">
      <alignment horizontal="center" vertical="center" wrapText="1"/>
    </xf>
    <xf numFmtId="2" fontId="11" fillId="0" borderId="10" xfId="0" applyNumberFormat="1" applyFont="1" applyFill="1" applyBorder="1" applyAlignment="1">
      <alignment vertical="center" wrapText="1"/>
    </xf>
    <xf numFmtId="49" fontId="11" fillId="0" borderId="10" xfId="0" applyNumberFormat="1" applyFont="1" applyBorder="1" applyAlignment="1">
      <alignment horizontal="center" vertical="center" wrapText="1"/>
    </xf>
    <xf numFmtId="0" fontId="11" fillId="0" borderId="10" xfId="0" applyFont="1" applyFill="1" applyBorder="1" applyAlignment="1" quotePrefix="1">
      <alignment horizontal="center" vertical="center" wrapText="1"/>
    </xf>
    <xf numFmtId="49" fontId="11" fillId="0" borderId="10" xfId="0" applyNumberFormat="1" applyFont="1" applyFill="1" applyBorder="1" applyAlignment="1">
      <alignment horizontal="center" vertical="center" wrapText="1"/>
    </xf>
    <xf numFmtId="4" fontId="11" fillId="0" borderId="0" xfId="0" applyNumberFormat="1" applyFont="1" applyAlignment="1">
      <alignment vertical="center" wrapText="1"/>
    </xf>
    <xf numFmtId="3" fontId="11" fillId="0" borderId="10" xfId="0" applyNumberFormat="1" applyFont="1" applyBorder="1" applyAlignment="1">
      <alignment vertical="center" wrapText="1"/>
    </xf>
    <xf numFmtId="3" fontId="11" fillId="32" borderId="10" xfId="0" applyNumberFormat="1" applyFont="1" applyFill="1" applyBorder="1" applyAlignment="1">
      <alignment vertical="center" wrapText="1"/>
    </xf>
    <xf numFmtId="2" fontId="20" fillId="0" borderId="10" xfId="0" applyNumberFormat="1" applyFont="1" applyBorder="1" applyAlignment="1">
      <alignment vertical="center" wrapText="1"/>
    </xf>
    <xf numFmtId="4" fontId="8" fillId="33" borderId="0" xfId="0" applyNumberFormat="1" applyFont="1" applyFill="1" applyAlignment="1">
      <alignment vertical="center" wrapText="1"/>
    </xf>
    <xf numFmtId="0" fontId="8" fillId="33" borderId="0" xfId="0" applyFont="1" applyFill="1" applyAlignment="1">
      <alignment vertical="center" wrapText="1"/>
    </xf>
    <xf numFmtId="4" fontId="8" fillId="0" borderId="10" xfId="0" applyNumberFormat="1" applyFont="1" applyFill="1" applyBorder="1" applyAlignment="1">
      <alignment vertical="center" wrapText="1"/>
    </xf>
    <xf numFmtId="4" fontId="7" fillId="0" borderId="0" xfId="0" applyNumberFormat="1" applyFont="1" applyFill="1" applyAlignment="1">
      <alignment vertical="center" wrapText="1"/>
    </xf>
    <xf numFmtId="0" fontId="7" fillId="0" borderId="0" xfId="0" applyFont="1" applyFill="1" applyAlignment="1">
      <alignment vertical="center" wrapText="1"/>
    </xf>
    <xf numFmtId="2" fontId="8" fillId="4" borderId="10" xfId="0" applyNumberFormat="1" applyFont="1" applyFill="1" applyBorder="1" applyAlignment="1" quotePrefix="1">
      <alignment vertical="top" wrapText="1"/>
    </xf>
    <xf numFmtId="4" fontId="7" fillId="4" borderId="10" xfId="0" applyNumberFormat="1" applyFont="1" applyFill="1" applyBorder="1" applyAlignment="1">
      <alignment vertical="center" wrapText="1"/>
    </xf>
    <xf numFmtId="0" fontId="7" fillId="4" borderId="10" xfId="0" applyFont="1" applyFill="1" applyBorder="1" applyAlignment="1">
      <alignment vertical="center" wrapText="1"/>
    </xf>
    <xf numFmtId="0" fontId="8" fillId="0" borderId="10" xfId="0" applyFont="1" applyFill="1" applyBorder="1" applyAlignment="1" quotePrefix="1">
      <alignment horizontal="center" vertical="center" wrapText="1"/>
    </xf>
    <xf numFmtId="49" fontId="8" fillId="0" borderId="10" xfId="0" applyNumberFormat="1" applyFont="1" applyFill="1" applyBorder="1" applyAlignment="1">
      <alignment horizontal="center" vertical="center" wrapText="1"/>
    </xf>
    <xf numFmtId="2" fontId="8" fillId="0" borderId="10" xfId="0" applyNumberFormat="1" applyFont="1" applyFill="1" applyBorder="1" applyAlignment="1">
      <alignment horizontal="center" vertical="center" wrapText="1"/>
    </xf>
    <xf numFmtId="0" fontId="8" fillId="0" borderId="10" xfId="0" applyFont="1" applyBorder="1" applyAlignment="1">
      <alignment horizontal="center" vertical="top" wrapText="1"/>
    </xf>
    <xf numFmtId="0" fontId="7" fillId="0" borderId="10" xfId="0" applyFont="1" applyBorder="1" applyAlignment="1">
      <alignment horizontal="center" vertical="top" wrapText="1"/>
    </xf>
    <xf numFmtId="0" fontId="8" fillId="0" borderId="10" xfId="0" applyFont="1" applyBorder="1" applyAlignment="1">
      <alignment vertical="top" wrapText="1"/>
    </xf>
    <xf numFmtId="0" fontId="7" fillId="0" borderId="10" xfId="0" applyFont="1" applyBorder="1" applyAlignment="1">
      <alignment vertical="top" wrapText="1"/>
    </xf>
    <xf numFmtId="0" fontId="7" fillId="0" borderId="10" xfId="0" applyFont="1" applyBorder="1" applyAlignment="1">
      <alignment horizontal="justify" vertical="top" wrapText="1"/>
    </xf>
    <xf numFmtId="0" fontId="7" fillId="0" borderId="10" xfId="0" applyFont="1" applyFill="1" applyBorder="1" applyAlignment="1">
      <alignment horizontal="center" vertical="top" wrapText="1"/>
    </xf>
    <xf numFmtId="0" fontId="7" fillId="0" borderId="10" xfId="0" applyFont="1" applyFill="1" applyBorder="1" applyAlignment="1">
      <alignment vertical="top" wrapText="1"/>
    </xf>
    <xf numFmtId="0" fontId="8" fillId="33" borderId="10" xfId="0" applyFont="1" applyFill="1" applyBorder="1" applyAlignment="1">
      <alignment horizontal="center" vertical="top" wrapText="1"/>
    </xf>
    <xf numFmtId="0" fontId="8" fillId="33" borderId="10" xfId="0" applyFont="1" applyFill="1" applyBorder="1" applyAlignment="1">
      <alignment vertical="top" wrapText="1"/>
    </xf>
    <xf numFmtId="0" fontId="8" fillId="0" borderId="10" xfId="0" applyNumberFormat="1" applyFont="1" applyBorder="1" applyAlignment="1" quotePrefix="1">
      <alignment horizontal="center" vertical="center" wrapText="1"/>
    </xf>
    <xf numFmtId="4" fontId="11" fillId="34" borderId="10" xfId="0" applyNumberFormat="1" applyFont="1" applyFill="1" applyBorder="1" applyAlignment="1" applyProtection="1">
      <alignment horizontal="right" vertical="center" wrapText="1"/>
      <protection/>
    </xf>
    <xf numFmtId="0" fontId="8" fillId="32" borderId="10" xfId="0" applyFont="1" applyFill="1" applyBorder="1" applyAlignment="1">
      <alignment horizontal="center" vertical="top" wrapText="1"/>
    </xf>
    <xf numFmtId="0" fontId="8" fillId="32" borderId="10" xfId="0" applyFont="1" applyFill="1" applyBorder="1" applyAlignment="1">
      <alignment vertical="top" wrapText="1"/>
    </xf>
    <xf numFmtId="4" fontId="8" fillId="33" borderId="13" xfId="0" applyNumberFormat="1" applyFont="1" applyFill="1" applyBorder="1" applyAlignment="1">
      <alignment vertical="center" wrapText="1"/>
    </xf>
    <xf numFmtId="4" fontId="8" fillId="0" borderId="11" xfId="0" applyNumberFormat="1" applyFont="1" applyFill="1" applyBorder="1" applyAlignment="1">
      <alignment vertical="center" wrapText="1"/>
    </xf>
    <xf numFmtId="192" fontId="22" fillId="0" borderId="10" xfId="49" applyNumberFormat="1" applyFont="1" applyBorder="1" applyAlignment="1">
      <alignment vertical="center" wrapText="1"/>
      <protection/>
    </xf>
    <xf numFmtId="2" fontId="11" fillId="0" borderId="10" xfId="0" applyNumberFormat="1" applyFont="1" applyBorder="1" applyAlignment="1" quotePrefix="1">
      <alignment vertical="center" wrapText="1"/>
    </xf>
    <xf numFmtId="4" fontId="4" fillId="0" borderId="0" xfId="0" applyNumberFormat="1" applyFont="1" applyAlignment="1">
      <alignment vertical="center" wrapText="1"/>
    </xf>
    <xf numFmtId="4" fontId="24" fillId="0" borderId="0" xfId="0" applyNumberFormat="1" applyFont="1" applyAlignment="1">
      <alignment vertical="center" wrapText="1"/>
    </xf>
    <xf numFmtId="4" fontId="7" fillId="0" borderId="11" xfId="0" applyNumberFormat="1" applyFont="1" applyBorder="1" applyAlignment="1">
      <alignment horizontal="center" vertical="center" wrapText="1"/>
    </xf>
    <xf numFmtId="4" fontId="7" fillId="0" borderId="13" xfId="0" applyNumberFormat="1" applyFont="1" applyBorder="1" applyAlignment="1">
      <alignment horizontal="center" vertical="center" wrapText="1"/>
    </xf>
    <xf numFmtId="4" fontId="7" fillId="32" borderId="17" xfId="0" applyNumberFormat="1" applyFont="1" applyFill="1" applyBorder="1" applyAlignment="1">
      <alignment horizontal="right" vertical="center" wrapText="1"/>
    </xf>
    <xf numFmtId="4" fontId="7" fillId="32" borderId="15" xfId="0" applyNumberFormat="1" applyFont="1" applyFill="1" applyBorder="1" applyAlignment="1">
      <alignment horizontal="right" vertical="center" wrapText="1"/>
    </xf>
    <xf numFmtId="4" fontId="7" fillId="32" borderId="11" xfId="0" applyNumberFormat="1" applyFont="1" applyFill="1" applyBorder="1" applyAlignment="1">
      <alignment horizontal="center" vertical="center" wrapText="1"/>
    </xf>
    <xf numFmtId="4" fontId="7" fillId="32" borderId="13" xfId="0" applyNumberFormat="1" applyFont="1" applyFill="1" applyBorder="1" applyAlignment="1">
      <alignment horizontal="center" vertical="center" wrapText="1"/>
    </xf>
    <xf numFmtId="4" fontId="8" fillId="4" borderId="11" xfId="0" applyNumberFormat="1" applyFont="1" applyFill="1" applyBorder="1" applyAlignment="1">
      <alignment horizontal="center" vertical="center" wrapText="1"/>
    </xf>
    <xf numFmtId="4" fontId="8" fillId="4" borderId="13" xfId="0" applyNumberFormat="1" applyFont="1" applyFill="1" applyBorder="1" applyAlignment="1">
      <alignment horizontal="center" vertical="center" wrapText="1"/>
    </xf>
    <xf numFmtId="0" fontId="15" fillId="0" borderId="0" xfId="0" applyFont="1" applyAlignment="1">
      <alignment horizontal="center" vertical="center" wrapText="1"/>
    </xf>
    <xf numFmtId="4" fontId="8" fillId="0" borderId="11" xfId="0" applyNumberFormat="1" applyFont="1" applyFill="1" applyBorder="1" applyAlignment="1">
      <alignment horizontal="center" vertical="center" wrapText="1"/>
    </xf>
    <xf numFmtId="4" fontId="8" fillId="0" borderId="13"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7" fillId="32" borderId="10" xfId="0" applyFont="1" applyFill="1" applyBorder="1" applyAlignment="1">
      <alignment horizontal="right" vertical="center" wrapText="1"/>
    </xf>
    <xf numFmtId="0" fontId="7" fillId="0" borderId="10" xfId="0" applyFont="1" applyBorder="1" applyAlignment="1">
      <alignment horizontal="right" vertical="center" wrapText="1"/>
    </xf>
    <xf numFmtId="0" fontId="15" fillId="0" borderId="0" xfId="0" applyFont="1" applyAlignment="1">
      <alignment horizontal="left" vertical="center" wrapText="1"/>
    </xf>
    <xf numFmtId="0" fontId="21" fillId="0" borderId="0" xfId="0" applyFont="1" applyAlignment="1">
      <alignment horizontal="left" vertical="center" wrapText="1"/>
    </xf>
    <xf numFmtId="0" fontId="7" fillId="32" borderId="10" xfId="0" applyFont="1" applyFill="1" applyBorder="1" applyAlignment="1">
      <alignment horizontal="center" vertical="center" wrapText="1"/>
    </xf>
    <xf numFmtId="0" fontId="8" fillId="0" borderId="10" xfId="0" applyFont="1" applyBorder="1" applyAlignment="1">
      <alignment horizontal="center" vertical="top" wrapText="1"/>
    </xf>
    <xf numFmtId="4" fontId="7" fillId="32" borderId="10" xfId="0" applyNumberFormat="1" applyFont="1" applyFill="1" applyBorder="1" applyAlignment="1">
      <alignment horizontal="right" vertical="center" wrapText="1"/>
    </xf>
    <xf numFmtId="0" fontId="7" fillId="0" borderId="11" xfId="0" applyFont="1" applyBorder="1" applyAlignment="1" quotePrefix="1">
      <alignment horizontal="center" vertical="center" wrapText="1"/>
    </xf>
    <xf numFmtId="0" fontId="7" fillId="0" borderId="13" xfId="0" applyFont="1" applyBorder="1" applyAlignment="1" quotePrefix="1">
      <alignment horizontal="center" vertical="center" wrapText="1"/>
    </xf>
    <xf numFmtId="49" fontId="7" fillId="0" borderId="11" xfId="0" applyNumberFormat="1" applyFont="1" applyBorder="1" applyAlignment="1" quotePrefix="1">
      <alignment horizontal="center" vertical="center" wrapText="1"/>
    </xf>
    <xf numFmtId="49" fontId="7" fillId="0" borderId="13" xfId="0" applyNumberFormat="1" applyFont="1" applyBorder="1" applyAlignment="1" quotePrefix="1">
      <alignment horizontal="center" vertical="center" wrapText="1"/>
    </xf>
    <xf numFmtId="4" fontId="8" fillId="0" borderId="10" xfId="0" applyNumberFormat="1" applyFont="1" applyFill="1" applyBorder="1" applyAlignment="1">
      <alignment horizontal="center" vertical="center" wrapText="1"/>
    </xf>
    <xf numFmtId="2" fontId="7" fillId="0" borderId="12" xfId="0" applyNumberFormat="1" applyFont="1" applyBorder="1" applyAlignment="1" quotePrefix="1">
      <alignment horizontal="center" vertical="center" wrapText="1"/>
    </xf>
    <xf numFmtId="2" fontId="7" fillId="0" borderId="14" xfId="0" applyNumberFormat="1" applyFont="1" applyBorder="1" applyAlignment="1" quotePrefix="1">
      <alignment horizontal="center" vertical="center" wrapText="1"/>
    </xf>
    <xf numFmtId="4" fontId="8" fillId="4" borderId="10" xfId="0" applyNumberFormat="1" applyFont="1" applyFill="1" applyBorder="1" applyAlignment="1">
      <alignment horizontal="center" vertical="center" wrapText="1"/>
    </xf>
    <xf numFmtId="4" fontId="7" fillId="0" borderId="10" xfId="0" applyNumberFormat="1" applyFont="1" applyBorder="1" applyAlignment="1">
      <alignment horizontal="center" vertical="center" wrapText="1"/>
    </xf>
    <xf numFmtId="0" fontId="6" fillId="0" borderId="0" xfId="0" applyFont="1" applyAlignment="1">
      <alignment horizontal="center" vertical="center" wrapText="1"/>
    </xf>
    <xf numFmtId="4" fontId="7" fillId="32" borderId="10" xfId="0" applyNumberFormat="1" applyFont="1" applyFill="1" applyBorder="1" applyAlignment="1">
      <alignment horizontal="center" vertical="center" wrapText="1"/>
    </xf>
    <xf numFmtId="0" fontId="15" fillId="0" borderId="0" xfId="0" applyFont="1" applyAlignment="1">
      <alignment vertical="center" wrapText="1"/>
    </xf>
    <xf numFmtId="0" fontId="6" fillId="0" borderId="0" xfId="0" applyFont="1" applyAlignment="1">
      <alignmen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18.123\&#1082;&#1072;&#1085;&#1094;&#1077;&#1083;&#1103;&#1088;&#1080;&#1103;\&#1041;&#1070;&#1044;&#1046;&#1045;&#1058;%20&#1053;&#1054;&#1042;&#1040;&#1071;\&#1041;&#1070;&#1044;&#1046;&#1045;&#1058;%202017\&#1082;&#1074;&#1110;&#1090;&#1077;&#1085;&#1100;\&#1088;&#1110;&#1096;&#1077;&#1085;&#1085;&#1103;%20&#8470;710-16%20&#1074;&#1110;&#1076;%2021.04.2017\&#1076;&#1086;&#1076;&#1072;&#1090;&#1086;&#1082;3_&#1092;&#1086;&#1088;&#1084;&#1091;&#1083;_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04"/>
  <sheetViews>
    <sheetView tabSelected="1" view="pageBreakPreview" zoomScale="70" zoomScaleNormal="65" zoomScaleSheetLayoutView="70" zoomScalePageLayoutView="0" workbookViewId="0" topLeftCell="A3">
      <pane xSplit="5" ySplit="12" topLeftCell="H15" activePane="bottomRight" state="frozen"/>
      <selection pane="topLeft" activeCell="A3" sqref="A3"/>
      <selection pane="topRight" activeCell="F3" sqref="F3"/>
      <selection pane="bottomLeft" activeCell="A15" sqref="A15"/>
      <selection pane="bottomRight" activeCell="D488" sqref="D488:T503"/>
    </sheetView>
  </sheetViews>
  <sheetFormatPr defaultColWidth="9.125" defaultRowHeight="12.75"/>
  <cols>
    <col min="1" max="1" width="12.00390625" style="6" customWidth="1"/>
    <col min="2" max="2" width="7.625" style="6" customWidth="1"/>
    <col min="3" max="3" width="7.375" style="6" customWidth="1"/>
    <col min="4" max="4" width="40.625" style="6" customWidth="1"/>
    <col min="5" max="5" width="17.625" style="7" customWidth="1"/>
    <col min="6" max="6" width="18.00390625" style="6" customWidth="1"/>
    <col min="7" max="7" width="16.00390625" style="6" customWidth="1"/>
    <col min="8" max="8" width="14.625" style="6" customWidth="1"/>
    <col min="9" max="9" width="16.625" style="6" customWidth="1"/>
    <col min="10" max="10" width="16.50390625" style="7" customWidth="1"/>
    <col min="11" max="11" width="16.625" style="6" customWidth="1"/>
    <col min="12" max="12" width="13.50390625" style="6" customWidth="1"/>
    <col min="13" max="13" width="12.00390625" style="6" customWidth="1"/>
    <col min="14" max="14" width="24.50390625" style="6" customWidth="1"/>
    <col min="15" max="15" width="17.625" style="6" customWidth="1"/>
    <col min="16" max="16" width="22.125" style="6" customWidth="1"/>
    <col min="17" max="17" width="16.125" style="6" customWidth="1"/>
    <col min="18" max="18" width="15.625" style="6" bestFit="1" customWidth="1"/>
    <col min="19" max="19" width="10.625" style="6" bestFit="1" customWidth="1"/>
    <col min="20" max="16384" width="9.125" style="6" customWidth="1"/>
  </cols>
  <sheetData>
    <row r="1" spans="5:16" s="101" customFormat="1" ht="21">
      <c r="E1" s="102"/>
      <c r="J1" s="102"/>
      <c r="L1" s="177" t="s">
        <v>497</v>
      </c>
      <c r="M1" s="177"/>
      <c r="N1" s="177"/>
      <c r="O1" s="177"/>
      <c r="P1" s="177"/>
    </row>
    <row r="2" spans="5:16" s="101" customFormat="1" ht="21">
      <c r="E2" s="102"/>
      <c r="J2" s="102"/>
      <c r="L2" s="177" t="s">
        <v>498</v>
      </c>
      <c r="M2" s="177"/>
      <c r="N2" s="177"/>
      <c r="O2" s="177"/>
      <c r="P2" s="177"/>
    </row>
    <row r="3" spans="5:16" s="101" customFormat="1" ht="21">
      <c r="E3" s="102"/>
      <c r="J3" s="102"/>
      <c r="L3" s="177" t="s">
        <v>581</v>
      </c>
      <c r="M3" s="177"/>
      <c r="N3" s="177"/>
      <c r="O3" s="177"/>
      <c r="P3" s="177"/>
    </row>
    <row r="4" spans="4:16" s="101" customFormat="1" ht="21">
      <c r="D4" s="109"/>
      <c r="E4" s="102"/>
      <c r="J4" s="102"/>
      <c r="L4" s="177" t="s">
        <v>499</v>
      </c>
      <c r="M4" s="177"/>
      <c r="N4" s="177"/>
      <c r="O4" s="177"/>
      <c r="P4" s="177"/>
    </row>
    <row r="5" spans="5:16" s="101" customFormat="1" ht="21">
      <c r="E5" s="102"/>
      <c r="J5" s="102"/>
      <c r="L5" s="177" t="s">
        <v>580</v>
      </c>
      <c r="M5" s="178"/>
      <c r="N5" s="178"/>
      <c r="O5" s="178"/>
      <c r="P5" s="178"/>
    </row>
    <row r="6" spans="5:10" s="101" customFormat="1" ht="21">
      <c r="E6" s="102"/>
      <c r="J6" s="102"/>
    </row>
    <row r="7" spans="1:16" s="101" customFormat="1" ht="21">
      <c r="A7" s="171" t="s">
        <v>0</v>
      </c>
      <c r="B7" s="171"/>
      <c r="C7" s="171"/>
      <c r="D7" s="171"/>
      <c r="E7" s="171"/>
      <c r="F7" s="171"/>
      <c r="G7" s="171"/>
      <c r="H7" s="171"/>
      <c r="I7" s="171"/>
      <c r="J7" s="171"/>
      <c r="K7" s="171"/>
      <c r="L7" s="171"/>
      <c r="M7" s="171"/>
      <c r="N7" s="171"/>
      <c r="O7" s="171"/>
      <c r="P7" s="171"/>
    </row>
    <row r="8" spans="1:16" s="101" customFormat="1" ht="21">
      <c r="A8" s="171" t="s">
        <v>539</v>
      </c>
      <c r="B8" s="171"/>
      <c r="C8" s="171"/>
      <c r="D8" s="171"/>
      <c r="E8" s="171"/>
      <c r="F8" s="171"/>
      <c r="G8" s="171"/>
      <c r="H8" s="171"/>
      <c r="I8" s="171"/>
      <c r="J8" s="171"/>
      <c r="K8" s="171"/>
      <c r="L8" s="171"/>
      <c r="M8" s="171"/>
      <c r="N8" s="171"/>
      <c r="O8" s="171"/>
      <c r="P8" s="171"/>
    </row>
    <row r="9" ht="12.75">
      <c r="P9" s="7" t="s">
        <v>1</v>
      </c>
    </row>
    <row r="10" spans="1:16" s="11" customFormat="1" ht="18" customHeight="1">
      <c r="A10" s="174" t="s">
        <v>2</v>
      </c>
      <c r="B10" s="174" t="s">
        <v>3</v>
      </c>
      <c r="C10" s="174" t="s">
        <v>4</v>
      </c>
      <c r="D10" s="174" t="s">
        <v>5</v>
      </c>
      <c r="E10" s="174" t="s">
        <v>6</v>
      </c>
      <c r="F10" s="174"/>
      <c r="G10" s="174"/>
      <c r="H10" s="174"/>
      <c r="I10" s="174"/>
      <c r="J10" s="174" t="s">
        <v>13</v>
      </c>
      <c r="K10" s="174"/>
      <c r="L10" s="174"/>
      <c r="M10" s="174"/>
      <c r="N10" s="174"/>
      <c r="O10" s="174"/>
      <c r="P10" s="179" t="s">
        <v>15</v>
      </c>
    </row>
    <row r="11" spans="1:16" s="11" customFormat="1" ht="18.75" customHeight="1">
      <c r="A11" s="174"/>
      <c r="B11" s="174"/>
      <c r="C11" s="174"/>
      <c r="D11" s="174"/>
      <c r="E11" s="175" t="s">
        <v>7</v>
      </c>
      <c r="F11" s="174" t="s">
        <v>8</v>
      </c>
      <c r="G11" s="174" t="s">
        <v>9</v>
      </c>
      <c r="H11" s="174"/>
      <c r="I11" s="174" t="s">
        <v>12</v>
      </c>
      <c r="J11" s="175" t="s">
        <v>7</v>
      </c>
      <c r="K11" s="174" t="s">
        <v>8</v>
      </c>
      <c r="L11" s="174" t="s">
        <v>9</v>
      </c>
      <c r="M11" s="174"/>
      <c r="N11" s="174" t="s">
        <v>12</v>
      </c>
      <c r="O11" s="9" t="s">
        <v>9</v>
      </c>
      <c r="P11" s="174"/>
    </row>
    <row r="12" spans="1:16" s="11" customFormat="1" ht="25.5" customHeight="1">
      <c r="A12" s="174"/>
      <c r="B12" s="174"/>
      <c r="C12" s="174"/>
      <c r="D12" s="174"/>
      <c r="E12" s="176"/>
      <c r="F12" s="174"/>
      <c r="G12" s="174" t="s">
        <v>10</v>
      </c>
      <c r="H12" s="174" t="s">
        <v>11</v>
      </c>
      <c r="I12" s="174"/>
      <c r="J12" s="176"/>
      <c r="K12" s="174"/>
      <c r="L12" s="174" t="s">
        <v>10</v>
      </c>
      <c r="M12" s="174" t="s">
        <v>11</v>
      </c>
      <c r="N12" s="174"/>
      <c r="O12" s="174" t="s">
        <v>14</v>
      </c>
      <c r="P12" s="174"/>
    </row>
    <row r="13" spans="1:16" s="11" customFormat="1" ht="35.25" customHeight="1">
      <c r="A13" s="174"/>
      <c r="B13" s="174"/>
      <c r="C13" s="174"/>
      <c r="D13" s="174"/>
      <c r="E13" s="176"/>
      <c r="F13" s="174"/>
      <c r="G13" s="174"/>
      <c r="H13" s="174"/>
      <c r="I13" s="174"/>
      <c r="J13" s="176"/>
      <c r="K13" s="174"/>
      <c r="L13" s="174"/>
      <c r="M13" s="174"/>
      <c r="N13" s="174"/>
      <c r="O13" s="174"/>
      <c r="P13" s="174"/>
    </row>
    <row r="14" spans="1:16" s="11" customFormat="1" ht="13.5">
      <c r="A14" s="9">
        <v>1</v>
      </c>
      <c r="B14" s="9">
        <v>2</v>
      </c>
      <c r="C14" s="9">
        <v>3</v>
      </c>
      <c r="D14" s="9">
        <v>4</v>
      </c>
      <c r="E14" s="55">
        <v>5</v>
      </c>
      <c r="F14" s="9">
        <v>6</v>
      </c>
      <c r="G14" s="9">
        <v>7</v>
      </c>
      <c r="H14" s="9">
        <v>8</v>
      </c>
      <c r="I14" s="9">
        <v>9</v>
      </c>
      <c r="J14" s="55">
        <v>5</v>
      </c>
      <c r="K14" s="9">
        <v>11</v>
      </c>
      <c r="L14" s="9">
        <v>12</v>
      </c>
      <c r="M14" s="9">
        <v>13</v>
      </c>
      <c r="N14" s="9">
        <v>14</v>
      </c>
      <c r="O14" s="9">
        <v>15</v>
      </c>
      <c r="P14" s="10">
        <v>16</v>
      </c>
    </row>
    <row r="15" spans="1:17" s="71" customFormat="1" ht="15">
      <c r="A15" s="66" t="s">
        <v>16</v>
      </c>
      <c r="B15" s="67"/>
      <c r="C15" s="68"/>
      <c r="D15" s="72" t="s">
        <v>17</v>
      </c>
      <c r="E15" s="69">
        <f aca="true" t="shared" si="0" ref="E15:E21">F15+I15</f>
        <v>17912214</v>
      </c>
      <c r="F15" s="70">
        <f>F16</f>
        <v>17912214</v>
      </c>
      <c r="G15" s="70">
        <f>G16</f>
        <v>9661554</v>
      </c>
      <c r="H15" s="70">
        <f>H16</f>
        <v>1230706</v>
      </c>
      <c r="I15" s="70">
        <f>I16</f>
        <v>0</v>
      </c>
      <c r="J15" s="69">
        <f aca="true" t="shared" si="1" ref="J15:J21">K15+N15</f>
        <v>1196960</v>
      </c>
      <c r="K15" s="70">
        <f>K16</f>
        <v>0</v>
      </c>
      <c r="L15" s="70">
        <f>L16</f>
        <v>0</v>
      </c>
      <c r="M15" s="70">
        <f>M16</f>
        <v>0</v>
      </c>
      <c r="N15" s="70">
        <f>N16</f>
        <v>1196960</v>
      </c>
      <c r="O15" s="70">
        <f>O16</f>
        <v>1204960</v>
      </c>
      <c r="P15" s="70">
        <f aca="true" t="shared" si="2" ref="P15:P111">E15+J15</f>
        <v>19109174</v>
      </c>
      <c r="Q15" s="116"/>
    </row>
    <row r="16" spans="1:16" s="99" customFormat="1" ht="13.5">
      <c r="A16" s="27" t="s">
        <v>18</v>
      </c>
      <c r="B16" s="28"/>
      <c r="C16" s="29"/>
      <c r="D16" s="78" t="s">
        <v>426</v>
      </c>
      <c r="E16" s="58">
        <f t="shared" si="0"/>
        <v>17912214</v>
      </c>
      <c r="F16" s="20">
        <f>F17+F18+F22</f>
        <v>17912214</v>
      </c>
      <c r="G16" s="20">
        <f>G17+G18+G22</f>
        <v>9661554</v>
      </c>
      <c r="H16" s="20">
        <f>H17+H18+H22</f>
        <v>1230706</v>
      </c>
      <c r="I16" s="20">
        <f>I17+I18+I22</f>
        <v>0</v>
      </c>
      <c r="J16" s="58">
        <f t="shared" si="1"/>
        <v>1196960</v>
      </c>
      <c r="K16" s="20">
        <f>K17+K18+K22</f>
        <v>0</v>
      </c>
      <c r="L16" s="20">
        <f>L17+L18+L22</f>
        <v>0</v>
      </c>
      <c r="M16" s="20">
        <f>M17+M18+M22</f>
        <v>0</v>
      </c>
      <c r="N16" s="20">
        <f>N17+N18+N22</f>
        <v>1196960</v>
      </c>
      <c r="O16" s="20">
        <f>O17+O18+O22</f>
        <v>1204960</v>
      </c>
      <c r="P16" s="20">
        <f>E16+J16</f>
        <v>19109174</v>
      </c>
    </row>
    <row r="17" spans="1:17" s="11" customFormat="1" ht="84" customHeight="1">
      <c r="A17" s="3" t="s">
        <v>19</v>
      </c>
      <c r="B17" s="5" t="s">
        <v>21</v>
      </c>
      <c r="C17" s="4" t="s">
        <v>20</v>
      </c>
      <c r="D17" s="73" t="s">
        <v>534</v>
      </c>
      <c r="E17" s="58">
        <f t="shared" si="0"/>
        <v>16426376</v>
      </c>
      <c r="F17" s="21">
        <f>13650766-7680-12818-46000+703100+252600+1310953+575455</f>
        <v>16426376</v>
      </c>
      <c r="G17" s="21">
        <f>8082160+576400+1002994</f>
        <v>9661554</v>
      </c>
      <c r="H17" s="21">
        <v>1230706</v>
      </c>
      <c r="I17" s="21">
        <v>0</v>
      </c>
      <c r="J17" s="58">
        <f t="shared" si="1"/>
        <v>1041960</v>
      </c>
      <c r="K17" s="21">
        <v>0</v>
      </c>
      <c r="L17" s="21">
        <v>0</v>
      </c>
      <c r="M17" s="21">
        <v>0</v>
      </c>
      <c r="N17" s="21">
        <f>200000+350000+33260+46000+412700</f>
        <v>1041960</v>
      </c>
      <c r="O17" s="21">
        <f>200000+350000+33260+46000+412700</f>
        <v>1041960</v>
      </c>
      <c r="P17" s="20">
        <f t="shared" si="2"/>
        <v>17468336</v>
      </c>
      <c r="Q17" s="108"/>
    </row>
    <row r="18" spans="1:17" s="11" customFormat="1" ht="13.5">
      <c r="A18" s="16" t="s">
        <v>22</v>
      </c>
      <c r="B18" s="17"/>
      <c r="C18" s="18"/>
      <c r="D18" s="74" t="s">
        <v>23</v>
      </c>
      <c r="E18" s="57">
        <f t="shared" si="0"/>
        <v>1169300</v>
      </c>
      <c r="F18" s="19">
        <f>F19+F21</f>
        <v>1169300</v>
      </c>
      <c r="G18" s="19">
        <f>G19+G21</f>
        <v>0</v>
      </c>
      <c r="H18" s="19">
        <f>H19+H21</f>
        <v>0</v>
      </c>
      <c r="I18" s="19">
        <f>I19+I21</f>
        <v>0</v>
      </c>
      <c r="J18" s="57">
        <f t="shared" si="1"/>
        <v>155000</v>
      </c>
      <c r="K18" s="19">
        <f>K19+K21</f>
        <v>0</v>
      </c>
      <c r="L18" s="19">
        <f>L19+L21</f>
        <v>0</v>
      </c>
      <c r="M18" s="19">
        <f>M19+M21</f>
        <v>0</v>
      </c>
      <c r="N18" s="19">
        <f>N19+N21</f>
        <v>155000</v>
      </c>
      <c r="O18" s="19">
        <f>O19+O21</f>
        <v>163000</v>
      </c>
      <c r="P18" s="19">
        <f t="shared" si="2"/>
        <v>1324300</v>
      </c>
      <c r="Q18" s="108"/>
    </row>
    <row r="19" spans="1:16" s="11" customFormat="1" ht="27">
      <c r="A19" s="22" t="s">
        <v>24</v>
      </c>
      <c r="B19" s="23" t="s">
        <v>26</v>
      </c>
      <c r="C19" s="24" t="s">
        <v>25</v>
      </c>
      <c r="D19" s="75" t="s">
        <v>27</v>
      </c>
      <c r="E19" s="59">
        <f t="shared" si="0"/>
        <v>469300</v>
      </c>
      <c r="F19" s="26">
        <f>450000+59300-40000</f>
        <v>469300</v>
      </c>
      <c r="G19" s="26">
        <v>0</v>
      </c>
      <c r="H19" s="26">
        <v>0</v>
      </c>
      <c r="I19" s="26">
        <v>0</v>
      </c>
      <c r="J19" s="59">
        <f t="shared" si="1"/>
        <v>155000</v>
      </c>
      <c r="K19" s="26">
        <v>0</v>
      </c>
      <c r="L19" s="26">
        <v>0</v>
      </c>
      <c r="M19" s="26">
        <v>0</v>
      </c>
      <c r="N19" s="26">
        <f>40000+5000+110000</f>
        <v>155000</v>
      </c>
      <c r="O19" s="26">
        <f>40000+5000+110000+8000</f>
        <v>163000</v>
      </c>
      <c r="P19" s="25">
        <f t="shared" si="2"/>
        <v>624300</v>
      </c>
    </row>
    <row r="20" spans="1:16" s="11" customFormat="1" ht="75.75" customHeight="1">
      <c r="A20" s="22"/>
      <c r="B20" s="23"/>
      <c r="C20" s="24"/>
      <c r="D20" s="160" t="s">
        <v>552</v>
      </c>
      <c r="E20" s="59">
        <f t="shared" si="0"/>
        <v>0</v>
      </c>
      <c r="F20" s="26"/>
      <c r="G20" s="26"/>
      <c r="H20" s="26"/>
      <c r="I20" s="26"/>
      <c r="J20" s="59">
        <f t="shared" si="1"/>
        <v>100000</v>
      </c>
      <c r="K20" s="26"/>
      <c r="L20" s="26"/>
      <c r="M20" s="26"/>
      <c r="N20" s="46">
        <v>100000</v>
      </c>
      <c r="O20" s="46">
        <v>100000</v>
      </c>
      <c r="P20" s="45">
        <f t="shared" si="2"/>
        <v>100000</v>
      </c>
    </row>
    <row r="21" spans="1:16" s="11" customFormat="1" ht="27">
      <c r="A21" s="22" t="s">
        <v>28</v>
      </c>
      <c r="B21" s="23" t="s">
        <v>29</v>
      </c>
      <c r="C21" s="24" t="s">
        <v>25</v>
      </c>
      <c r="D21" s="75" t="s">
        <v>30</v>
      </c>
      <c r="E21" s="59">
        <f t="shared" si="0"/>
        <v>700000</v>
      </c>
      <c r="F21" s="26">
        <f>400000+100000+200000</f>
        <v>700000</v>
      </c>
      <c r="G21" s="26">
        <v>0</v>
      </c>
      <c r="H21" s="26">
        <v>0</v>
      </c>
      <c r="I21" s="26">
        <v>0</v>
      </c>
      <c r="J21" s="59">
        <f t="shared" si="1"/>
        <v>0</v>
      </c>
      <c r="K21" s="26">
        <v>0</v>
      </c>
      <c r="L21" s="26">
        <v>0</v>
      </c>
      <c r="M21" s="26">
        <v>0</v>
      </c>
      <c r="N21" s="26">
        <v>0</v>
      </c>
      <c r="O21" s="26">
        <v>0</v>
      </c>
      <c r="P21" s="25">
        <f t="shared" si="2"/>
        <v>700000</v>
      </c>
    </row>
    <row r="22" spans="1:17" s="11" customFormat="1" ht="13.5">
      <c r="A22" s="17" t="s">
        <v>513</v>
      </c>
      <c r="B22" s="17" t="s">
        <v>32</v>
      </c>
      <c r="C22" s="17" t="s">
        <v>31</v>
      </c>
      <c r="D22" s="76" t="s">
        <v>510</v>
      </c>
      <c r="E22" s="59">
        <f>F22+I22</f>
        <v>316538</v>
      </c>
      <c r="F22" s="19">
        <f>SUM(F23+F24)</f>
        <v>316538</v>
      </c>
      <c r="G22" s="19">
        <f>G23</f>
        <v>0</v>
      </c>
      <c r="H22" s="19">
        <f>H23</f>
        <v>0</v>
      </c>
      <c r="I22" s="19">
        <f>I23</f>
        <v>0</v>
      </c>
      <c r="J22" s="57">
        <f>SUM(J23)</f>
        <v>0</v>
      </c>
      <c r="K22" s="19">
        <f>K23</f>
        <v>0</v>
      </c>
      <c r="L22" s="19">
        <f>L23</f>
        <v>0</v>
      </c>
      <c r="M22" s="19">
        <f>M23</f>
        <v>0</v>
      </c>
      <c r="N22" s="19">
        <f>N23</f>
        <v>0</v>
      </c>
      <c r="O22" s="19">
        <f>O23</f>
        <v>0</v>
      </c>
      <c r="P22" s="19">
        <f>E22+J22</f>
        <v>316538</v>
      </c>
      <c r="Q22" s="108"/>
    </row>
    <row r="23" spans="1:16" s="47" customFormat="1" ht="27">
      <c r="A23" s="42"/>
      <c r="B23" s="43"/>
      <c r="C23" s="44"/>
      <c r="D23" s="113" t="s">
        <v>494</v>
      </c>
      <c r="E23" s="61">
        <f>F23+I23</f>
        <v>196538</v>
      </c>
      <c r="F23" s="46">
        <f>209300-25580+12818</f>
        <v>196538</v>
      </c>
      <c r="G23" s="46">
        <v>0</v>
      </c>
      <c r="H23" s="46">
        <v>0</v>
      </c>
      <c r="I23" s="46">
        <v>0</v>
      </c>
      <c r="J23" s="61">
        <f>K23+N23</f>
        <v>0</v>
      </c>
      <c r="K23" s="46">
        <v>0</v>
      </c>
      <c r="L23" s="46">
        <v>0</v>
      </c>
      <c r="M23" s="46">
        <v>0</v>
      </c>
      <c r="N23" s="46">
        <v>0</v>
      </c>
      <c r="O23" s="46">
        <v>0</v>
      </c>
      <c r="P23" s="45">
        <f t="shared" si="2"/>
        <v>196538</v>
      </c>
    </row>
    <row r="24" spans="1:16" s="47" customFormat="1" ht="60" customHeight="1">
      <c r="A24" s="126"/>
      <c r="B24" s="126"/>
      <c r="C24" s="126"/>
      <c r="D24" s="132" t="s">
        <v>528</v>
      </c>
      <c r="E24" s="61">
        <f>F24+I24</f>
        <v>120000</v>
      </c>
      <c r="F24" s="46">
        <v>120000</v>
      </c>
      <c r="G24" s="46"/>
      <c r="H24" s="46"/>
      <c r="I24" s="46"/>
      <c r="J24" s="61"/>
      <c r="K24" s="46"/>
      <c r="L24" s="46"/>
      <c r="M24" s="46"/>
      <c r="N24" s="46"/>
      <c r="O24" s="46"/>
      <c r="P24" s="45">
        <f t="shared" si="2"/>
        <v>120000</v>
      </c>
    </row>
    <row r="25" spans="1:17" s="71" customFormat="1" ht="145.5" customHeight="1">
      <c r="A25" s="66" t="s">
        <v>34</v>
      </c>
      <c r="B25" s="67"/>
      <c r="C25" s="68"/>
      <c r="D25" s="72" t="s">
        <v>496</v>
      </c>
      <c r="E25" s="56">
        <f>F25+I25</f>
        <v>23542095.990000002</v>
      </c>
      <c r="F25" s="70">
        <f>F26+F34+F42</f>
        <v>23542095.990000002</v>
      </c>
      <c r="G25" s="70">
        <f>G26+G34+G42</f>
        <v>9911414</v>
      </c>
      <c r="H25" s="70">
        <f>H26+H34+H42</f>
        <v>1967329</v>
      </c>
      <c r="I25" s="70">
        <f>I26+I34+I42</f>
        <v>0</v>
      </c>
      <c r="J25" s="56">
        <f>K25+N25</f>
        <v>1598098</v>
      </c>
      <c r="K25" s="70">
        <f>K26+K34+K42</f>
        <v>410014</v>
      </c>
      <c r="L25" s="70">
        <f>L26+L34+L42</f>
        <v>0</v>
      </c>
      <c r="M25" s="70">
        <f>M26+M34+M42</f>
        <v>351514</v>
      </c>
      <c r="N25" s="70">
        <f>N26+N34+N42</f>
        <v>1188084</v>
      </c>
      <c r="O25" s="70">
        <f>O26+O34+O42</f>
        <v>1188084</v>
      </c>
      <c r="P25" s="70">
        <f t="shared" si="2"/>
        <v>25140193.990000002</v>
      </c>
      <c r="Q25" s="116"/>
    </row>
    <row r="26" spans="1:17" s="11" customFormat="1" ht="27">
      <c r="A26" s="27" t="s">
        <v>427</v>
      </c>
      <c r="B26" s="28"/>
      <c r="C26" s="29"/>
      <c r="D26" s="78" t="s">
        <v>429</v>
      </c>
      <c r="E26" s="58">
        <f aca="true" t="shared" si="3" ref="E26:E87">F26+I26</f>
        <v>7804745</v>
      </c>
      <c r="F26" s="20">
        <f>F27+F28+F30+F31+F32</f>
        <v>7804745</v>
      </c>
      <c r="G26" s="20">
        <f>G27+G28+G30+G31+G32</f>
        <v>3165277</v>
      </c>
      <c r="H26" s="20">
        <f>H27+H28+H30+H31+H32</f>
        <v>535207</v>
      </c>
      <c r="I26" s="20">
        <f>I27+I28+I30+I31+I32</f>
        <v>0</v>
      </c>
      <c r="J26" s="58">
        <f aca="true" t="shared" si="4" ref="J26:J87">K26+N26</f>
        <v>340550</v>
      </c>
      <c r="K26" s="20">
        <f>K27+K28+K29+K30+K31+K32</f>
        <v>0</v>
      </c>
      <c r="L26" s="20">
        <f>L27+L28+L29+L30+L31+L32</f>
        <v>0</v>
      </c>
      <c r="M26" s="20">
        <f>M27+M28+M29+M30+M31+M32</f>
        <v>0</v>
      </c>
      <c r="N26" s="20">
        <f>N27+N28+N29+N30+N31+N32</f>
        <v>340550</v>
      </c>
      <c r="O26" s="20">
        <f>O27+O28+O29+O30+O31+O32</f>
        <v>340550</v>
      </c>
      <c r="P26" s="20">
        <f t="shared" si="2"/>
        <v>8145295</v>
      </c>
      <c r="Q26" s="108"/>
    </row>
    <row r="27" spans="1:17" s="11" customFormat="1" ht="27">
      <c r="A27" s="3" t="s">
        <v>428</v>
      </c>
      <c r="B27" s="5" t="s">
        <v>35</v>
      </c>
      <c r="C27" s="4" t="s">
        <v>20</v>
      </c>
      <c r="D27" s="73" t="s">
        <v>535</v>
      </c>
      <c r="E27" s="58">
        <f t="shared" si="3"/>
        <v>4741392</v>
      </c>
      <c r="F27" s="21">
        <f>4634404+20000-20000+160600+55096-108708</f>
        <v>4741392</v>
      </c>
      <c r="G27" s="21">
        <f>2802293+131600+147620+33846</f>
        <v>3115359</v>
      </c>
      <c r="H27" s="21">
        <f>685207-150000</f>
        <v>535207</v>
      </c>
      <c r="I27" s="21">
        <v>0</v>
      </c>
      <c r="J27" s="58">
        <f t="shared" si="4"/>
        <v>0</v>
      </c>
      <c r="K27" s="21">
        <v>0</v>
      </c>
      <c r="L27" s="21">
        <v>0</v>
      </c>
      <c r="M27" s="21">
        <v>0</v>
      </c>
      <c r="N27" s="21">
        <f>20000-20000</f>
        <v>0</v>
      </c>
      <c r="O27" s="21">
        <f>20000-20000</f>
        <v>0</v>
      </c>
      <c r="P27" s="20">
        <f t="shared" si="2"/>
        <v>4741392</v>
      </c>
      <c r="Q27" s="108"/>
    </row>
    <row r="28" spans="1:17" s="11" customFormat="1" ht="27">
      <c r="A28" s="3" t="s">
        <v>430</v>
      </c>
      <c r="B28" s="5" t="s">
        <v>37</v>
      </c>
      <c r="C28" s="4" t="s">
        <v>36</v>
      </c>
      <c r="D28" s="73" t="s">
        <v>38</v>
      </c>
      <c r="E28" s="58">
        <f t="shared" si="3"/>
        <v>60900</v>
      </c>
      <c r="F28" s="21">
        <v>60900</v>
      </c>
      <c r="G28" s="21">
        <v>49918</v>
      </c>
      <c r="H28" s="21">
        <v>0</v>
      </c>
      <c r="I28" s="21">
        <v>0</v>
      </c>
      <c r="J28" s="58">
        <f t="shared" si="4"/>
        <v>0</v>
      </c>
      <c r="K28" s="21">
        <v>0</v>
      </c>
      <c r="L28" s="21">
        <v>0</v>
      </c>
      <c r="M28" s="21">
        <v>0</v>
      </c>
      <c r="N28" s="21">
        <v>0</v>
      </c>
      <c r="O28" s="21">
        <v>0</v>
      </c>
      <c r="P28" s="20">
        <f>E28+J28</f>
        <v>60900</v>
      </c>
      <c r="Q28" s="108"/>
    </row>
    <row r="29" spans="1:17" s="11" customFormat="1" ht="41.25">
      <c r="A29" s="30" t="s">
        <v>541</v>
      </c>
      <c r="B29" s="30" t="s">
        <v>317</v>
      </c>
      <c r="C29" s="30" t="s">
        <v>316</v>
      </c>
      <c r="D29" s="73" t="s">
        <v>542</v>
      </c>
      <c r="E29" s="58">
        <f t="shared" si="3"/>
        <v>0</v>
      </c>
      <c r="F29" s="21">
        <v>0</v>
      </c>
      <c r="G29" s="21">
        <v>0</v>
      </c>
      <c r="H29" s="21">
        <v>0</v>
      </c>
      <c r="I29" s="21">
        <v>0</v>
      </c>
      <c r="J29" s="58">
        <f t="shared" si="4"/>
        <v>30550</v>
      </c>
      <c r="K29" s="21">
        <v>0</v>
      </c>
      <c r="L29" s="21">
        <v>0</v>
      </c>
      <c r="M29" s="21">
        <v>0</v>
      </c>
      <c r="N29" s="21">
        <v>30550</v>
      </c>
      <c r="O29" s="21">
        <v>30550</v>
      </c>
      <c r="P29" s="20">
        <f>E29+J29</f>
        <v>30550</v>
      </c>
      <c r="Q29" s="108"/>
    </row>
    <row r="30" spans="1:17" s="11" customFormat="1" ht="17.25" customHeight="1">
      <c r="A30" s="3" t="s">
        <v>431</v>
      </c>
      <c r="B30" s="5" t="s">
        <v>40</v>
      </c>
      <c r="C30" s="4" t="s">
        <v>39</v>
      </c>
      <c r="D30" s="73" t="s">
        <v>41</v>
      </c>
      <c r="E30" s="58">
        <f t="shared" si="3"/>
        <v>2175000</v>
      </c>
      <c r="F30" s="21">
        <f>2400000-20000-205000</f>
        <v>2175000</v>
      </c>
      <c r="G30" s="21">
        <v>0</v>
      </c>
      <c r="H30" s="21">
        <v>0</v>
      </c>
      <c r="I30" s="21">
        <v>0</v>
      </c>
      <c r="J30" s="58">
        <f t="shared" si="4"/>
        <v>0</v>
      </c>
      <c r="K30" s="21">
        <v>0</v>
      </c>
      <c r="L30" s="21">
        <v>0</v>
      </c>
      <c r="M30" s="21">
        <v>0</v>
      </c>
      <c r="N30" s="21">
        <f>30550-30550</f>
        <v>0</v>
      </c>
      <c r="O30" s="21">
        <f>30550-30550</f>
        <v>0</v>
      </c>
      <c r="P30" s="20">
        <f t="shared" si="2"/>
        <v>2175000</v>
      </c>
      <c r="Q30" s="108"/>
    </row>
    <row r="31" spans="1:16" s="11" customFormat="1" ht="27">
      <c r="A31" s="3" t="s">
        <v>554</v>
      </c>
      <c r="B31" s="5" t="s">
        <v>222</v>
      </c>
      <c r="C31" s="4" t="s">
        <v>147</v>
      </c>
      <c r="D31" s="73" t="s">
        <v>223</v>
      </c>
      <c r="E31" s="58">
        <f t="shared" si="3"/>
        <v>0</v>
      </c>
      <c r="F31" s="21">
        <v>0</v>
      </c>
      <c r="G31" s="21">
        <v>0</v>
      </c>
      <c r="H31" s="21">
        <v>0</v>
      </c>
      <c r="I31" s="21">
        <v>0</v>
      </c>
      <c r="J31" s="58">
        <f t="shared" si="4"/>
        <v>310000</v>
      </c>
      <c r="K31" s="21">
        <v>0</v>
      </c>
      <c r="L31" s="21">
        <v>0</v>
      </c>
      <c r="M31" s="21">
        <v>0</v>
      </c>
      <c r="N31" s="21">
        <v>310000</v>
      </c>
      <c r="O31" s="21">
        <v>310000</v>
      </c>
      <c r="P31" s="20">
        <f>E31+J31</f>
        <v>310000</v>
      </c>
    </row>
    <row r="32" spans="1:17" s="11" customFormat="1" ht="13.5">
      <c r="A32" s="17" t="s">
        <v>511</v>
      </c>
      <c r="B32" s="17" t="s">
        <v>32</v>
      </c>
      <c r="C32" s="17" t="s">
        <v>31</v>
      </c>
      <c r="D32" s="76" t="s">
        <v>510</v>
      </c>
      <c r="E32" s="57">
        <f t="shared" si="3"/>
        <v>827453</v>
      </c>
      <c r="F32" s="19">
        <f>F33</f>
        <v>827453</v>
      </c>
      <c r="G32" s="19">
        <f>G33</f>
        <v>0</v>
      </c>
      <c r="H32" s="19">
        <f>H33</f>
        <v>0</v>
      </c>
      <c r="I32" s="19">
        <f>I33</f>
        <v>0</v>
      </c>
      <c r="J32" s="57">
        <f t="shared" si="4"/>
        <v>0</v>
      </c>
      <c r="K32" s="19">
        <f>K33</f>
        <v>0</v>
      </c>
      <c r="L32" s="19">
        <f>L33</f>
        <v>0</v>
      </c>
      <c r="M32" s="19">
        <f>M33</f>
        <v>0</v>
      </c>
      <c r="N32" s="19">
        <f>N33</f>
        <v>0</v>
      </c>
      <c r="O32" s="19">
        <f>O33</f>
        <v>0</v>
      </c>
      <c r="P32" s="19">
        <f>E32+J32</f>
        <v>827453</v>
      </c>
      <c r="Q32" s="108"/>
    </row>
    <row r="33" spans="1:16" s="47" customFormat="1" ht="41.25">
      <c r="A33" s="42"/>
      <c r="B33" s="43"/>
      <c r="C33" s="44"/>
      <c r="D33" s="113" t="s">
        <v>495</v>
      </c>
      <c r="E33" s="61">
        <f t="shared" si="3"/>
        <v>827453</v>
      </c>
      <c r="F33" s="46">
        <v>827453</v>
      </c>
      <c r="G33" s="46">
        <v>0</v>
      </c>
      <c r="H33" s="46">
        <v>0</v>
      </c>
      <c r="I33" s="46">
        <v>0</v>
      </c>
      <c r="J33" s="61">
        <f t="shared" si="4"/>
        <v>0</v>
      </c>
      <c r="K33" s="46">
        <v>0</v>
      </c>
      <c r="L33" s="46">
        <v>0</v>
      </c>
      <c r="M33" s="46">
        <v>0</v>
      </c>
      <c r="N33" s="46">
        <v>0</v>
      </c>
      <c r="O33" s="46">
        <v>0</v>
      </c>
      <c r="P33" s="45">
        <f t="shared" si="2"/>
        <v>827453</v>
      </c>
    </row>
    <row r="34" spans="1:17" s="11" customFormat="1" ht="27">
      <c r="A34" s="27" t="s">
        <v>427</v>
      </c>
      <c r="B34" s="28"/>
      <c r="C34" s="29"/>
      <c r="D34" s="78" t="s">
        <v>432</v>
      </c>
      <c r="E34" s="58">
        <f t="shared" si="3"/>
        <v>8088643.99</v>
      </c>
      <c r="F34" s="20">
        <f>F35+F37+F38+F39+F40</f>
        <v>8088643.99</v>
      </c>
      <c r="G34" s="20">
        <f>G35+G37+G38+G39+G40</f>
        <v>3242109</v>
      </c>
      <c r="H34" s="20">
        <f>H35+H37+H38+H39+H40</f>
        <v>920966</v>
      </c>
      <c r="I34" s="20">
        <f>I35+I37+I38+I39+I40</f>
        <v>0</v>
      </c>
      <c r="J34" s="58">
        <f t="shared" si="4"/>
        <v>597548</v>
      </c>
      <c r="K34" s="20">
        <f>K35+K37+K38+K39+K40</f>
        <v>410014</v>
      </c>
      <c r="L34" s="20">
        <f>L35+L37+L38+L39+L40</f>
        <v>0</v>
      </c>
      <c r="M34" s="20">
        <f>M35+M37+M38+M39+M40</f>
        <v>351514</v>
      </c>
      <c r="N34" s="20">
        <f>N35+N37+N38+N39+N40</f>
        <v>187534</v>
      </c>
      <c r="O34" s="20">
        <f>O35+O37+O38+O39+O40</f>
        <v>187534</v>
      </c>
      <c r="P34" s="20">
        <f t="shared" si="2"/>
        <v>8686191.99</v>
      </c>
      <c r="Q34" s="108"/>
    </row>
    <row r="35" spans="1:17" s="11" customFormat="1" ht="27">
      <c r="A35" s="3" t="s">
        <v>428</v>
      </c>
      <c r="B35" s="30" t="s">
        <v>35</v>
      </c>
      <c r="C35" s="30" t="s">
        <v>20</v>
      </c>
      <c r="D35" s="73" t="s">
        <v>535</v>
      </c>
      <c r="E35" s="58">
        <f t="shared" si="3"/>
        <v>5368987</v>
      </c>
      <c r="F35" s="21">
        <f>5062805-3000+160600+292480-143898</f>
        <v>5368987</v>
      </c>
      <c r="G35" s="21">
        <f>2791999+131600+239738+45985</f>
        <v>3209322</v>
      </c>
      <c r="H35" s="21">
        <f>1120966-200000</f>
        <v>920966</v>
      </c>
      <c r="I35" s="21">
        <v>0</v>
      </c>
      <c r="J35" s="58">
        <f t="shared" si="4"/>
        <v>424064</v>
      </c>
      <c r="K35" s="21">
        <v>410014</v>
      </c>
      <c r="L35" s="21">
        <v>0</v>
      </c>
      <c r="M35" s="21">
        <v>351514</v>
      </c>
      <c r="N35" s="21">
        <v>14050</v>
      </c>
      <c r="O35" s="21">
        <v>14050</v>
      </c>
      <c r="P35" s="20">
        <f t="shared" si="2"/>
        <v>5793051</v>
      </c>
      <c r="Q35" s="108"/>
    </row>
    <row r="36" spans="1:17" s="11" customFormat="1" ht="57" customHeight="1">
      <c r="A36" s="3"/>
      <c r="B36" s="30"/>
      <c r="C36" s="30"/>
      <c r="D36" s="159" t="s">
        <v>576</v>
      </c>
      <c r="E36" s="58">
        <f t="shared" si="3"/>
        <v>0</v>
      </c>
      <c r="F36" s="21"/>
      <c r="G36" s="21"/>
      <c r="H36" s="21"/>
      <c r="I36" s="21"/>
      <c r="J36" s="58">
        <v>14050</v>
      </c>
      <c r="K36" s="21"/>
      <c r="L36" s="21"/>
      <c r="M36" s="21"/>
      <c r="N36" s="21">
        <v>14050</v>
      </c>
      <c r="O36" s="21">
        <v>14050</v>
      </c>
      <c r="P36" s="20">
        <f t="shared" si="2"/>
        <v>14050</v>
      </c>
      <c r="Q36" s="108"/>
    </row>
    <row r="37" spans="1:17" s="11" customFormat="1" ht="27">
      <c r="A37" s="3" t="s">
        <v>430</v>
      </c>
      <c r="B37" s="5" t="s">
        <v>37</v>
      </c>
      <c r="C37" s="4" t="s">
        <v>36</v>
      </c>
      <c r="D37" s="73" t="s">
        <v>42</v>
      </c>
      <c r="E37" s="58">
        <f t="shared" si="3"/>
        <v>40000</v>
      </c>
      <c r="F37" s="21">
        <v>40000</v>
      </c>
      <c r="G37" s="21">
        <v>32787</v>
      </c>
      <c r="H37" s="21">
        <v>0</v>
      </c>
      <c r="I37" s="21">
        <v>0</v>
      </c>
      <c r="J37" s="58">
        <f t="shared" si="4"/>
        <v>0</v>
      </c>
      <c r="K37" s="21">
        <v>0</v>
      </c>
      <c r="L37" s="21">
        <v>0</v>
      </c>
      <c r="M37" s="21">
        <v>0</v>
      </c>
      <c r="N37" s="21">
        <v>0</v>
      </c>
      <c r="O37" s="21">
        <v>0</v>
      </c>
      <c r="P37" s="20">
        <f>E37+J37</f>
        <v>40000</v>
      </c>
      <c r="Q37" s="108"/>
    </row>
    <row r="38" spans="1:17" s="11" customFormat="1" ht="45" customHeight="1">
      <c r="A38" s="3" t="s">
        <v>541</v>
      </c>
      <c r="B38" s="30" t="s">
        <v>317</v>
      </c>
      <c r="C38" s="4" t="s">
        <v>316</v>
      </c>
      <c r="D38" s="73" t="s">
        <v>542</v>
      </c>
      <c r="E38" s="58">
        <f t="shared" si="3"/>
        <v>152283.99</v>
      </c>
      <c r="F38" s="21">
        <v>152283.99</v>
      </c>
      <c r="G38" s="21">
        <v>0</v>
      </c>
      <c r="H38" s="21">
        <v>0</v>
      </c>
      <c r="I38" s="21">
        <v>0</v>
      </c>
      <c r="J38" s="58">
        <f t="shared" si="4"/>
        <v>99685</v>
      </c>
      <c r="K38" s="21">
        <v>0</v>
      </c>
      <c r="L38" s="21">
        <v>0</v>
      </c>
      <c r="M38" s="21">
        <v>0</v>
      </c>
      <c r="N38" s="21">
        <v>99685</v>
      </c>
      <c r="O38" s="21">
        <v>99685</v>
      </c>
      <c r="P38" s="20">
        <f>E38+J38</f>
        <v>251968.99</v>
      </c>
      <c r="Q38" s="108"/>
    </row>
    <row r="39" spans="1:17" s="11" customFormat="1" ht="21.75" customHeight="1">
      <c r="A39" s="3" t="s">
        <v>431</v>
      </c>
      <c r="B39" s="5" t="s">
        <v>40</v>
      </c>
      <c r="C39" s="4" t="s">
        <v>39</v>
      </c>
      <c r="D39" s="73" t="s">
        <v>41</v>
      </c>
      <c r="E39" s="58">
        <f t="shared" si="3"/>
        <v>1894559</v>
      </c>
      <c r="F39" s="21">
        <f>2035000+121958-12000+35000-9000+3600-150000-56999-45000-20000-8000</f>
        <v>1894559</v>
      </c>
      <c r="G39" s="21">
        <v>0</v>
      </c>
      <c r="H39" s="21">
        <v>0</v>
      </c>
      <c r="I39" s="21">
        <v>0</v>
      </c>
      <c r="J39" s="58">
        <f t="shared" si="4"/>
        <v>73799</v>
      </c>
      <c r="K39" s="21">
        <v>0</v>
      </c>
      <c r="L39" s="21">
        <v>0</v>
      </c>
      <c r="M39" s="21">
        <v>0</v>
      </c>
      <c r="N39" s="21">
        <f>160000+12000+54800-153001</f>
        <v>73799</v>
      </c>
      <c r="O39" s="21">
        <f>160000+12000+54800-153001</f>
        <v>73799</v>
      </c>
      <c r="P39" s="20">
        <f t="shared" si="2"/>
        <v>1968358</v>
      </c>
      <c r="Q39" s="115"/>
    </row>
    <row r="40" spans="1:17" s="11" customFormat="1" ht="13.5">
      <c r="A40" s="17" t="s">
        <v>511</v>
      </c>
      <c r="B40" s="17" t="s">
        <v>32</v>
      </c>
      <c r="C40" s="17" t="s">
        <v>31</v>
      </c>
      <c r="D40" s="76" t="s">
        <v>510</v>
      </c>
      <c r="E40" s="57">
        <f t="shared" si="3"/>
        <v>632814</v>
      </c>
      <c r="F40" s="19">
        <f>SUM(F41)</f>
        <v>632814</v>
      </c>
      <c r="G40" s="19">
        <f aca="true" t="shared" si="5" ref="G40:O40">SUM(G41)</f>
        <v>0</v>
      </c>
      <c r="H40" s="19">
        <f t="shared" si="5"/>
        <v>0</v>
      </c>
      <c r="I40" s="19">
        <f t="shared" si="5"/>
        <v>0</v>
      </c>
      <c r="J40" s="57">
        <f t="shared" si="4"/>
        <v>0</v>
      </c>
      <c r="K40" s="19">
        <f t="shared" si="5"/>
        <v>0</v>
      </c>
      <c r="L40" s="19">
        <f t="shared" si="5"/>
        <v>0</v>
      </c>
      <c r="M40" s="19">
        <f t="shared" si="5"/>
        <v>0</v>
      </c>
      <c r="N40" s="19">
        <f t="shared" si="5"/>
        <v>0</v>
      </c>
      <c r="O40" s="19">
        <f t="shared" si="5"/>
        <v>0</v>
      </c>
      <c r="P40" s="19">
        <f>E40+J40</f>
        <v>632814</v>
      </c>
      <c r="Q40" s="108"/>
    </row>
    <row r="41" spans="1:16" s="47" customFormat="1" ht="48.75" customHeight="1">
      <c r="A41" s="42"/>
      <c r="B41" s="43"/>
      <c r="C41" s="44"/>
      <c r="D41" s="113" t="s">
        <v>495</v>
      </c>
      <c r="E41" s="61">
        <f t="shared" si="3"/>
        <v>632814</v>
      </c>
      <c r="F41" s="46">
        <v>632814</v>
      </c>
      <c r="G41" s="46">
        <v>0</v>
      </c>
      <c r="H41" s="46">
        <v>0</v>
      </c>
      <c r="I41" s="46">
        <v>0</v>
      </c>
      <c r="J41" s="61">
        <f t="shared" si="4"/>
        <v>0</v>
      </c>
      <c r="K41" s="46">
        <v>0</v>
      </c>
      <c r="L41" s="46">
        <v>0</v>
      </c>
      <c r="M41" s="46">
        <v>0</v>
      </c>
      <c r="N41" s="46">
        <v>0</v>
      </c>
      <c r="O41" s="46">
        <v>0</v>
      </c>
      <c r="P41" s="45">
        <f t="shared" si="2"/>
        <v>632814</v>
      </c>
    </row>
    <row r="42" spans="1:17" s="11" customFormat="1" ht="27">
      <c r="A42" s="27" t="s">
        <v>427</v>
      </c>
      <c r="B42" s="28"/>
      <c r="C42" s="29"/>
      <c r="D42" s="78" t="s">
        <v>433</v>
      </c>
      <c r="E42" s="58">
        <f t="shared" si="3"/>
        <v>7648707</v>
      </c>
      <c r="F42" s="20">
        <f>F43+F44+F45+F47+F49</f>
        <v>7648707</v>
      </c>
      <c r="G42" s="20">
        <f>G43+G44+G45+G47+G49</f>
        <v>3504028</v>
      </c>
      <c r="H42" s="20">
        <f>H43+H44+H45+H47+H49</f>
        <v>511156</v>
      </c>
      <c r="I42" s="20">
        <f>I43+I44+I45+I47+I49</f>
        <v>0</v>
      </c>
      <c r="J42" s="58">
        <f t="shared" si="4"/>
        <v>660000</v>
      </c>
      <c r="K42" s="20">
        <f>K43+K44+K45+K47+K49</f>
        <v>0</v>
      </c>
      <c r="L42" s="20">
        <f>L43+L44+L45+L47+L49</f>
        <v>0</v>
      </c>
      <c r="M42" s="20">
        <f>M43+M44+M45+M47+M49</f>
        <v>0</v>
      </c>
      <c r="N42" s="20">
        <f>N43+N44+N45+N47+N49</f>
        <v>660000</v>
      </c>
      <c r="O42" s="20">
        <f>O43+O44+O45+O47+O49</f>
        <v>660000</v>
      </c>
      <c r="P42" s="20">
        <f>E42+J42</f>
        <v>8308707</v>
      </c>
      <c r="Q42" s="108"/>
    </row>
    <row r="43" spans="1:17" s="11" customFormat="1" ht="27">
      <c r="A43" s="3" t="s">
        <v>428</v>
      </c>
      <c r="B43" s="30" t="s">
        <v>35</v>
      </c>
      <c r="C43" s="30" t="s">
        <v>20</v>
      </c>
      <c r="D43" s="73" t="s">
        <v>535</v>
      </c>
      <c r="E43" s="58">
        <f t="shared" si="3"/>
        <v>5120418</v>
      </c>
      <c r="F43" s="21">
        <f>4390899+160600+521582+47337</f>
        <v>5120418</v>
      </c>
      <c r="G43" s="21">
        <f>2824134+131600+427526+38801</f>
        <v>3422061</v>
      </c>
      <c r="H43" s="21">
        <v>511156</v>
      </c>
      <c r="I43" s="21">
        <v>0</v>
      </c>
      <c r="J43" s="58">
        <f t="shared" si="4"/>
        <v>0</v>
      </c>
      <c r="K43" s="21">
        <v>0</v>
      </c>
      <c r="L43" s="21">
        <v>0</v>
      </c>
      <c r="M43" s="21">
        <v>0</v>
      </c>
      <c r="N43" s="21">
        <v>0</v>
      </c>
      <c r="O43" s="21">
        <v>0</v>
      </c>
      <c r="P43" s="20">
        <f t="shared" si="2"/>
        <v>5120418</v>
      </c>
      <c r="Q43" s="108"/>
    </row>
    <row r="44" spans="1:17" s="11" customFormat="1" ht="27">
      <c r="A44" s="3" t="s">
        <v>430</v>
      </c>
      <c r="B44" s="5" t="s">
        <v>37</v>
      </c>
      <c r="C44" s="4" t="s">
        <v>36</v>
      </c>
      <c r="D44" s="73" t="s">
        <v>42</v>
      </c>
      <c r="E44" s="58">
        <f t="shared" si="3"/>
        <v>100000</v>
      </c>
      <c r="F44" s="21">
        <v>100000</v>
      </c>
      <c r="G44" s="21">
        <v>81967</v>
      </c>
      <c r="H44" s="21">
        <v>0</v>
      </c>
      <c r="I44" s="21">
        <v>0</v>
      </c>
      <c r="J44" s="58">
        <f t="shared" si="4"/>
        <v>0</v>
      </c>
      <c r="K44" s="21">
        <v>0</v>
      </c>
      <c r="L44" s="21">
        <v>0</v>
      </c>
      <c r="M44" s="21">
        <v>0</v>
      </c>
      <c r="N44" s="21">
        <v>0</v>
      </c>
      <c r="O44" s="21">
        <v>0</v>
      </c>
      <c r="P44" s="20">
        <f>E44+J44</f>
        <v>100000</v>
      </c>
      <c r="Q44" s="81"/>
    </row>
    <row r="45" spans="1:17" s="11" customFormat="1" ht="41.25">
      <c r="A45" s="3" t="s">
        <v>541</v>
      </c>
      <c r="B45" s="30" t="s">
        <v>317</v>
      </c>
      <c r="C45" s="4" t="s">
        <v>316</v>
      </c>
      <c r="D45" s="73" t="s">
        <v>542</v>
      </c>
      <c r="E45" s="58">
        <f t="shared" si="3"/>
        <v>0</v>
      </c>
      <c r="F45" s="21"/>
      <c r="G45" s="21"/>
      <c r="H45" s="21"/>
      <c r="I45" s="21"/>
      <c r="J45" s="58">
        <f t="shared" si="4"/>
        <v>330000</v>
      </c>
      <c r="K45" s="21"/>
      <c r="L45" s="21"/>
      <c r="M45" s="21"/>
      <c r="N45" s="21">
        <v>330000</v>
      </c>
      <c r="O45" s="21">
        <v>330000</v>
      </c>
      <c r="P45" s="20">
        <f>E45+J45</f>
        <v>330000</v>
      </c>
      <c r="Q45" s="81"/>
    </row>
    <row r="46" spans="1:17" s="11" customFormat="1" ht="75.75" customHeight="1">
      <c r="A46" s="3"/>
      <c r="B46" s="30"/>
      <c r="C46" s="4"/>
      <c r="D46" s="160" t="s">
        <v>552</v>
      </c>
      <c r="E46" s="58">
        <f t="shared" si="3"/>
        <v>0</v>
      </c>
      <c r="F46" s="21"/>
      <c r="G46" s="21"/>
      <c r="H46" s="21"/>
      <c r="I46" s="21"/>
      <c r="J46" s="58">
        <f t="shared" si="4"/>
        <v>300000</v>
      </c>
      <c r="K46" s="21"/>
      <c r="L46" s="21"/>
      <c r="M46" s="21"/>
      <c r="N46" s="21">
        <v>300000</v>
      </c>
      <c r="O46" s="21">
        <v>300000</v>
      </c>
      <c r="P46" s="20">
        <f>E46+J46</f>
        <v>300000</v>
      </c>
      <c r="Q46" s="81"/>
    </row>
    <row r="47" spans="1:17" s="11" customFormat="1" ht="24.75" customHeight="1">
      <c r="A47" s="3" t="s">
        <v>431</v>
      </c>
      <c r="B47" s="5" t="s">
        <v>40</v>
      </c>
      <c r="C47" s="4" t="s">
        <v>39</v>
      </c>
      <c r="D47" s="73" t="s">
        <v>41</v>
      </c>
      <c r="E47" s="58">
        <f t="shared" si="3"/>
        <v>1905000</v>
      </c>
      <c r="F47" s="21">
        <f>2405000-500000</f>
        <v>1905000</v>
      </c>
      <c r="G47" s="21">
        <v>0</v>
      </c>
      <c r="H47" s="21">
        <v>0</v>
      </c>
      <c r="I47" s="21">
        <v>0</v>
      </c>
      <c r="J47" s="58">
        <f t="shared" si="4"/>
        <v>330000</v>
      </c>
      <c r="K47" s="21">
        <v>0</v>
      </c>
      <c r="L47" s="21">
        <v>0</v>
      </c>
      <c r="M47" s="21">
        <v>0</v>
      </c>
      <c r="N47" s="21">
        <v>330000</v>
      </c>
      <c r="O47" s="21">
        <v>330000</v>
      </c>
      <c r="P47" s="20">
        <f t="shared" si="2"/>
        <v>2235000</v>
      </c>
      <c r="Q47" s="108"/>
    </row>
    <row r="48" spans="1:17" s="11" customFormat="1" ht="76.5" customHeight="1">
      <c r="A48" s="3"/>
      <c r="B48" s="5"/>
      <c r="C48" s="4"/>
      <c r="D48" s="160" t="s">
        <v>552</v>
      </c>
      <c r="E48" s="58">
        <f t="shared" si="3"/>
        <v>0</v>
      </c>
      <c r="F48" s="21"/>
      <c r="G48" s="21"/>
      <c r="H48" s="21"/>
      <c r="I48" s="21"/>
      <c r="J48" s="58">
        <f t="shared" si="4"/>
        <v>300000</v>
      </c>
      <c r="K48" s="21"/>
      <c r="L48" s="21"/>
      <c r="M48" s="21"/>
      <c r="N48" s="21">
        <v>300000</v>
      </c>
      <c r="O48" s="21">
        <v>300000</v>
      </c>
      <c r="P48" s="20">
        <f t="shared" si="2"/>
        <v>300000</v>
      </c>
      <c r="Q48" s="108"/>
    </row>
    <row r="49" spans="1:17" s="11" customFormat="1" ht="13.5">
      <c r="A49" s="17" t="s">
        <v>511</v>
      </c>
      <c r="B49" s="17" t="s">
        <v>32</v>
      </c>
      <c r="C49" s="17" t="s">
        <v>31</v>
      </c>
      <c r="D49" s="76" t="s">
        <v>510</v>
      </c>
      <c r="E49" s="57">
        <f t="shared" si="3"/>
        <v>523289</v>
      </c>
      <c r="F49" s="19">
        <f>F50</f>
        <v>523289</v>
      </c>
      <c r="G49" s="19">
        <f>G50</f>
        <v>0</v>
      </c>
      <c r="H49" s="19">
        <f>H50</f>
        <v>0</v>
      </c>
      <c r="I49" s="19">
        <f>I50</f>
        <v>0</v>
      </c>
      <c r="J49" s="57">
        <f t="shared" si="4"/>
        <v>0</v>
      </c>
      <c r="K49" s="19">
        <f>K50</f>
        <v>0</v>
      </c>
      <c r="L49" s="19">
        <f>L50</f>
        <v>0</v>
      </c>
      <c r="M49" s="19">
        <f>M50</f>
        <v>0</v>
      </c>
      <c r="N49" s="19">
        <f>N50</f>
        <v>0</v>
      </c>
      <c r="O49" s="19">
        <f>O50</f>
        <v>0</v>
      </c>
      <c r="P49" s="19">
        <f>E49+J49</f>
        <v>523289</v>
      </c>
      <c r="Q49" s="108"/>
    </row>
    <row r="50" spans="1:16" s="47" customFormat="1" ht="47.25" customHeight="1">
      <c r="A50" s="42"/>
      <c r="B50" s="43"/>
      <c r="C50" s="44"/>
      <c r="D50" s="113" t="s">
        <v>495</v>
      </c>
      <c r="E50" s="61">
        <f t="shared" si="3"/>
        <v>523289</v>
      </c>
      <c r="F50" s="46">
        <v>523289</v>
      </c>
      <c r="G50" s="46">
        <v>0</v>
      </c>
      <c r="H50" s="46">
        <v>0</v>
      </c>
      <c r="I50" s="46">
        <v>0</v>
      </c>
      <c r="J50" s="61">
        <f t="shared" si="4"/>
        <v>0</v>
      </c>
      <c r="K50" s="46">
        <v>0</v>
      </c>
      <c r="L50" s="46">
        <v>0</v>
      </c>
      <c r="M50" s="46">
        <v>0</v>
      </c>
      <c r="N50" s="46">
        <v>0</v>
      </c>
      <c r="O50" s="46">
        <v>0</v>
      </c>
      <c r="P50" s="45">
        <f t="shared" si="2"/>
        <v>523289</v>
      </c>
    </row>
    <row r="51" spans="1:17" s="11" customFormat="1" ht="30.75" customHeight="1">
      <c r="A51" s="12" t="s">
        <v>43</v>
      </c>
      <c r="B51" s="13"/>
      <c r="C51" s="14"/>
      <c r="D51" s="79" t="s">
        <v>525</v>
      </c>
      <c r="E51" s="56">
        <f t="shared" si="3"/>
        <v>674296245.54</v>
      </c>
      <c r="F51" s="15">
        <f>F52</f>
        <v>674296245.54</v>
      </c>
      <c r="G51" s="15">
        <f>G52</f>
        <v>404036070</v>
      </c>
      <c r="H51" s="15">
        <f>H52</f>
        <v>80038900</v>
      </c>
      <c r="I51" s="15">
        <f>I52</f>
        <v>0</v>
      </c>
      <c r="J51" s="56">
        <f t="shared" si="4"/>
        <v>61936611</v>
      </c>
      <c r="K51" s="15">
        <f>K52</f>
        <v>29019800</v>
      </c>
      <c r="L51" s="15">
        <f>L52</f>
        <v>690200</v>
      </c>
      <c r="M51" s="15">
        <f>M52</f>
        <v>145200</v>
      </c>
      <c r="N51" s="15">
        <f>N52</f>
        <v>32916811</v>
      </c>
      <c r="O51" s="15">
        <f>O52</f>
        <v>32580511</v>
      </c>
      <c r="P51" s="15">
        <f>E51+J51</f>
        <v>736232856.54</v>
      </c>
      <c r="Q51" s="108"/>
    </row>
    <row r="52" spans="1:16" s="11" customFormat="1" ht="27">
      <c r="A52" s="27" t="s">
        <v>45</v>
      </c>
      <c r="B52" s="28"/>
      <c r="C52" s="29"/>
      <c r="D52" s="78" t="s">
        <v>44</v>
      </c>
      <c r="E52" s="58">
        <f t="shared" si="3"/>
        <v>674296245.54</v>
      </c>
      <c r="F52" s="20">
        <f>F53+F54+F58+F66+F71+F73+F74+F75+F76+F77+F79+F80+F81+F84+F85+F86+F87+F88+F91+F94+F98+F100+F102+F105+F107+F108</f>
        <v>674296245.54</v>
      </c>
      <c r="G52" s="20">
        <f>G53+G54+G58+G66+G71+G73+G74+G75+G76+G77+G79+G80+G81+G84+G85+G86+G87+G88+G91+G94+G98+G100+G102+G105+G107+G108</f>
        <v>404036070</v>
      </c>
      <c r="H52" s="20">
        <f>H53+H54+H58+H66+H71+H73+H74+H75+H76+H77+H79+H80+H81+H84+H85+H86+H87+H88+H91+H94+H98+H100+H102+H105+H107+H108</f>
        <v>80038900</v>
      </c>
      <c r="I52" s="20">
        <f>I53+I54+I58+I66+I71+I73+I74+I75+I76+I77+I79+I80+I81+I84+I85+I86+I87+I88+I91+I94+I98+I100+I102+I105+I107+I108</f>
        <v>0</v>
      </c>
      <c r="J52" s="58">
        <f t="shared" si="4"/>
        <v>61936611</v>
      </c>
      <c r="K52" s="20">
        <f>K53+K54+K58+K66+K71+K73+K74+K75+K76+K77+K79+K80+K81+K84+K85+K86+K87+K88+K91+K94+K98+K100+K102+K105+K107+K108</f>
        <v>29019800</v>
      </c>
      <c r="L52" s="20">
        <f>L53+L54+L58+L66+L71+L73+L74+L75+L76+L77+L79+L80+L81+L84+L85+L86+L87+L88+L91+L94+L98+L100+L102+L105+L107+L108</f>
        <v>690200</v>
      </c>
      <c r="M52" s="20">
        <f>M53+M54+M58+M66+M71+M73+M74+M75+M76+M77+M79+M80+M81+M84+M85+M86+M87+M88+M91+M94+M98+M100+M102+M105+M107+M108</f>
        <v>145200</v>
      </c>
      <c r="N52" s="20">
        <f>N53+N54+N58+N66+N71+N73+N74+N75+N76+N77+N79+N80+N81+N84+N85+N86+N87+N88+N91+N94+N98+N100+N102+N105+N107+N108</f>
        <v>32916811</v>
      </c>
      <c r="O52" s="20">
        <f>O53+O54+O58+O66+O71+O73+O74+O75+O76+O77+O79+O80+O81+O84+O85+O86+O87+O88+O91+O94+O98+O100+O102+O105+O107+O108</f>
        <v>32580511</v>
      </c>
      <c r="P52" s="20">
        <f>E52+J52</f>
        <v>736232856.54</v>
      </c>
    </row>
    <row r="53" spans="1:17" s="11" customFormat="1" ht="27">
      <c r="A53" s="3" t="s">
        <v>46</v>
      </c>
      <c r="B53" s="30" t="s">
        <v>35</v>
      </c>
      <c r="C53" s="30" t="s">
        <v>20</v>
      </c>
      <c r="D53" s="73" t="s">
        <v>535</v>
      </c>
      <c r="E53" s="58">
        <f t="shared" si="3"/>
        <v>2089064</v>
      </c>
      <c r="F53" s="21">
        <f>1592232+139100+310189+47543</f>
        <v>2089064</v>
      </c>
      <c r="G53" s="21">
        <f>1118387+114000+254253+38970</f>
        <v>1525610</v>
      </c>
      <c r="H53" s="21">
        <v>75000</v>
      </c>
      <c r="I53" s="21">
        <v>0</v>
      </c>
      <c r="J53" s="58">
        <f t="shared" si="4"/>
        <v>16000</v>
      </c>
      <c r="K53" s="21">
        <v>16000</v>
      </c>
      <c r="L53" s="21">
        <v>0</v>
      </c>
      <c r="M53" s="21">
        <v>0</v>
      </c>
      <c r="N53" s="21">
        <v>0</v>
      </c>
      <c r="O53" s="21">
        <v>0</v>
      </c>
      <c r="P53" s="20">
        <f t="shared" si="2"/>
        <v>2105064</v>
      </c>
      <c r="Q53" s="108"/>
    </row>
    <row r="54" spans="1:18" s="11" customFormat="1" ht="13.5">
      <c r="A54" s="3" t="s">
        <v>47</v>
      </c>
      <c r="B54" s="5" t="s">
        <v>49</v>
      </c>
      <c r="C54" s="4" t="s">
        <v>48</v>
      </c>
      <c r="D54" s="73" t="s">
        <v>50</v>
      </c>
      <c r="E54" s="58">
        <f t="shared" si="3"/>
        <v>171399460</v>
      </c>
      <c r="F54" s="21">
        <f>168693700+142377+40356+107692+8375+8150+20000+19000-14549600+199600+66740+8000-1315000+75000+5887900-10656830+350000+22294000</f>
        <v>171399460</v>
      </c>
      <c r="G54" s="21">
        <f>96109100-11846600+4520400-6403011+18125200</f>
        <v>100505089</v>
      </c>
      <c r="H54" s="21">
        <f>27220100-1352552</f>
        <v>25867548</v>
      </c>
      <c r="I54" s="21">
        <v>0</v>
      </c>
      <c r="J54" s="58">
        <f t="shared" si="4"/>
        <v>20474809</v>
      </c>
      <c r="K54" s="21">
        <f>13878000-827800</f>
        <v>13050200</v>
      </c>
      <c r="L54" s="21">
        <v>0</v>
      </c>
      <c r="M54" s="21">
        <v>0</v>
      </c>
      <c r="N54" s="21">
        <f>5550000+7000+21799+20200+800000+46000+26000+28450+14070-383000+1194090+110000-10000</f>
        <v>7424609</v>
      </c>
      <c r="O54" s="21">
        <f>5550000+7000+21799+20200+800000+46000+26000+28450+14070-383000+1194090+110000-10000</f>
        <v>7424609</v>
      </c>
      <c r="P54" s="20">
        <f t="shared" si="2"/>
        <v>191874269</v>
      </c>
      <c r="Q54" s="108"/>
      <c r="R54" s="108"/>
    </row>
    <row r="55" spans="1:16" s="47" customFormat="1" ht="36" customHeight="1">
      <c r="A55" s="48"/>
      <c r="B55" s="49"/>
      <c r="C55" s="50"/>
      <c r="D55" s="113" t="s">
        <v>506</v>
      </c>
      <c r="E55" s="62">
        <f t="shared" si="3"/>
        <v>5917100</v>
      </c>
      <c r="F55" s="130">
        <v>5917100</v>
      </c>
      <c r="G55" s="130">
        <v>4850100</v>
      </c>
      <c r="H55" s="130"/>
      <c r="I55" s="130"/>
      <c r="J55" s="62">
        <f t="shared" si="4"/>
        <v>0</v>
      </c>
      <c r="K55" s="130"/>
      <c r="L55" s="130"/>
      <c r="M55" s="130"/>
      <c r="N55" s="130"/>
      <c r="O55" s="130"/>
      <c r="P55" s="45">
        <f t="shared" si="2"/>
        <v>5917100</v>
      </c>
    </row>
    <row r="56" spans="1:16" s="47" customFormat="1" ht="77.25" customHeight="1">
      <c r="A56" s="48"/>
      <c r="B56" s="49"/>
      <c r="C56" s="50"/>
      <c r="D56" s="113" t="s">
        <v>552</v>
      </c>
      <c r="E56" s="62"/>
      <c r="F56" s="130"/>
      <c r="G56" s="130"/>
      <c r="H56" s="130"/>
      <c r="I56" s="130"/>
      <c r="J56" s="62">
        <f t="shared" si="4"/>
        <v>1294090</v>
      </c>
      <c r="K56" s="130"/>
      <c r="L56" s="130"/>
      <c r="M56" s="130"/>
      <c r="N56" s="130">
        <f>1194090+100000</f>
        <v>1294090</v>
      </c>
      <c r="O56" s="130">
        <f>1194090+100000</f>
        <v>1294090</v>
      </c>
      <c r="P56" s="45">
        <f t="shared" si="2"/>
        <v>1294090</v>
      </c>
    </row>
    <row r="57" spans="1:16" s="47" customFormat="1" ht="59.25" customHeight="1">
      <c r="A57" s="48"/>
      <c r="B57" s="49"/>
      <c r="C57" s="50"/>
      <c r="D57" s="159" t="s">
        <v>576</v>
      </c>
      <c r="E57" s="62"/>
      <c r="F57" s="130"/>
      <c r="G57" s="130"/>
      <c r="H57" s="130"/>
      <c r="I57" s="130"/>
      <c r="J57" s="62">
        <f t="shared" si="4"/>
        <v>50249</v>
      </c>
      <c r="K57" s="130"/>
      <c r="L57" s="130"/>
      <c r="M57" s="130"/>
      <c r="N57" s="46">
        <f>21799+28450</f>
        <v>50249</v>
      </c>
      <c r="O57" s="46">
        <f>21799+28450</f>
        <v>50249</v>
      </c>
      <c r="P57" s="45">
        <f t="shared" si="2"/>
        <v>50249</v>
      </c>
    </row>
    <row r="58" spans="1:19" s="11" customFormat="1" ht="82.5">
      <c r="A58" s="3" t="s">
        <v>51</v>
      </c>
      <c r="B58" s="5" t="s">
        <v>53</v>
      </c>
      <c r="C58" s="4" t="s">
        <v>52</v>
      </c>
      <c r="D58" s="73" t="s">
        <v>54</v>
      </c>
      <c r="E58" s="58">
        <f t="shared" si="3"/>
        <v>356207198.76000005</v>
      </c>
      <c r="F58" s="21">
        <f>306731300+52000+425000+536490.95+886859+576921+389900+93600-50000+100000+173079+188174.2+5000+42500+60603+14863.21+90165.62+222719.22+375000+96729.8+216425.57+590000+22402+13452100-991000-40000+200000+2000+18000+399700-200000+185323.68+74200+4527200-607000+342419+968008-35700+144847.35+100000+188204.16+27434+4220500+152000+59000+10656830-1190500-350000-400000+12463900</f>
        <v>356207198.76000005</v>
      </c>
      <c r="G58" s="21">
        <f>199244800+693330+389900+10948700+3710800+755660+3453100+6403011-1215400+10128300</f>
        <v>234512201</v>
      </c>
      <c r="H58" s="21">
        <f>42388800+1352552</f>
        <v>43741352</v>
      </c>
      <c r="I58" s="21">
        <v>0</v>
      </c>
      <c r="J58" s="58">
        <f t="shared" si="4"/>
        <v>32017737</v>
      </c>
      <c r="K58" s="21">
        <f>12598000+827800</f>
        <v>13425800</v>
      </c>
      <c r="L58" s="21">
        <v>85600</v>
      </c>
      <c r="M58" s="21">
        <v>96600</v>
      </c>
      <c r="N58" s="21">
        <f>8917000+125000+1529200+17497+170462+307124+19800+11500+30000+20200+42960-22402+87021+21800+991000+40000+4410000+70677+12000-199800+1300-1990000+500000+50000+11000+184360+172700+598000+1509650-500000+24798+770000-70000+100000+550000+79090</f>
        <v>18591937</v>
      </c>
      <c r="O58" s="21">
        <f>8900000+125000+1529200+17497+170462+307124+19800+11500+30000+20200-22402+21800+991000+40000+4410000+70677+12000-199800+1300-1990000+500000+50000+11000+184360+172700+598000+129981+1509650-500000+24798+770000-70000+100000+550000+79090</f>
        <v>18574937</v>
      </c>
      <c r="P58" s="20">
        <f t="shared" si="2"/>
        <v>388224935.76000005</v>
      </c>
      <c r="Q58" s="115"/>
      <c r="R58" s="114"/>
      <c r="S58" s="108"/>
    </row>
    <row r="59" spans="1:16" s="47" customFormat="1" ht="41.25">
      <c r="A59" s="42"/>
      <c r="B59" s="43"/>
      <c r="C59" s="44"/>
      <c r="D59" s="113" t="s">
        <v>507</v>
      </c>
      <c r="E59" s="61">
        <f t="shared" si="3"/>
        <v>211355200</v>
      </c>
      <c r="F59" s="130">
        <f>212545700-1190500</f>
        <v>211355200</v>
      </c>
      <c r="G59" s="130">
        <f>174217800-1215400</f>
        <v>173002400</v>
      </c>
      <c r="H59" s="130"/>
      <c r="I59" s="130"/>
      <c r="J59" s="61">
        <f t="shared" si="4"/>
        <v>0</v>
      </c>
      <c r="K59" s="130"/>
      <c r="L59" s="130"/>
      <c r="M59" s="130"/>
      <c r="N59" s="130"/>
      <c r="O59" s="130"/>
      <c r="P59" s="131">
        <f t="shared" si="2"/>
        <v>211355200</v>
      </c>
    </row>
    <row r="60" spans="1:16" s="47" customFormat="1" ht="41.25">
      <c r="A60" s="42"/>
      <c r="B60" s="43"/>
      <c r="C60" s="44"/>
      <c r="D60" s="113" t="s">
        <v>571</v>
      </c>
      <c r="E60" s="61">
        <f t="shared" si="3"/>
        <v>425000</v>
      </c>
      <c r="F60" s="130">
        <v>425000</v>
      </c>
      <c r="G60" s="130"/>
      <c r="H60" s="130"/>
      <c r="I60" s="130"/>
      <c r="J60" s="61">
        <f t="shared" si="4"/>
        <v>1616221</v>
      </c>
      <c r="K60" s="130"/>
      <c r="L60" s="130"/>
      <c r="M60" s="130"/>
      <c r="N60" s="130">
        <f>1529200+87021</f>
        <v>1616221</v>
      </c>
      <c r="O60" s="130">
        <f>1529200+87021</f>
        <v>1616221</v>
      </c>
      <c r="P60" s="131">
        <f t="shared" si="2"/>
        <v>2041221</v>
      </c>
    </row>
    <row r="61" spans="1:18" s="47" customFormat="1" ht="69">
      <c r="A61" s="42"/>
      <c r="B61" s="43"/>
      <c r="C61" s="44"/>
      <c r="D61" s="113" t="s">
        <v>532</v>
      </c>
      <c r="E61" s="61">
        <f t="shared" si="3"/>
        <v>1854867</v>
      </c>
      <c r="F61" s="130">
        <f>886859+968008</f>
        <v>1854867</v>
      </c>
      <c r="G61" s="130">
        <f>693330+755660</f>
        <v>1448990</v>
      </c>
      <c r="H61" s="130"/>
      <c r="I61" s="130"/>
      <c r="J61" s="61">
        <f t="shared" si="4"/>
        <v>354822</v>
      </c>
      <c r="K61" s="130"/>
      <c r="L61" s="130"/>
      <c r="M61" s="130"/>
      <c r="N61" s="130">
        <f>170462+184360</f>
        <v>354822</v>
      </c>
      <c r="O61" s="130">
        <f>170462+184360</f>
        <v>354822</v>
      </c>
      <c r="P61" s="131">
        <f t="shared" si="2"/>
        <v>2209689</v>
      </c>
      <c r="R61" s="129"/>
    </row>
    <row r="62" spans="1:16" s="47" customFormat="1" ht="78" customHeight="1">
      <c r="A62" s="42"/>
      <c r="B62" s="43"/>
      <c r="C62" s="44"/>
      <c r="D62" s="113" t="s">
        <v>574</v>
      </c>
      <c r="E62" s="61">
        <f t="shared" si="3"/>
        <v>134000</v>
      </c>
      <c r="F62" s="130">
        <f>576921+173079+375000-991000</f>
        <v>134000</v>
      </c>
      <c r="G62" s="130"/>
      <c r="H62" s="130"/>
      <c r="I62" s="130"/>
      <c r="J62" s="61">
        <f t="shared" si="4"/>
        <v>991000</v>
      </c>
      <c r="K62" s="130"/>
      <c r="L62" s="130"/>
      <c r="M62" s="130"/>
      <c r="N62" s="130">
        <v>991000</v>
      </c>
      <c r="O62" s="130">
        <v>991000</v>
      </c>
      <c r="P62" s="131">
        <f t="shared" si="2"/>
        <v>1125000</v>
      </c>
    </row>
    <row r="63" spans="1:16" s="47" customFormat="1" ht="104.25" customHeight="1">
      <c r="A63" s="42"/>
      <c r="B63" s="43"/>
      <c r="C63" s="44"/>
      <c r="D63" s="113" t="s">
        <v>575</v>
      </c>
      <c r="E63" s="61">
        <f t="shared" si="3"/>
        <v>152000</v>
      </c>
      <c r="F63" s="130">
        <v>152000</v>
      </c>
      <c r="G63" s="130"/>
      <c r="H63" s="130"/>
      <c r="I63" s="130"/>
      <c r="J63" s="61">
        <f t="shared" si="4"/>
        <v>698000</v>
      </c>
      <c r="K63" s="130"/>
      <c r="L63" s="130"/>
      <c r="M63" s="130"/>
      <c r="N63" s="154">
        <f>598000+100000</f>
        <v>698000</v>
      </c>
      <c r="O63" s="154">
        <f>598000+100000</f>
        <v>698000</v>
      </c>
      <c r="P63" s="131">
        <f t="shared" si="2"/>
        <v>850000</v>
      </c>
    </row>
    <row r="64" spans="1:16" s="47" customFormat="1" ht="52.5" customHeight="1">
      <c r="A64" s="42"/>
      <c r="B64" s="43"/>
      <c r="C64" s="44"/>
      <c r="D64" s="159" t="s">
        <v>576</v>
      </c>
      <c r="E64" s="61">
        <f t="shared" si="3"/>
        <v>102000</v>
      </c>
      <c r="F64" s="130">
        <f>2000+100000</f>
        <v>102000</v>
      </c>
      <c r="G64" s="130"/>
      <c r="H64" s="130"/>
      <c r="I64" s="130"/>
      <c r="J64" s="61">
        <f t="shared" si="4"/>
        <v>36798</v>
      </c>
      <c r="K64" s="130"/>
      <c r="L64" s="130"/>
      <c r="M64" s="130"/>
      <c r="N64" s="130">
        <f>12000+24798</f>
        <v>36798</v>
      </c>
      <c r="O64" s="130">
        <f>12000+24798</f>
        <v>36798</v>
      </c>
      <c r="P64" s="131">
        <f t="shared" si="2"/>
        <v>138798</v>
      </c>
    </row>
    <row r="65" spans="1:16" s="47" customFormat="1" ht="77.25" customHeight="1">
      <c r="A65" s="42"/>
      <c r="B65" s="43"/>
      <c r="C65" s="44"/>
      <c r="D65" s="113" t="s">
        <v>552</v>
      </c>
      <c r="E65" s="61"/>
      <c r="F65" s="130"/>
      <c r="G65" s="130"/>
      <c r="H65" s="130"/>
      <c r="I65" s="130"/>
      <c r="J65" s="61">
        <f t="shared" si="4"/>
        <v>7038550</v>
      </c>
      <c r="K65" s="130"/>
      <c r="L65" s="130"/>
      <c r="M65" s="130"/>
      <c r="N65" s="130">
        <f>4100000+500000+157000+1409650-500000+700000+100000+500000+71900</f>
        <v>7038550</v>
      </c>
      <c r="O65" s="130">
        <f>4100000+500000+157000+1409650-500000+700000+100000+500000+71900</f>
        <v>7038550</v>
      </c>
      <c r="P65" s="131">
        <f t="shared" si="2"/>
        <v>7038550</v>
      </c>
    </row>
    <row r="66" spans="1:17" s="11" customFormat="1" ht="63" customHeight="1">
      <c r="A66" s="3" t="s">
        <v>55</v>
      </c>
      <c r="B66" s="5" t="s">
        <v>57</v>
      </c>
      <c r="C66" s="4" t="s">
        <v>56</v>
      </c>
      <c r="D66" s="73" t="s">
        <v>58</v>
      </c>
      <c r="E66" s="58">
        <f t="shared" si="3"/>
        <v>30295900</v>
      </c>
      <c r="F66" s="21">
        <f>25756200+12900+192307+152600+33100+182693+190000+1097500-375000+199800+472800-7000+162900+1190500+1034600</f>
        <v>30295900</v>
      </c>
      <c r="G66" s="21">
        <f>14199900+11600+152600+897900+387500+133500+947800+843200</f>
        <v>17574000</v>
      </c>
      <c r="H66" s="21">
        <v>3041200</v>
      </c>
      <c r="I66" s="21">
        <v>0</v>
      </c>
      <c r="J66" s="58">
        <f t="shared" si="4"/>
        <v>173179</v>
      </c>
      <c r="K66" s="21">
        <v>7000</v>
      </c>
      <c r="L66" s="21">
        <v>0</v>
      </c>
      <c r="M66" s="21">
        <v>0</v>
      </c>
      <c r="N66" s="21">
        <f>190000+63200-87021</f>
        <v>166179</v>
      </c>
      <c r="O66" s="21">
        <f>190000+63200-87021</f>
        <v>166179</v>
      </c>
      <c r="P66" s="20">
        <f t="shared" si="2"/>
        <v>30469079</v>
      </c>
      <c r="Q66" s="108"/>
    </row>
    <row r="67" spans="1:16" s="47" customFormat="1" ht="41.25">
      <c r="A67" s="42"/>
      <c r="B67" s="43"/>
      <c r="C67" s="44"/>
      <c r="D67" s="113" t="s">
        <v>507</v>
      </c>
      <c r="E67" s="61">
        <f t="shared" si="3"/>
        <v>15879400</v>
      </c>
      <c r="F67" s="130">
        <f>14676000+12900+1190500</f>
        <v>15879400</v>
      </c>
      <c r="G67" s="130">
        <f>12029500+10600+947800</f>
        <v>12987900</v>
      </c>
      <c r="H67" s="130"/>
      <c r="I67" s="130"/>
      <c r="J67" s="61">
        <f t="shared" si="4"/>
        <v>0</v>
      </c>
      <c r="K67" s="130"/>
      <c r="L67" s="130"/>
      <c r="M67" s="130"/>
      <c r="N67" s="130"/>
      <c r="O67" s="130"/>
      <c r="P67" s="131">
        <f t="shared" si="2"/>
        <v>15879400</v>
      </c>
    </row>
    <row r="68" spans="1:16" s="47" customFormat="1" ht="41.25">
      <c r="A68" s="42"/>
      <c r="B68" s="43"/>
      <c r="C68" s="44"/>
      <c r="D68" s="113" t="s">
        <v>571</v>
      </c>
      <c r="E68" s="61">
        <f t="shared" si="3"/>
        <v>0</v>
      </c>
      <c r="F68" s="130"/>
      <c r="G68" s="130"/>
      <c r="H68" s="130"/>
      <c r="I68" s="130"/>
      <c r="J68" s="61">
        <f t="shared" si="4"/>
        <v>102979</v>
      </c>
      <c r="K68" s="130"/>
      <c r="L68" s="130"/>
      <c r="M68" s="130"/>
      <c r="N68" s="130">
        <f>190000-87021</f>
        <v>102979</v>
      </c>
      <c r="O68" s="130">
        <f>190000-87021</f>
        <v>102979</v>
      </c>
      <c r="P68" s="131">
        <f t="shared" si="2"/>
        <v>102979</v>
      </c>
    </row>
    <row r="69" spans="1:16" s="47" customFormat="1" ht="69" hidden="1">
      <c r="A69" s="42"/>
      <c r="B69" s="43"/>
      <c r="C69" s="44"/>
      <c r="D69" s="113" t="s">
        <v>533</v>
      </c>
      <c r="E69" s="61">
        <f t="shared" si="3"/>
        <v>0</v>
      </c>
      <c r="F69" s="130">
        <f>192307+182693-375000</f>
        <v>0</v>
      </c>
      <c r="G69" s="130"/>
      <c r="H69" s="130"/>
      <c r="I69" s="130"/>
      <c r="J69" s="61">
        <f t="shared" si="4"/>
        <v>0</v>
      </c>
      <c r="K69" s="130"/>
      <c r="L69" s="130"/>
      <c r="M69" s="130"/>
      <c r="N69" s="130"/>
      <c r="O69" s="130"/>
      <c r="P69" s="131">
        <f t="shared" si="2"/>
        <v>0</v>
      </c>
    </row>
    <row r="70" spans="1:16" s="47" customFormat="1" ht="13.5" hidden="1">
      <c r="A70" s="42"/>
      <c r="B70" s="43"/>
      <c r="C70" s="44"/>
      <c r="D70" s="113"/>
      <c r="E70" s="61"/>
      <c r="F70" s="130"/>
      <c r="G70" s="130"/>
      <c r="H70" s="130"/>
      <c r="I70" s="130"/>
      <c r="J70" s="61"/>
      <c r="K70" s="130"/>
      <c r="L70" s="130"/>
      <c r="M70" s="130"/>
      <c r="N70" s="130"/>
      <c r="O70" s="130"/>
      <c r="P70" s="131"/>
    </row>
    <row r="71" spans="1:17" s="11" customFormat="1" ht="57.75" customHeight="1">
      <c r="A71" s="3" t="s">
        <v>59</v>
      </c>
      <c r="B71" s="5" t="s">
        <v>61</v>
      </c>
      <c r="C71" s="4" t="s">
        <v>60</v>
      </c>
      <c r="D71" s="73" t="s">
        <v>62</v>
      </c>
      <c r="E71" s="58">
        <f t="shared" si="3"/>
        <v>19361257</v>
      </c>
      <c r="F71" s="21">
        <f>19083100+34000+112557+3000-49000+20000+157600</f>
        <v>19361257</v>
      </c>
      <c r="G71" s="21">
        <f>13373700+103400</f>
        <v>13477100</v>
      </c>
      <c r="H71" s="21">
        <v>2364000</v>
      </c>
      <c r="I71" s="21">
        <v>0</v>
      </c>
      <c r="J71" s="58">
        <f t="shared" si="4"/>
        <v>150000</v>
      </c>
      <c r="K71" s="21">
        <v>44000</v>
      </c>
      <c r="L71" s="21">
        <v>0</v>
      </c>
      <c r="M71" s="21">
        <v>2000</v>
      </c>
      <c r="N71" s="21">
        <f>66000+100000+40000-100000</f>
        <v>106000</v>
      </c>
      <c r="O71" s="21">
        <f>66000+100000+40000-100000</f>
        <v>106000</v>
      </c>
      <c r="P71" s="20">
        <f t="shared" si="2"/>
        <v>19511257</v>
      </c>
      <c r="Q71" s="108"/>
    </row>
    <row r="72" spans="1:16" s="47" customFormat="1" ht="36.75" customHeight="1">
      <c r="A72" s="42"/>
      <c r="B72" s="43"/>
      <c r="C72" s="44"/>
      <c r="D72" s="113" t="s">
        <v>506</v>
      </c>
      <c r="E72" s="61">
        <f t="shared" si="3"/>
        <v>924300</v>
      </c>
      <c r="F72" s="130">
        <v>924300</v>
      </c>
      <c r="G72" s="130">
        <v>757600</v>
      </c>
      <c r="H72" s="130"/>
      <c r="I72" s="130"/>
      <c r="J72" s="61">
        <f t="shared" si="4"/>
        <v>0</v>
      </c>
      <c r="K72" s="130"/>
      <c r="L72" s="130"/>
      <c r="M72" s="130"/>
      <c r="N72" s="130"/>
      <c r="O72" s="130"/>
      <c r="P72" s="131">
        <f t="shared" si="2"/>
        <v>924300</v>
      </c>
    </row>
    <row r="73" spans="1:17" s="11" customFormat="1" ht="41.25">
      <c r="A73" s="3" t="s">
        <v>63</v>
      </c>
      <c r="B73" s="5" t="s">
        <v>65</v>
      </c>
      <c r="C73" s="4" t="s">
        <v>64</v>
      </c>
      <c r="D73" s="73" t="s">
        <v>66</v>
      </c>
      <c r="E73" s="58">
        <f t="shared" si="3"/>
        <v>4049500</v>
      </c>
      <c r="F73" s="21">
        <f>4846700-548100-121100-200000+72000</f>
        <v>4049500</v>
      </c>
      <c r="G73" s="21">
        <f>3246100-548100+60000</f>
        <v>2758000</v>
      </c>
      <c r="H73" s="21">
        <v>237000</v>
      </c>
      <c r="I73" s="21">
        <v>0</v>
      </c>
      <c r="J73" s="58">
        <f t="shared" si="4"/>
        <v>151000</v>
      </c>
      <c r="K73" s="21">
        <v>106000</v>
      </c>
      <c r="L73" s="21">
        <v>3600</v>
      </c>
      <c r="M73" s="21">
        <v>12000</v>
      </c>
      <c r="N73" s="21">
        <v>45000</v>
      </c>
      <c r="O73" s="21">
        <v>0</v>
      </c>
      <c r="P73" s="20">
        <f t="shared" si="2"/>
        <v>4200500</v>
      </c>
      <c r="Q73" s="108"/>
    </row>
    <row r="74" spans="1:17" s="11" customFormat="1" ht="35.25" customHeight="1">
      <c r="A74" s="3" t="s">
        <v>67</v>
      </c>
      <c r="B74" s="5" t="s">
        <v>68</v>
      </c>
      <c r="C74" s="4" t="s">
        <v>64</v>
      </c>
      <c r="D74" s="73" t="s">
        <v>69</v>
      </c>
      <c r="E74" s="58">
        <f t="shared" si="3"/>
        <v>1884700</v>
      </c>
      <c r="F74" s="21">
        <f>2034700-150000</f>
        <v>1884700</v>
      </c>
      <c r="G74" s="21">
        <f>1344000-7400-11500</f>
        <v>1325100</v>
      </c>
      <c r="H74" s="21">
        <v>90900</v>
      </c>
      <c r="I74" s="21">
        <v>0</v>
      </c>
      <c r="J74" s="58">
        <f t="shared" si="4"/>
        <v>0</v>
      </c>
      <c r="K74" s="21">
        <v>0</v>
      </c>
      <c r="L74" s="21">
        <v>0</v>
      </c>
      <c r="M74" s="21">
        <v>0</v>
      </c>
      <c r="N74" s="21">
        <v>0</v>
      </c>
      <c r="O74" s="21">
        <v>0</v>
      </c>
      <c r="P74" s="20">
        <f t="shared" si="2"/>
        <v>1884700</v>
      </c>
      <c r="Q74" s="108"/>
    </row>
    <row r="75" spans="1:17" s="11" customFormat="1" ht="33.75" customHeight="1">
      <c r="A75" s="3" t="s">
        <v>70</v>
      </c>
      <c r="B75" s="5" t="s">
        <v>71</v>
      </c>
      <c r="C75" s="4" t="s">
        <v>64</v>
      </c>
      <c r="D75" s="73" t="s">
        <v>72</v>
      </c>
      <c r="E75" s="58">
        <f t="shared" si="3"/>
        <v>1638100</v>
      </c>
      <c r="F75" s="21">
        <f>1760100-50000-72000</f>
        <v>1638100</v>
      </c>
      <c r="G75" s="21">
        <f>938700-3100-60000</f>
        <v>875600</v>
      </c>
      <c r="H75" s="21">
        <v>142700</v>
      </c>
      <c r="I75" s="21">
        <v>0</v>
      </c>
      <c r="J75" s="58">
        <f t="shared" si="4"/>
        <v>0</v>
      </c>
      <c r="K75" s="21">
        <v>0</v>
      </c>
      <c r="L75" s="21">
        <v>0</v>
      </c>
      <c r="M75" s="21">
        <v>0</v>
      </c>
      <c r="N75" s="21">
        <v>0</v>
      </c>
      <c r="O75" s="21">
        <v>0</v>
      </c>
      <c r="P75" s="20">
        <f t="shared" si="2"/>
        <v>1638100</v>
      </c>
      <c r="Q75" s="108"/>
    </row>
    <row r="76" spans="1:17" s="11" customFormat="1" ht="41.25">
      <c r="A76" s="3" t="s">
        <v>73</v>
      </c>
      <c r="B76" s="5" t="s">
        <v>74</v>
      </c>
      <c r="C76" s="4" t="s">
        <v>64</v>
      </c>
      <c r="D76" s="73" t="s">
        <v>75</v>
      </c>
      <c r="E76" s="58">
        <f t="shared" si="3"/>
        <v>126700</v>
      </c>
      <c r="F76" s="21">
        <v>126700</v>
      </c>
      <c r="G76" s="21">
        <v>0</v>
      </c>
      <c r="H76" s="21">
        <v>0</v>
      </c>
      <c r="I76" s="21">
        <v>0</v>
      </c>
      <c r="J76" s="58">
        <f t="shared" si="4"/>
        <v>0</v>
      </c>
      <c r="K76" s="21">
        <v>0</v>
      </c>
      <c r="L76" s="21">
        <v>0</v>
      </c>
      <c r="M76" s="21">
        <v>0</v>
      </c>
      <c r="N76" s="21">
        <v>0</v>
      </c>
      <c r="O76" s="21">
        <v>0</v>
      </c>
      <c r="P76" s="20">
        <f t="shared" si="2"/>
        <v>126700</v>
      </c>
      <c r="Q76" s="108"/>
    </row>
    <row r="77" spans="1:17" s="11" customFormat="1" ht="35.25" customHeight="1">
      <c r="A77" s="16" t="s">
        <v>76</v>
      </c>
      <c r="B77" s="17"/>
      <c r="C77" s="18"/>
      <c r="D77" s="74" t="s">
        <v>515</v>
      </c>
      <c r="E77" s="57">
        <f>F77+I77</f>
        <v>77300</v>
      </c>
      <c r="F77" s="19">
        <f>F78</f>
        <v>77300</v>
      </c>
      <c r="G77" s="19">
        <f>G78</f>
        <v>35900</v>
      </c>
      <c r="H77" s="19">
        <f>H78</f>
        <v>0</v>
      </c>
      <c r="I77" s="19">
        <f>I78</f>
        <v>0</v>
      </c>
      <c r="J77" s="57">
        <f>K77+N77</f>
        <v>0</v>
      </c>
      <c r="K77" s="19">
        <f>K78</f>
        <v>0</v>
      </c>
      <c r="L77" s="19">
        <f>L78</f>
        <v>0</v>
      </c>
      <c r="M77" s="19">
        <f>M78</f>
        <v>0</v>
      </c>
      <c r="N77" s="19">
        <f>N78</f>
        <v>0</v>
      </c>
      <c r="O77" s="19">
        <f>O78</f>
        <v>0</v>
      </c>
      <c r="P77" s="19">
        <f t="shared" si="2"/>
        <v>77300</v>
      </c>
      <c r="Q77" s="108"/>
    </row>
    <row r="78" spans="1:16" s="11" customFormat="1" ht="48.75" customHeight="1">
      <c r="A78" s="22" t="s">
        <v>77</v>
      </c>
      <c r="B78" s="23" t="s">
        <v>78</v>
      </c>
      <c r="C78" s="24" t="s">
        <v>57</v>
      </c>
      <c r="D78" s="75" t="s">
        <v>79</v>
      </c>
      <c r="E78" s="59">
        <f t="shared" si="3"/>
        <v>77300</v>
      </c>
      <c r="F78" s="26">
        <f>59000+18300</f>
        <v>77300</v>
      </c>
      <c r="G78" s="26">
        <f>20900+15000</f>
        <v>35900</v>
      </c>
      <c r="H78" s="26">
        <v>0</v>
      </c>
      <c r="I78" s="26">
        <v>0</v>
      </c>
      <c r="J78" s="59">
        <f t="shared" si="4"/>
        <v>0</v>
      </c>
      <c r="K78" s="26">
        <v>0</v>
      </c>
      <c r="L78" s="26">
        <v>0</v>
      </c>
      <c r="M78" s="26">
        <v>0</v>
      </c>
      <c r="N78" s="26">
        <v>0</v>
      </c>
      <c r="O78" s="26">
        <v>0</v>
      </c>
      <c r="P78" s="25">
        <f t="shared" si="2"/>
        <v>77300</v>
      </c>
    </row>
    <row r="79" spans="1:17" s="11" customFormat="1" ht="69">
      <c r="A79" s="3" t="s">
        <v>80</v>
      </c>
      <c r="B79" s="5" t="s">
        <v>81</v>
      </c>
      <c r="C79" s="4" t="s">
        <v>57</v>
      </c>
      <c r="D79" s="73" t="s">
        <v>82</v>
      </c>
      <c r="E79" s="58">
        <f t="shared" si="3"/>
        <v>3982100</v>
      </c>
      <c r="F79" s="21">
        <f>3752100+340000-110000</f>
        <v>3982100</v>
      </c>
      <c r="G79" s="21">
        <v>0</v>
      </c>
      <c r="H79" s="21">
        <v>0</v>
      </c>
      <c r="I79" s="21">
        <v>0</v>
      </c>
      <c r="J79" s="58">
        <f t="shared" si="4"/>
        <v>450000</v>
      </c>
      <c r="K79" s="21">
        <v>450000</v>
      </c>
      <c r="L79" s="21">
        <v>0</v>
      </c>
      <c r="M79" s="21">
        <v>0</v>
      </c>
      <c r="N79" s="21">
        <v>0</v>
      </c>
      <c r="O79" s="21">
        <v>0</v>
      </c>
      <c r="P79" s="20">
        <f t="shared" si="2"/>
        <v>4432100</v>
      </c>
      <c r="Q79" s="108"/>
    </row>
    <row r="80" spans="1:17" s="11" customFormat="1" ht="13.5">
      <c r="A80" s="3" t="s">
        <v>83</v>
      </c>
      <c r="B80" s="5" t="s">
        <v>84</v>
      </c>
      <c r="C80" s="4" t="s">
        <v>57</v>
      </c>
      <c r="D80" s="73" t="s">
        <v>33</v>
      </c>
      <c r="E80" s="58">
        <f t="shared" si="3"/>
        <v>375900</v>
      </c>
      <c r="F80" s="21">
        <v>375900</v>
      </c>
      <c r="G80" s="21">
        <v>0</v>
      </c>
      <c r="H80" s="21">
        <v>0</v>
      </c>
      <c r="I80" s="21">
        <v>0</v>
      </c>
      <c r="J80" s="58">
        <f t="shared" si="4"/>
        <v>0</v>
      </c>
      <c r="K80" s="21">
        <v>0</v>
      </c>
      <c r="L80" s="21">
        <v>0</v>
      </c>
      <c r="M80" s="21">
        <v>0</v>
      </c>
      <c r="N80" s="21">
        <v>0</v>
      </c>
      <c r="O80" s="21">
        <v>0</v>
      </c>
      <c r="P80" s="20">
        <f t="shared" si="2"/>
        <v>375900</v>
      </c>
      <c r="Q80" s="108"/>
    </row>
    <row r="81" spans="1:17" s="11" customFormat="1" ht="13.5">
      <c r="A81" s="3" t="s">
        <v>85</v>
      </c>
      <c r="B81" s="5" t="s">
        <v>87</v>
      </c>
      <c r="C81" s="4" t="s">
        <v>86</v>
      </c>
      <c r="D81" s="73" t="s">
        <v>88</v>
      </c>
      <c r="E81" s="58">
        <f t="shared" si="3"/>
        <v>22816203.779999997</v>
      </c>
      <c r="F81" s="21">
        <f>18191300+507200+73000+880000+20000+10098.4+100000+14181.38-184962+1388186+1817200</f>
        <v>22816203.779999997</v>
      </c>
      <c r="G81" s="21">
        <v>0</v>
      </c>
      <c r="H81" s="21">
        <v>0</v>
      </c>
      <c r="I81" s="21">
        <v>0</v>
      </c>
      <c r="J81" s="58">
        <f t="shared" si="4"/>
        <v>3303502</v>
      </c>
      <c r="K81" s="21">
        <v>0</v>
      </c>
      <c r="L81" s="21">
        <v>0</v>
      </c>
      <c r="M81" s="21">
        <v>0</v>
      </c>
      <c r="N81" s="21">
        <f>703000+1234000+308000+184962+873540</f>
        <v>3303502</v>
      </c>
      <c r="O81" s="21">
        <f>703000+1234000+308000+184962+873540</f>
        <v>3303502</v>
      </c>
      <c r="P81" s="20">
        <f t="shared" si="2"/>
        <v>26119705.779999997</v>
      </c>
      <c r="Q81" s="108"/>
    </row>
    <row r="82" spans="1:17" s="11" customFormat="1" ht="69">
      <c r="A82" s="3"/>
      <c r="B82" s="5"/>
      <c r="C82" s="4"/>
      <c r="D82" s="113" t="s">
        <v>552</v>
      </c>
      <c r="E82" s="58">
        <f t="shared" si="3"/>
        <v>0</v>
      </c>
      <c r="F82" s="21"/>
      <c r="G82" s="21"/>
      <c r="H82" s="21"/>
      <c r="I82" s="21"/>
      <c r="J82" s="58">
        <f t="shared" si="4"/>
        <v>280000</v>
      </c>
      <c r="K82" s="21"/>
      <c r="L82" s="21"/>
      <c r="M82" s="21"/>
      <c r="N82" s="21">
        <v>280000</v>
      </c>
      <c r="O82" s="21">
        <v>280000</v>
      </c>
      <c r="P82" s="20">
        <f t="shared" si="2"/>
        <v>280000</v>
      </c>
      <c r="Q82" s="108"/>
    </row>
    <row r="83" spans="1:17" s="11" customFormat="1" ht="50.25" customHeight="1">
      <c r="A83" s="3"/>
      <c r="B83" s="5"/>
      <c r="C83" s="4"/>
      <c r="D83" s="159" t="s">
        <v>576</v>
      </c>
      <c r="E83" s="58">
        <f t="shared" si="3"/>
        <v>20000</v>
      </c>
      <c r="F83" s="21">
        <v>20000</v>
      </c>
      <c r="G83" s="21"/>
      <c r="H83" s="21"/>
      <c r="I83" s="21"/>
      <c r="J83" s="58"/>
      <c r="K83" s="21"/>
      <c r="L83" s="21"/>
      <c r="M83" s="21"/>
      <c r="N83" s="21"/>
      <c r="O83" s="21"/>
      <c r="P83" s="20">
        <f t="shared" si="2"/>
        <v>20000</v>
      </c>
      <c r="Q83" s="108"/>
    </row>
    <row r="84" spans="1:17" s="11" customFormat="1" ht="45" customHeight="1">
      <c r="A84" s="3" t="s">
        <v>89</v>
      </c>
      <c r="B84" s="5" t="s">
        <v>91</v>
      </c>
      <c r="C84" s="4" t="s">
        <v>90</v>
      </c>
      <c r="D84" s="73" t="s">
        <v>92</v>
      </c>
      <c r="E84" s="58">
        <f t="shared" si="3"/>
        <v>2265722</v>
      </c>
      <c r="F84" s="21">
        <f>747200+500000-500000+500000-249000+372000+150000+745522</f>
        <v>2265722</v>
      </c>
      <c r="G84" s="21">
        <v>0</v>
      </c>
      <c r="H84" s="21">
        <v>0</v>
      </c>
      <c r="I84" s="21">
        <v>0</v>
      </c>
      <c r="J84" s="58">
        <f t="shared" si="4"/>
        <v>0</v>
      </c>
      <c r="K84" s="21">
        <v>0</v>
      </c>
      <c r="L84" s="21">
        <v>0</v>
      </c>
      <c r="M84" s="21">
        <v>0</v>
      </c>
      <c r="N84" s="21">
        <v>0</v>
      </c>
      <c r="O84" s="21">
        <v>0</v>
      </c>
      <c r="P84" s="20">
        <f t="shared" si="2"/>
        <v>2265722</v>
      </c>
      <c r="Q84" s="108"/>
    </row>
    <row r="85" spans="1:17" s="11" customFormat="1" ht="13.5">
      <c r="A85" s="3" t="s">
        <v>93</v>
      </c>
      <c r="B85" s="5" t="s">
        <v>95</v>
      </c>
      <c r="C85" s="4" t="s">
        <v>94</v>
      </c>
      <c r="D85" s="73" t="s">
        <v>96</v>
      </c>
      <c r="E85" s="58">
        <f t="shared" si="3"/>
        <v>5223200</v>
      </c>
      <c r="F85" s="21">
        <f>5144760+7800+10640+60000</f>
        <v>5223200</v>
      </c>
      <c r="G85" s="21">
        <v>3308700</v>
      </c>
      <c r="H85" s="21">
        <v>565100</v>
      </c>
      <c r="I85" s="21">
        <v>0</v>
      </c>
      <c r="J85" s="58">
        <f t="shared" si="4"/>
        <v>50000</v>
      </c>
      <c r="K85" s="21">
        <v>0</v>
      </c>
      <c r="L85" s="21">
        <v>0</v>
      </c>
      <c r="M85" s="21">
        <v>0</v>
      </c>
      <c r="N85" s="21">
        <f>50000</f>
        <v>50000</v>
      </c>
      <c r="O85" s="21">
        <f>50000</f>
        <v>50000</v>
      </c>
      <c r="P85" s="20">
        <f t="shared" si="2"/>
        <v>5273200</v>
      </c>
      <c r="Q85" s="108"/>
    </row>
    <row r="86" spans="1:17" s="11" customFormat="1" ht="13.5">
      <c r="A86" s="3" t="s">
        <v>97</v>
      </c>
      <c r="B86" s="5" t="s">
        <v>98</v>
      </c>
      <c r="C86" s="4" t="s">
        <v>94</v>
      </c>
      <c r="D86" s="73" t="s">
        <v>99</v>
      </c>
      <c r="E86" s="58">
        <f t="shared" si="3"/>
        <v>2992870</v>
      </c>
      <c r="F86" s="21">
        <v>2992870</v>
      </c>
      <c r="G86" s="21">
        <f>1515000-13500+23770</f>
        <v>1525270</v>
      </c>
      <c r="H86" s="21">
        <v>359300</v>
      </c>
      <c r="I86" s="21">
        <v>0</v>
      </c>
      <c r="J86" s="58">
        <f t="shared" si="4"/>
        <v>210000</v>
      </c>
      <c r="K86" s="21">
        <v>60000</v>
      </c>
      <c r="L86" s="21">
        <v>1000</v>
      </c>
      <c r="M86" s="21">
        <v>1100</v>
      </c>
      <c r="N86" s="21">
        <v>150000</v>
      </c>
      <c r="O86" s="21">
        <v>140000</v>
      </c>
      <c r="P86" s="20">
        <f t="shared" si="2"/>
        <v>3202870</v>
      </c>
      <c r="Q86" s="108"/>
    </row>
    <row r="87" spans="1:17" s="11" customFormat="1" ht="13.5">
      <c r="A87" s="3" t="s">
        <v>100</v>
      </c>
      <c r="B87" s="5" t="s">
        <v>101</v>
      </c>
      <c r="C87" s="4" t="s">
        <v>60</v>
      </c>
      <c r="D87" s="73" t="s">
        <v>102</v>
      </c>
      <c r="E87" s="58">
        <f t="shared" si="3"/>
        <v>20914440</v>
      </c>
      <c r="F87" s="21">
        <f>20963370-48930</f>
        <v>20914440</v>
      </c>
      <c r="G87" s="21">
        <v>15121200</v>
      </c>
      <c r="H87" s="21">
        <v>1843200</v>
      </c>
      <c r="I87" s="21">
        <v>0</v>
      </c>
      <c r="J87" s="58">
        <f t="shared" si="4"/>
        <v>2005030</v>
      </c>
      <c r="K87" s="21">
        <v>1466800</v>
      </c>
      <c r="L87" s="21">
        <v>600000</v>
      </c>
      <c r="M87" s="21">
        <v>2800</v>
      </c>
      <c r="N87" s="21">
        <f>489300+48930</f>
        <v>538230</v>
      </c>
      <c r="O87" s="21">
        <f>225000+48930</f>
        <v>273930</v>
      </c>
      <c r="P87" s="20">
        <f t="shared" si="2"/>
        <v>22919470</v>
      </c>
      <c r="Q87" s="108"/>
    </row>
    <row r="88" spans="1:17" s="11" customFormat="1" ht="13.5">
      <c r="A88" s="16" t="s">
        <v>103</v>
      </c>
      <c r="B88" s="17"/>
      <c r="C88" s="18"/>
      <c r="D88" s="74" t="s">
        <v>104</v>
      </c>
      <c r="E88" s="57">
        <f aca="true" t="shared" si="6" ref="E88:E95">F88+I88</f>
        <v>513100</v>
      </c>
      <c r="F88" s="19">
        <f>F89+F90</f>
        <v>513100</v>
      </c>
      <c r="G88" s="19">
        <f>G89+G90</f>
        <v>0</v>
      </c>
      <c r="H88" s="19">
        <f>H89+H90</f>
        <v>0</v>
      </c>
      <c r="I88" s="19">
        <f>I89+I90</f>
        <v>0</v>
      </c>
      <c r="J88" s="57">
        <f>K88+N88</f>
        <v>0</v>
      </c>
      <c r="K88" s="19">
        <f>K89+K90</f>
        <v>0</v>
      </c>
      <c r="L88" s="19">
        <f>L89+L90</f>
        <v>0</v>
      </c>
      <c r="M88" s="19">
        <f>M89+M90</f>
        <v>0</v>
      </c>
      <c r="N88" s="19">
        <f>N89+N90</f>
        <v>0</v>
      </c>
      <c r="O88" s="19">
        <f>O89+O90</f>
        <v>0</v>
      </c>
      <c r="P88" s="19">
        <f>E88+J88</f>
        <v>513100</v>
      </c>
      <c r="Q88" s="108"/>
    </row>
    <row r="89" spans="1:16" s="11" customFormat="1" ht="27">
      <c r="A89" s="22" t="s">
        <v>105</v>
      </c>
      <c r="B89" s="23" t="s">
        <v>107</v>
      </c>
      <c r="C89" s="24" t="s">
        <v>106</v>
      </c>
      <c r="D89" s="75" t="s">
        <v>108</v>
      </c>
      <c r="E89" s="59">
        <f t="shared" si="6"/>
        <v>295200</v>
      </c>
      <c r="F89" s="26">
        <f>313500-18300</f>
        <v>295200</v>
      </c>
      <c r="G89" s="26">
        <v>0</v>
      </c>
      <c r="H89" s="26">
        <v>0</v>
      </c>
      <c r="I89" s="26">
        <v>0</v>
      </c>
      <c r="J89" s="59">
        <f>K89+N89</f>
        <v>0</v>
      </c>
      <c r="K89" s="26">
        <v>0</v>
      </c>
      <c r="L89" s="26">
        <v>0</v>
      </c>
      <c r="M89" s="26">
        <v>0</v>
      </c>
      <c r="N89" s="26">
        <v>0</v>
      </c>
      <c r="O89" s="26">
        <v>0</v>
      </c>
      <c r="P89" s="25">
        <f t="shared" si="2"/>
        <v>295200</v>
      </c>
    </row>
    <row r="90" spans="1:16" s="11" customFormat="1" ht="27">
      <c r="A90" s="22" t="s">
        <v>109</v>
      </c>
      <c r="B90" s="23" t="s">
        <v>110</v>
      </c>
      <c r="C90" s="24" t="s">
        <v>106</v>
      </c>
      <c r="D90" s="75" t="s">
        <v>111</v>
      </c>
      <c r="E90" s="59">
        <f t="shared" si="6"/>
        <v>217900</v>
      </c>
      <c r="F90" s="26">
        <v>217900</v>
      </c>
      <c r="G90" s="26">
        <v>0</v>
      </c>
      <c r="H90" s="26">
        <v>0</v>
      </c>
      <c r="I90" s="26">
        <v>0</v>
      </c>
      <c r="J90" s="59">
        <f>K90+N90</f>
        <v>0</v>
      </c>
      <c r="K90" s="26">
        <v>0</v>
      </c>
      <c r="L90" s="26">
        <v>0</v>
      </c>
      <c r="M90" s="26">
        <v>0</v>
      </c>
      <c r="N90" s="26">
        <v>0</v>
      </c>
      <c r="O90" s="26">
        <v>0</v>
      </c>
      <c r="P90" s="25">
        <f t="shared" si="2"/>
        <v>217900</v>
      </c>
    </row>
    <row r="91" spans="1:17" s="11" customFormat="1" ht="27">
      <c r="A91" s="16" t="s">
        <v>112</v>
      </c>
      <c r="B91" s="17"/>
      <c r="C91" s="18"/>
      <c r="D91" s="74" t="s">
        <v>113</v>
      </c>
      <c r="E91" s="57">
        <f t="shared" si="6"/>
        <v>400000</v>
      </c>
      <c r="F91" s="19">
        <f>F92+F93</f>
        <v>400000</v>
      </c>
      <c r="G91" s="19">
        <f>G92+G93</f>
        <v>292800</v>
      </c>
      <c r="H91" s="19">
        <f>H92+H93</f>
        <v>6200</v>
      </c>
      <c r="I91" s="19">
        <f>I92+I93</f>
        <v>0</v>
      </c>
      <c r="J91" s="57">
        <f>K91+N91</f>
        <v>0</v>
      </c>
      <c r="K91" s="19">
        <f>K92+K93</f>
        <v>0</v>
      </c>
      <c r="L91" s="19">
        <f>L92+L93</f>
        <v>0</v>
      </c>
      <c r="M91" s="19">
        <f>M92+M93</f>
        <v>0</v>
      </c>
      <c r="N91" s="19">
        <f>N92+N93</f>
        <v>0</v>
      </c>
      <c r="O91" s="19">
        <f>O92+O93</f>
        <v>0</v>
      </c>
      <c r="P91" s="19">
        <f>E91+J91</f>
        <v>400000</v>
      </c>
      <c r="Q91" s="108"/>
    </row>
    <row r="92" spans="1:16" s="11" customFormat="1" ht="27">
      <c r="A92" s="22" t="s">
        <v>114</v>
      </c>
      <c r="B92" s="23" t="s">
        <v>115</v>
      </c>
      <c r="C92" s="24" t="s">
        <v>106</v>
      </c>
      <c r="D92" s="75" t="s">
        <v>116</v>
      </c>
      <c r="E92" s="59">
        <f t="shared" si="6"/>
        <v>370000</v>
      </c>
      <c r="F92" s="26">
        <f>302000+16300+1400+50300</f>
        <v>370000</v>
      </c>
      <c r="G92" s="26">
        <f>239700+13300+39800</f>
        <v>292800</v>
      </c>
      <c r="H92" s="26">
        <v>6200</v>
      </c>
      <c r="I92" s="26">
        <v>0</v>
      </c>
      <c r="J92" s="59">
        <f>K92+N92</f>
        <v>0</v>
      </c>
      <c r="K92" s="26">
        <v>0</v>
      </c>
      <c r="L92" s="26">
        <v>0</v>
      </c>
      <c r="M92" s="26">
        <v>0</v>
      </c>
      <c r="N92" s="26">
        <v>0</v>
      </c>
      <c r="O92" s="26">
        <v>0</v>
      </c>
      <c r="P92" s="25">
        <f t="shared" si="2"/>
        <v>370000</v>
      </c>
    </row>
    <row r="93" spans="1:16" s="11" customFormat="1" ht="27">
      <c r="A93" s="22" t="s">
        <v>117</v>
      </c>
      <c r="B93" s="23" t="s">
        <v>118</v>
      </c>
      <c r="C93" s="24" t="s">
        <v>106</v>
      </c>
      <c r="D93" s="75" t="s">
        <v>119</v>
      </c>
      <c r="E93" s="59">
        <f t="shared" si="6"/>
        <v>30000</v>
      </c>
      <c r="F93" s="26">
        <f>22800+7200</f>
        <v>30000</v>
      </c>
      <c r="G93" s="26">
        <v>0</v>
      </c>
      <c r="H93" s="26">
        <v>0</v>
      </c>
      <c r="I93" s="26">
        <v>0</v>
      </c>
      <c r="J93" s="59">
        <f aca="true" t="shared" si="7" ref="J93:J133">K93+N93</f>
        <v>0</v>
      </c>
      <c r="K93" s="26">
        <v>0</v>
      </c>
      <c r="L93" s="26">
        <v>0</v>
      </c>
      <c r="M93" s="26">
        <v>0</v>
      </c>
      <c r="N93" s="26">
        <v>0</v>
      </c>
      <c r="O93" s="26">
        <v>0</v>
      </c>
      <c r="P93" s="25">
        <f t="shared" si="2"/>
        <v>30000</v>
      </c>
    </row>
    <row r="94" spans="1:17" s="11" customFormat="1" ht="27">
      <c r="A94" s="16" t="s">
        <v>120</v>
      </c>
      <c r="B94" s="17"/>
      <c r="C94" s="18"/>
      <c r="D94" s="74" t="s">
        <v>121</v>
      </c>
      <c r="E94" s="57">
        <f t="shared" si="6"/>
        <v>18197130</v>
      </c>
      <c r="F94" s="19">
        <f>F95+F97</f>
        <v>18197130</v>
      </c>
      <c r="G94" s="19">
        <f>G95+G97</f>
        <v>10869300</v>
      </c>
      <c r="H94" s="19">
        <f>H95+H97</f>
        <v>1669600</v>
      </c>
      <c r="I94" s="19">
        <f>I95+I97</f>
        <v>0</v>
      </c>
      <c r="J94" s="57">
        <f>K94+N94</f>
        <v>774000</v>
      </c>
      <c r="K94" s="19">
        <f>K95+K97</f>
        <v>104000</v>
      </c>
      <c r="L94" s="19">
        <f>L95+L97</f>
        <v>0</v>
      </c>
      <c r="M94" s="19">
        <f>M95+M97</f>
        <v>30700</v>
      </c>
      <c r="N94" s="19">
        <f>N95+N97</f>
        <v>670000</v>
      </c>
      <c r="O94" s="19">
        <f>O95+O97</f>
        <v>670000</v>
      </c>
      <c r="P94" s="19">
        <f>E94+J94</f>
        <v>18971130</v>
      </c>
      <c r="Q94" s="108"/>
    </row>
    <row r="95" spans="1:16" s="11" customFormat="1" ht="41.25">
      <c r="A95" s="22" t="s">
        <v>122</v>
      </c>
      <c r="B95" s="23" t="s">
        <v>123</v>
      </c>
      <c r="C95" s="24" t="s">
        <v>106</v>
      </c>
      <c r="D95" s="75" t="s">
        <v>124</v>
      </c>
      <c r="E95" s="59">
        <f t="shared" si="6"/>
        <v>15808730</v>
      </c>
      <c r="F95" s="26">
        <f>13928800+540000+23830-400000+16000+512000+5000-10000+1193100</f>
        <v>15808730</v>
      </c>
      <c r="G95" s="26">
        <f>9521600+410000+937700</f>
        <v>10869300</v>
      </c>
      <c r="H95" s="26">
        <v>1669600</v>
      </c>
      <c r="I95" s="26">
        <v>0</v>
      </c>
      <c r="J95" s="59">
        <f>K95+N95</f>
        <v>774000</v>
      </c>
      <c r="K95" s="26">
        <v>104000</v>
      </c>
      <c r="L95" s="26">
        <v>0</v>
      </c>
      <c r="M95" s="26">
        <v>30700</v>
      </c>
      <c r="N95" s="26">
        <f>10000+110000+550000</f>
        <v>670000</v>
      </c>
      <c r="O95" s="26">
        <f>10000+110000+550000</f>
        <v>670000</v>
      </c>
      <c r="P95" s="25">
        <f t="shared" si="2"/>
        <v>16582730</v>
      </c>
    </row>
    <row r="96" spans="1:16" s="11" customFormat="1" ht="75" customHeight="1">
      <c r="A96" s="22"/>
      <c r="B96" s="23"/>
      <c r="C96" s="24"/>
      <c r="D96" s="160" t="s">
        <v>552</v>
      </c>
      <c r="E96" s="59"/>
      <c r="F96" s="26"/>
      <c r="G96" s="26"/>
      <c r="H96" s="26"/>
      <c r="I96" s="26"/>
      <c r="J96" s="59">
        <f>K96+N96</f>
        <v>600000</v>
      </c>
      <c r="K96" s="26"/>
      <c r="L96" s="26"/>
      <c r="M96" s="26"/>
      <c r="N96" s="46">
        <f>100000+500000</f>
        <v>600000</v>
      </c>
      <c r="O96" s="46">
        <f>100000+500000</f>
        <v>600000</v>
      </c>
      <c r="P96" s="25">
        <f t="shared" si="2"/>
        <v>600000</v>
      </c>
    </row>
    <row r="97" spans="1:16" s="11" customFormat="1" ht="41.25">
      <c r="A97" s="22" t="s">
        <v>125</v>
      </c>
      <c r="B97" s="23" t="s">
        <v>126</v>
      </c>
      <c r="C97" s="24" t="s">
        <v>106</v>
      </c>
      <c r="D97" s="75" t="s">
        <v>127</v>
      </c>
      <c r="E97" s="59">
        <f aca="true" t="shared" si="8" ref="E97:E104">F97+I97</f>
        <v>2388400</v>
      </c>
      <c r="F97" s="26">
        <f>1594800+376700+416900</f>
        <v>2388400</v>
      </c>
      <c r="G97" s="26">
        <v>0</v>
      </c>
      <c r="H97" s="26">
        <v>0</v>
      </c>
      <c r="I97" s="26">
        <v>0</v>
      </c>
      <c r="J97" s="59">
        <f t="shared" si="7"/>
        <v>0</v>
      </c>
      <c r="K97" s="26">
        <v>0</v>
      </c>
      <c r="L97" s="26">
        <v>0</v>
      </c>
      <c r="M97" s="26">
        <v>0</v>
      </c>
      <c r="N97" s="26">
        <v>0</v>
      </c>
      <c r="O97" s="26">
        <v>0</v>
      </c>
      <c r="P97" s="25">
        <f t="shared" si="2"/>
        <v>2388400</v>
      </c>
    </row>
    <row r="98" spans="1:17" s="11" customFormat="1" ht="33.75" customHeight="1">
      <c r="A98" s="16" t="s">
        <v>128</v>
      </c>
      <c r="B98" s="17"/>
      <c r="C98" s="18"/>
      <c r="D98" s="74" t="s">
        <v>129</v>
      </c>
      <c r="E98" s="57">
        <f t="shared" si="8"/>
        <v>6975900</v>
      </c>
      <c r="F98" s="19">
        <f>F99</f>
        <v>6975900</v>
      </c>
      <c r="G98" s="19">
        <f>G99</f>
        <v>0</v>
      </c>
      <c r="H98" s="19">
        <f>H99</f>
        <v>0</v>
      </c>
      <c r="I98" s="19">
        <f>I99</f>
        <v>0</v>
      </c>
      <c r="J98" s="57">
        <f>K98+N98</f>
        <v>0</v>
      </c>
      <c r="K98" s="19">
        <f>K99</f>
        <v>0</v>
      </c>
      <c r="L98" s="19">
        <f>L99</f>
        <v>0</v>
      </c>
      <c r="M98" s="19">
        <f>M99</f>
        <v>0</v>
      </c>
      <c r="N98" s="19">
        <f>N99</f>
        <v>0</v>
      </c>
      <c r="O98" s="19">
        <f>O99</f>
        <v>0</v>
      </c>
      <c r="P98" s="19">
        <f t="shared" si="2"/>
        <v>6975900</v>
      </c>
      <c r="Q98" s="108"/>
    </row>
    <row r="99" spans="1:16" s="11" customFormat="1" ht="33.75" customHeight="1">
      <c r="A99" s="22" t="s">
        <v>130</v>
      </c>
      <c r="B99" s="23" t="s">
        <v>131</v>
      </c>
      <c r="C99" s="24" t="s">
        <v>106</v>
      </c>
      <c r="D99" s="75" t="s">
        <v>132</v>
      </c>
      <c r="E99" s="59">
        <f t="shared" si="8"/>
        <v>6975900</v>
      </c>
      <c r="F99" s="26">
        <f>6416700+70000+1500+487700</f>
        <v>6975900</v>
      </c>
      <c r="G99" s="26">
        <v>0</v>
      </c>
      <c r="H99" s="26">
        <v>0</v>
      </c>
      <c r="I99" s="26">
        <v>0</v>
      </c>
      <c r="J99" s="59">
        <f t="shared" si="7"/>
        <v>0</v>
      </c>
      <c r="K99" s="26">
        <v>0</v>
      </c>
      <c r="L99" s="26">
        <v>0</v>
      </c>
      <c r="M99" s="26">
        <v>0</v>
      </c>
      <c r="N99" s="26">
        <v>0</v>
      </c>
      <c r="O99" s="26">
        <v>0</v>
      </c>
      <c r="P99" s="25">
        <f t="shared" si="2"/>
        <v>6975900</v>
      </c>
    </row>
    <row r="100" spans="1:17" s="11" customFormat="1" ht="27">
      <c r="A100" s="16" t="s">
        <v>133</v>
      </c>
      <c r="B100" s="17"/>
      <c r="C100" s="18"/>
      <c r="D100" s="74" t="s">
        <v>134</v>
      </c>
      <c r="E100" s="57">
        <f t="shared" si="8"/>
        <v>108500</v>
      </c>
      <c r="F100" s="19">
        <f>F101</f>
        <v>108500</v>
      </c>
      <c r="G100" s="19">
        <f>G101</f>
        <v>0</v>
      </c>
      <c r="H100" s="19">
        <f>H101</f>
        <v>0</v>
      </c>
      <c r="I100" s="19">
        <f>I101</f>
        <v>0</v>
      </c>
      <c r="J100" s="57">
        <f>K100+N100</f>
        <v>0</v>
      </c>
      <c r="K100" s="19">
        <f>K101</f>
        <v>0</v>
      </c>
      <c r="L100" s="19">
        <f>L101</f>
        <v>0</v>
      </c>
      <c r="M100" s="19">
        <f>M101</f>
        <v>0</v>
      </c>
      <c r="N100" s="19">
        <f>N101</f>
        <v>0</v>
      </c>
      <c r="O100" s="19">
        <f>O101</f>
        <v>0</v>
      </c>
      <c r="P100" s="19">
        <f>E100+J100</f>
        <v>108500</v>
      </c>
      <c r="Q100" s="108"/>
    </row>
    <row r="101" spans="1:16" s="11" customFormat="1" ht="61.5" customHeight="1">
      <c r="A101" s="22" t="s">
        <v>135</v>
      </c>
      <c r="B101" s="23" t="s">
        <v>136</v>
      </c>
      <c r="C101" s="24" t="s">
        <v>106</v>
      </c>
      <c r="D101" s="75" t="s">
        <v>137</v>
      </c>
      <c r="E101" s="59">
        <f t="shared" si="8"/>
        <v>108500</v>
      </c>
      <c r="F101" s="26">
        <f>99600+8900</f>
        <v>108500</v>
      </c>
      <c r="G101" s="26">
        <v>0</v>
      </c>
      <c r="H101" s="26">
        <v>0</v>
      </c>
      <c r="I101" s="26">
        <v>0</v>
      </c>
      <c r="J101" s="59">
        <f>K101+N101</f>
        <v>0</v>
      </c>
      <c r="K101" s="26">
        <v>0</v>
      </c>
      <c r="L101" s="26">
        <v>0</v>
      </c>
      <c r="M101" s="26">
        <v>0</v>
      </c>
      <c r="N101" s="26">
        <v>0</v>
      </c>
      <c r="O101" s="26">
        <v>0</v>
      </c>
      <c r="P101" s="25">
        <f t="shared" si="2"/>
        <v>108500</v>
      </c>
    </row>
    <row r="102" spans="1:17" s="11" customFormat="1" ht="27">
      <c r="A102" s="16" t="s">
        <v>138</v>
      </c>
      <c r="B102" s="17"/>
      <c r="C102" s="18"/>
      <c r="D102" s="74" t="s">
        <v>139</v>
      </c>
      <c r="E102" s="57">
        <f t="shared" si="8"/>
        <v>2402000</v>
      </c>
      <c r="F102" s="19">
        <f>F103+F104</f>
        <v>2402000</v>
      </c>
      <c r="G102" s="19">
        <f>G103+G104</f>
        <v>330200</v>
      </c>
      <c r="H102" s="19">
        <f>H103+H104</f>
        <v>35800</v>
      </c>
      <c r="I102" s="19">
        <f>I103+I104</f>
        <v>0</v>
      </c>
      <c r="J102" s="57">
        <f>K102+N102</f>
        <v>0</v>
      </c>
      <c r="K102" s="19">
        <f>K103+K104</f>
        <v>0</v>
      </c>
      <c r="L102" s="19">
        <f>L103+L104</f>
        <v>0</v>
      </c>
      <c r="M102" s="19">
        <f>M103+M104</f>
        <v>0</v>
      </c>
      <c r="N102" s="19">
        <f>N103+N104</f>
        <v>0</v>
      </c>
      <c r="O102" s="19">
        <f>O103+O104</f>
        <v>0</v>
      </c>
      <c r="P102" s="19">
        <f>E102+J102</f>
        <v>2402000</v>
      </c>
      <c r="Q102" s="108"/>
    </row>
    <row r="103" spans="1:16" s="11" customFormat="1" ht="54.75">
      <c r="A103" s="22" t="s">
        <v>140</v>
      </c>
      <c r="B103" s="23" t="s">
        <v>141</v>
      </c>
      <c r="C103" s="24" t="s">
        <v>106</v>
      </c>
      <c r="D103" s="75" t="s">
        <v>142</v>
      </c>
      <c r="E103" s="59">
        <f t="shared" si="8"/>
        <v>1703700</v>
      </c>
      <c r="F103" s="26">
        <f>1582600+53900-8600+75800</f>
        <v>1703700</v>
      </c>
      <c r="G103" s="26">
        <f>224400+44200+61600</f>
        <v>330200</v>
      </c>
      <c r="H103" s="26">
        <v>35800</v>
      </c>
      <c r="I103" s="26">
        <v>0</v>
      </c>
      <c r="J103" s="59">
        <f t="shared" si="7"/>
        <v>0</v>
      </c>
      <c r="K103" s="26">
        <v>0</v>
      </c>
      <c r="L103" s="26">
        <v>0</v>
      </c>
      <c r="M103" s="26">
        <v>0</v>
      </c>
      <c r="N103" s="26">
        <v>0</v>
      </c>
      <c r="O103" s="26">
        <v>0</v>
      </c>
      <c r="P103" s="25">
        <f t="shared" si="2"/>
        <v>1703700</v>
      </c>
    </row>
    <row r="104" spans="1:16" s="11" customFormat="1" ht="41.25">
      <c r="A104" s="22" t="s">
        <v>143</v>
      </c>
      <c r="B104" s="23" t="s">
        <v>144</v>
      </c>
      <c r="C104" s="24" t="s">
        <v>106</v>
      </c>
      <c r="D104" s="75" t="s">
        <v>145</v>
      </c>
      <c r="E104" s="59">
        <f t="shared" si="8"/>
        <v>698300</v>
      </c>
      <c r="F104" s="26">
        <v>698300</v>
      </c>
      <c r="G104" s="26">
        <v>0</v>
      </c>
      <c r="H104" s="26">
        <v>0</v>
      </c>
      <c r="I104" s="26">
        <v>0</v>
      </c>
      <c r="J104" s="59">
        <f t="shared" si="7"/>
        <v>0</v>
      </c>
      <c r="K104" s="26">
        <v>0</v>
      </c>
      <c r="L104" s="26">
        <v>0</v>
      </c>
      <c r="M104" s="26">
        <v>0</v>
      </c>
      <c r="N104" s="26">
        <v>0</v>
      </c>
      <c r="O104" s="26">
        <v>0</v>
      </c>
      <c r="P104" s="25">
        <f t="shared" si="2"/>
        <v>698300</v>
      </c>
    </row>
    <row r="105" spans="1:17" s="134" customFormat="1" ht="59.25" customHeight="1">
      <c r="A105" s="16">
        <v>1016350</v>
      </c>
      <c r="B105" s="64">
        <v>6350</v>
      </c>
      <c r="C105" s="65" t="s">
        <v>60</v>
      </c>
      <c r="D105" s="74" t="s">
        <v>336</v>
      </c>
      <c r="E105" s="57">
        <f aca="true" t="shared" si="9" ref="E105:E111">F105+I105</f>
        <v>0</v>
      </c>
      <c r="F105" s="19"/>
      <c r="G105" s="19"/>
      <c r="H105" s="19"/>
      <c r="I105" s="19"/>
      <c r="J105" s="57">
        <f t="shared" si="7"/>
        <v>221354</v>
      </c>
      <c r="K105" s="19"/>
      <c r="L105" s="19"/>
      <c r="M105" s="19"/>
      <c r="N105" s="19">
        <f>200000+246876-200000+220000-245522</f>
        <v>221354</v>
      </c>
      <c r="O105" s="19">
        <f>200000+246876-200000+220000-245522</f>
        <v>221354</v>
      </c>
      <c r="P105" s="19">
        <f>E105+J105</f>
        <v>221354</v>
      </c>
      <c r="Q105" s="133"/>
    </row>
    <row r="106" spans="1:17" s="53" customFormat="1" ht="72.75" customHeight="1">
      <c r="A106" s="3"/>
      <c r="B106" s="5"/>
      <c r="C106" s="4"/>
      <c r="D106" s="113" t="s">
        <v>552</v>
      </c>
      <c r="E106" s="61">
        <f t="shared" si="9"/>
        <v>0</v>
      </c>
      <c r="F106" s="46"/>
      <c r="G106" s="46"/>
      <c r="H106" s="46"/>
      <c r="I106" s="46"/>
      <c r="J106" s="61">
        <f t="shared" si="7"/>
        <v>200000</v>
      </c>
      <c r="K106" s="46"/>
      <c r="L106" s="46"/>
      <c r="M106" s="46"/>
      <c r="N106" s="46">
        <v>200000</v>
      </c>
      <c r="O106" s="46">
        <v>200000</v>
      </c>
      <c r="P106" s="45">
        <f>E106+J106</f>
        <v>200000</v>
      </c>
      <c r="Q106" s="119"/>
    </row>
    <row r="107" spans="1:17" s="41" customFormat="1" ht="33" customHeight="1">
      <c r="A107" s="16" t="s">
        <v>146</v>
      </c>
      <c r="B107" s="64" t="s">
        <v>148</v>
      </c>
      <c r="C107" s="65" t="s">
        <v>147</v>
      </c>
      <c r="D107" s="74" t="s">
        <v>149</v>
      </c>
      <c r="E107" s="57">
        <f t="shared" si="9"/>
        <v>0</v>
      </c>
      <c r="F107" s="19">
        <v>0</v>
      </c>
      <c r="G107" s="19">
        <v>0</v>
      </c>
      <c r="H107" s="19">
        <v>0</v>
      </c>
      <c r="I107" s="19">
        <v>0</v>
      </c>
      <c r="J107" s="57">
        <f t="shared" si="7"/>
        <v>1650000</v>
      </c>
      <c r="K107" s="19">
        <v>0</v>
      </c>
      <c r="L107" s="19">
        <v>0</v>
      </c>
      <c r="M107" s="19">
        <v>0</v>
      </c>
      <c r="N107" s="19">
        <f>550000+300000+10000+500000-500000+180000+500000+110000</f>
        <v>1650000</v>
      </c>
      <c r="O107" s="19">
        <f>550000+300000+10000+500000-500000+180000+500000+110000</f>
        <v>1650000</v>
      </c>
      <c r="P107" s="19">
        <f>E107+J107</f>
        <v>1650000</v>
      </c>
      <c r="Q107" s="120"/>
    </row>
    <row r="108" spans="1:17" s="41" customFormat="1" ht="27">
      <c r="A108" s="16" t="s">
        <v>150</v>
      </c>
      <c r="B108" s="64" t="s">
        <v>152</v>
      </c>
      <c r="C108" s="65" t="s">
        <v>151</v>
      </c>
      <c r="D108" s="74" t="s">
        <v>153</v>
      </c>
      <c r="E108" s="57">
        <f t="shared" si="9"/>
        <v>0</v>
      </c>
      <c r="F108" s="19">
        <v>0</v>
      </c>
      <c r="G108" s="19">
        <v>0</v>
      </c>
      <c r="H108" s="19">
        <v>0</v>
      </c>
      <c r="I108" s="19">
        <v>0</v>
      </c>
      <c r="J108" s="57">
        <f t="shared" si="7"/>
        <v>290000</v>
      </c>
      <c r="K108" s="19">
        <f>62100+127900+100000</f>
        <v>290000</v>
      </c>
      <c r="L108" s="19">
        <v>0</v>
      </c>
      <c r="M108" s="19">
        <v>0</v>
      </c>
      <c r="N108" s="19">
        <v>0</v>
      </c>
      <c r="O108" s="19">
        <v>0</v>
      </c>
      <c r="P108" s="19">
        <f>E108+J108</f>
        <v>290000</v>
      </c>
      <c r="Q108" s="120"/>
    </row>
    <row r="109" spans="1:17" s="71" customFormat="1" ht="22.5" customHeight="1">
      <c r="A109" s="66" t="s">
        <v>154</v>
      </c>
      <c r="B109" s="67"/>
      <c r="C109" s="68"/>
      <c r="D109" s="72" t="s">
        <v>424</v>
      </c>
      <c r="E109" s="69">
        <f>F109+I109</f>
        <v>383911346.02000004</v>
      </c>
      <c r="F109" s="70">
        <f>F110</f>
        <v>383911346.02000004</v>
      </c>
      <c r="G109" s="70">
        <f>G110</f>
        <v>3132952.66</v>
      </c>
      <c r="H109" s="70">
        <f>H110</f>
        <v>242875.04</v>
      </c>
      <c r="I109" s="70">
        <f>I110</f>
        <v>0</v>
      </c>
      <c r="J109" s="69">
        <f t="shared" si="7"/>
        <v>24919167.580000002</v>
      </c>
      <c r="K109" s="70">
        <f>K110</f>
        <v>11333704</v>
      </c>
      <c r="L109" s="70">
        <f>L110</f>
        <v>0</v>
      </c>
      <c r="M109" s="70">
        <f>M110</f>
        <v>0</v>
      </c>
      <c r="N109" s="70">
        <f>N110</f>
        <v>13585463.580000002</v>
      </c>
      <c r="O109" s="70">
        <f>O110</f>
        <v>13020223.580000002</v>
      </c>
      <c r="P109" s="70">
        <f t="shared" si="2"/>
        <v>408830513.6</v>
      </c>
      <c r="Q109" s="116"/>
    </row>
    <row r="110" spans="1:16" s="99" customFormat="1" ht="39" customHeight="1">
      <c r="A110" s="27" t="s">
        <v>155</v>
      </c>
      <c r="B110" s="28"/>
      <c r="C110" s="29"/>
      <c r="D110" s="78" t="s">
        <v>579</v>
      </c>
      <c r="E110" s="58">
        <f t="shared" si="9"/>
        <v>383911346.02000004</v>
      </c>
      <c r="F110" s="20">
        <f>F111+F112+F116+F120+F122+F125+F130+F131+F134+F139+F143+F145+F148+F149+F151+F154+F144+F133+F156</f>
        <v>383911346.02000004</v>
      </c>
      <c r="G110" s="20">
        <f>G111+G112+G116+G120+G122+G125+G130+G131+G134+G139+G143+G145+G148+G149+G151+G154+G144+G133+G156</f>
        <v>3132952.66</v>
      </c>
      <c r="H110" s="20">
        <f>H111+H112+H116+H120+H122+H125+H130+H131+H134+H139+H143+H145+H148+H149+H151+H154+H144+H133+H156</f>
        <v>242875.04</v>
      </c>
      <c r="I110" s="20">
        <f>I111+I112+I116+I120+I122+I125+I130+I131+I134+I139+I143+I145+I148+I149+I151+I154+I144+I133+I156</f>
        <v>0</v>
      </c>
      <c r="J110" s="58">
        <f t="shared" si="7"/>
        <v>24919167.580000002</v>
      </c>
      <c r="K110" s="20">
        <f>K111+K112+K116+K120+K122+K125+K130+K131+K134+K139+K143+K145+K148+K149+K151+K154+K144+K133+K156</f>
        <v>11333704</v>
      </c>
      <c r="L110" s="20">
        <f>L111+L112+L116+L120+L122+L125+L130+L131+L134+L139+L143+L145+L148+L149+L151+L154+L144+L133+L156</f>
        <v>0</v>
      </c>
      <c r="M110" s="20">
        <f>M111+M112+M116+M120+M122+M125+M130+M131+M134+M139+M143+M145+M148+M149+M151+M154+M144+M133+M156</f>
        <v>0</v>
      </c>
      <c r="N110" s="20">
        <f>N111+N112+N116+N120+N122+N125+N130+N131+N134+N139+N143+N145+N148+N149+N151+N154+N144+N133+N156+N153</f>
        <v>13585463.580000002</v>
      </c>
      <c r="O110" s="20">
        <f>O111+O112+O116+O120+O122+O125+O130+O131+O134+O139+O143+O145+O148+O149+O151+O154+O144+O133+O156+O153</f>
        <v>13020223.580000002</v>
      </c>
      <c r="P110" s="20">
        <f t="shared" si="2"/>
        <v>408830513.6</v>
      </c>
    </row>
    <row r="111" spans="1:17" s="11" customFormat="1" ht="36.75" customHeight="1">
      <c r="A111" s="3" t="s">
        <v>156</v>
      </c>
      <c r="B111" s="30" t="s">
        <v>35</v>
      </c>
      <c r="C111" s="30" t="s">
        <v>20</v>
      </c>
      <c r="D111" s="73" t="s">
        <v>535</v>
      </c>
      <c r="E111" s="58">
        <f t="shared" si="9"/>
        <v>2342787</v>
      </c>
      <c r="F111" s="21">
        <f>2813057+11367-650331+44200+18000+87442+19052</f>
        <v>2342787</v>
      </c>
      <c r="G111" s="21">
        <f>2087892-497196+36200+71674+15616</f>
        <v>1714186</v>
      </c>
      <c r="H111" s="21">
        <f>129079-25341</f>
        <v>103738</v>
      </c>
      <c r="I111" s="21">
        <v>0</v>
      </c>
      <c r="J111" s="58">
        <f t="shared" si="7"/>
        <v>0</v>
      </c>
      <c r="K111" s="21">
        <v>0</v>
      </c>
      <c r="L111" s="21">
        <v>0</v>
      </c>
      <c r="M111" s="21">
        <v>0</v>
      </c>
      <c r="N111" s="21">
        <v>0</v>
      </c>
      <c r="O111" s="21">
        <v>0</v>
      </c>
      <c r="P111" s="20">
        <f t="shared" si="2"/>
        <v>2342787</v>
      </c>
      <c r="Q111" s="108"/>
    </row>
    <row r="112" spans="1:19" s="11" customFormat="1" ht="33.75" customHeight="1">
      <c r="A112" s="3" t="s">
        <v>157</v>
      </c>
      <c r="B112" s="5" t="s">
        <v>159</v>
      </c>
      <c r="C112" s="4" t="s">
        <v>158</v>
      </c>
      <c r="D112" s="73" t="s">
        <v>160</v>
      </c>
      <c r="E112" s="58">
        <f aca="true" t="shared" si="10" ref="E112:E133">F112+I112</f>
        <v>193891477</v>
      </c>
      <c r="F112" s="21">
        <f>183788510+641034+12906+915465+351662+1258786+276933-915465-351662+32500+57500+44014+12000+781666+5800+2579918+2842883-1055829+2612856</f>
        <v>193891477</v>
      </c>
      <c r="G112" s="21">
        <v>0</v>
      </c>
      <c r="H112" s="21">
        <v>0</v>
      </c>
      <c r="I112" s="21">
        <v>0</v>
      </c>
      <c r="J112" s="58">
        <f t="shared" si="7"/>
        <v>3027218.4</v>
      </c>
      <c r="K112" s="21">
        <v>1922324</v>
      </c>
      <c r="L112" s="21">
        <v>0</v>
      </c>
      <c r="M112" s="21">
        <v>0</v>
      </c>
      <c r="N112" s="21">
        <f>703210+68118.4+97426-49166+330000-30000-14694</f>
        <v>1104894.4</v>
      </c>
      <c r="O112" s="21">
        <f>637970+68118.4+330000-30000+48260-14694</f>
        <v>1039654.3999999999</v>
      </c>
      <c r="P112" s="20">
        <f aca="true" t="shared" si="11" ref="P112:P241">E112+J112</f>
        <v>196918695.4</v>
      </c>
      <c r="Q112" s="115"/>
      <c r="R112" s="114"/>
      <c r="S112" s="108"/>
    </row>
    <row r="113" spans="1:17" s="47" customFormat="1" ht="47.25" customHeight="1">
      <c r="A113" s="42"/>
      <c r="B113" s="43"/>
      <c r="C113" s="44"/>
      <c r="D113" s="113" t="s">
        <v>508</v>
      </c>
      <c r="E113" s="61">
        <f t="shared" si="10"/>
        <v>116662918</v>
      </c>
      <c r="F113" s="46">
        <f>112782935+915465+351662+2612856</f>
        <v>116662918</v>
      </c>
      <c r="G113" s="46">
        <v>0</v>
      </c>
      <c r="H113" s="46">
        <v>0</v>
      </c>
      <c r="I113" s="46">
        <v>0</v>
      </c>
      <c r="J113" s="61">
        <f t="shared" si="7"/>
        <v>0</v>
      </c>
      <c r="K113" s="46">
        <v>0</v>
      </c>
      <c r="L113" s="46">
        <v>0</v>
      </c>
      <c r="M113" s="46">
        <v>0</v>
      </c>
      <c r="N113" s="46">
        <v>0</v>
      </c>
      <c r="O113" s="46">
        <v>0</v>
      </c>
      <c r="P113" s="45">
        <f t="shared" si="11"/>
        <v>116662918</v>
      </c>
      <c r="Q113" s="129"/>
    </row>
    <row r="114" spans="1:16" s="47" customFormat="1" ht="78" customHeight="1">
      <c r="A114" s="42"/>
      <c r="B114" s="43"/>
      <c r="C114" s="44"/>
      <c r="D114" s="113" t="s">
        <v>573</v>
      </c>
      <c r="E114" s="61">
        <f t="shared" si="10"/>
        <v>0</v>
      </c>
      <c r="F114" s="46"/>
      <c r="G114" s="46"/>
      <c r="H114" s="46"/>
      <c r="I114" s="46"/>
      <c r="J114" s="61">
        <f t="shared" si="7"/>
        <v>300000</v>
      </c>
      <c r="K114" s="46"/>
      <c r="L114" s="46"/>
      <c r="M114" s="46"/>
      <c r="N114" s="46">
        <v>300000</v>
      </c>
      <c r="O114" s="46">
        <v>300000</v>
      </c>
      <c r="P114" s="45">
        <f t="shared" si="11"/>
        <v>300000</v>
      </c>
    </row>
    <row r="115" spans="1:16" s="47" customFormat="1" ht="48.75" customHeight="1">
      <c r="A115" s="42"/>
      <c r="B115" s="43"/>
      <c r="C115" s="44"/>
      <c r="D115" s="113" t="s">
        <v>572</v>
      </c>
      <c r="E115" s="61">
        <f t="shared" si="10"/>
        <v>1268920</v>
      </c>
      <c r="F115" s="46">
        <v>1268920</v>
      </c>
      <c r="G115" s="46"/>
      <c r="H115" s="46"/>
      <c r="I115" s="46"/>
      <c r="J115" s="61">
        <f t="shared" si="7"/>
        <v>0</v>
      </c>
      <c r="K115" s="46"/>
      <c r="L115" s="46"/>
      <c r="M115" s="46"/>
      <c r="N115" s="46"/>
      <c r="O115" s="46"/>
      <c r="P115" s="45">
        <f t="shared" si="11"/>
        <v>1268920</v>
      </c>
    </row>
    <row r="116" spans="1:17" s="11" customFormat="1" ht="27">
      <c r="A116" s="3" t="s">
        <v>161</v>
      </c>
      <c r="B116" s="5" t="s">
        <v>163</v>
      </c>
      <c r="C116" s="4" t="s">
        <v>162</v>
      </c>
      <c r="D116" s="73" t="s">
        <v>164</v>
      </c>
      <c r="E116" s="58">
        <f t="shared" si="10"/>
        <v>33922644</v>
      </c>
      <c r="F116" s="21">
        <f>33080221+23817+39369+100000+22000-39369+263240+141946+73748+217672</f>
        <v>33922644</v>
      </c>
      <c r="G116" s="21">
        <v>0</v>
      </c>
      <c r="H116" s="21">
        <v>0</v>
      </c>
      <c r="I116" s="21">
        <v>0</v>
      </c>
      <c r="J116" s="58">
        <f t="shared" si="7"/>
        <v>325382</v>
      </c>
      <c r="K116" s="21">
        <v>325382</v>
      </c>
      <c r="L116" s="21">
        <v>0</v>
      </c>
      <c r="M116" s="21">
        <v>0</v>
      </c>
      <c r="N116" s="21">
        <v>0</v>
      </c>
      <c r="O116" s="21">
        <v>0</v>
      </c>
      <c r="P116" s="20">
        <f t="shared" si="11"/>
        <v>34248026</v>
      </c>
      <c r="Q116" s="108"/>
    </row>
    <row r="117" spans="1:16" s="47" customFormat="1" ht="46.5" customHeight="1">
      <c r="A117" s="42"/>
      <c r="B117" s="43"/>
      <c r="C117" s="44"/>
      <c r="D117" s="113" t="s">
        <v>508</v>
      </c>
      <c r="E117" s="61">
        <f t="shared" si="10"/>
        <v>21765049</v>
      </c>
      <c r="F117" s="46">
        <f>21725680+39369</f>
        <v>21765049</v>
      </c>
      <c r="G117" s="46">
        <v>0</v>
      </c>
      <c r="H117" s="46">
        <v>0</v>
      </c>
      <c r="I117" s="46">
        <v>0</v>
      </c>
      <c r="J117" s="61">
        <f t="shared" si="7"/>
        <v>0</v>
      </c>
      <c r="K117" s="46">
        <v>0</v>
      </c>
      <c r="L117" s="46">
        <v>0</v>
      </c>
      <c r="M117" s="46">
        <v>0</v>
      </c>
      <c r="N117" s="46">
        <v>0</v>
      </c>
      <c r="O117" s="46">
        <v>0</v>
      </c>
      <c r="P117" s="45">
        <f t="shared" si="11"/>
        <v>21765049</v>
      </c>
    </row>
    <row r="118" spans="1:16" s="47" customFormat="1" ht="81" customHeight="1">
      <c r="A118" s="42"/>
      <c r="B118" s="43"/>
      <c r="C118" s="44"/>
      <c r="D118" s="113" t="s">
        <v>538</v>
      </c>
      <c r="E118" s="61">
        <f t="shared" si="10"/>
        <v>336988</v>
      </c>
      <c r="F118" s="46">
        <f>263240+73748</f>
        <v>336988</v>
      </c>
      <c r="G118" s="46">
        <v>0</v>
      </c>
      <c r="H118" s="46">
        <v>0</v>
      </c>
      <c r="I118" s="46">
        <v>0</v>
      </c>
      <c r="J118" s="61">
        <f t="shared" si="7"/>
        <v>0</v>
      </c>
      <c r="K118" s="46">
        <v>0</v>
      </c>
      <c r="L118" s="46">
        <v>0</v>
      </c>
      <c r="M118" s="46">
        <v>0</v>
      </c>
      <c r="N118" s="46">
        <v>0</v>
      </c>
      <c r="O118" s="46">
        <v>0</v>
      </c>
      <c r="P118" s="45">
        <f t="shared" si="11"/>
        <v>336988</v>
      </c>
    </row>
    <row r="119" spans="1:16" s="47" customFormat="1" ht="41.25">
      <c r="A119" s="42"/>
      <c r="B119" s="43"/>
      <c r="C119" s="44"/>
      <c r="D119" s="113" t="s">
        <v>572</v>
      </c>
      <c r="E119" s="61">
        <f t="shared" si="10"/>
        <v>73565.05</v>
      </c>
      <c r="F119" s="46">
        <v>73565.05</v>
      </c>
      <c r="G119" s="46"/>
      <c r="H119" s="46"/>
      <c r="I119" s="46"/>
      <c r="J119" s="61">
        <f t="shared" si="7"/>
        <v>0</v>
      </c>
      <c r="K119" s="46"/>
      <c r="L119" s="46"/>
      <c r="M119" s="46"/>
      <c r="N119" s="46"/>
      <c r="O119" s="46"/>
      <c r="P119" s="45">
        <f t="shared" si="11"/>
        <v>73565.05</v>
      </c>
    </row>
    <row r="120" spans="1:17" s="11" customFormat="1" ht="27">
      <c r="A120" s="3" t="s">
        <v>165</v>
      </c>
      <c r="B120" s="5" t="s">
        <v>167</v>
      </c>
      <c r="C120" s="4" t="s">
        <v>166</v>
      </c>
      <c r="D120" s="73" t="s">
        <v>168</v>
      </c>
      <c r="E120" s="58">
        <f t="shared" si="10"/>
        <v>6066837</v>
      </c>
      <c r="F120" s="21">
        <f>5608676+41218+17438+3836+13000+161307+48011+162195+11156</f>
        <v>6066837</v>
      </c>
      <c r="G120" s="21">
        <v>0</v>
      </c>
      <c r="H120" s="21">
        <v>0</v>
      </c>
      <c r="I120" s="21">
        <v>0</v>
      </c>
      <c r="J120" s="58">
        <f t="shared" si="7"/>
        <v>482178</v>
      </c>
      <c r="K120" s="21">
        <v>482178</v>
      </c>
      <c r="L120" s="21">
        <v>0</v>
      </c>
      <c r="M120" s="21">
        <v>0</v>
      </c>
      <c r="N120" s="21">
        <v>0</v>
      </c>
      <c r="O120" s="21">
        <v>0</v>
      </c>
      <c r="P120" s="20">
        <f t="shared" si="11"/>
        <v>6549015</v>
      </c>
      <c r="Q120" s="108"/>
    </row>
    <row r="121" spans="1:16" s="11" customFormat="1" ht="27">
      <c r="A121" s="22"/>
      <c r="B121" s="23"/>
      <c r="C121" s="24"/>
      <c r="D121" s="77" t="s">
        <v>508</v>
      </c>
      <c r="E121" s="59">
        <f t="shared" si="10"/>
        <v>3976878</v>
      </c>
      <c r="F121" s="26">
        <f>3965722+11156</f>
        <v>3976878</v>
      </c>
      <c r="G121" s="26">
        <v>0</v>
      </c>
      <c r="H121" s="26">
        <v>0</v>
      </c>
      <c r="I121" s="26">
        <v>0</v>
      </c>
      <c r="J121" s="59">
        <f t="shared" si="7"/>
        <v>0</v>
      </c>
      <c r="K121" s="26">
        <v>0</v>
      </c>
      <c r="L121" s="26">
        <v>0</v>
      </c>
      <c r="M121" s="26">
        <v>0</v>
      </c>
      <c r="N121" s="26">
        <v>0</v>
      </c>
      <c r="O121" s="26">
        <v>0</v>
      </c>
      <c r="P121" s="25">
        <f t="shared" si="11"/>
        <v>3976878</v>
      </c>
    </row>
    <row r="122" spans="1:17" s="11" customFormat="1" ht="27">
      <c r="A122" s="3" t="s">
        <v>169</v>
      </c>
      <c r="B122" s="5" t="s">
        <v>171</v>
      </c>
      <c r="C122" s="4" t="s">
        <v>170</v>
      </c>
      <c r="D122" s="73" t="s">
        <v>172</v>
      </c>
      <c r="E122" s="58">
        <f t="shared" si="10"/>
        <v>10307131</v>
      </c>
      <c r="F122" s="21">
        <f>10284582+15276+8112+21005+18013-70000+30143</f>
        <v>10307131</v>
      </c>
      <c r="G122" s="21">
        <v>0</v>
      </c>
      <c r="H122" s="21">
        <v>0</v>
      </c>
      <c r="I122" s="21">
        <v>0</v>
      </c>
      <c r="J122" s="58">
        <f t="shared" si="7"/>
        <v>6988015</v>
      </c>
      <c r="K122" s="21">
        <v>6488015</v>
      </c>
      <c r="L122" s="21">
        <v>0</v>
      </c>
      <c r="M122" s="21">
        <v>0</v>
      </c>
      <c r="N122" s="21">
        <v>500000</v>
      </c>
      <c r="O122" s="21">
        <v>0</v>
      </c>
      <c r="P122" s="20">
        <f t="shared" si="11"/>
        <v>17295146</v>
      </c>
      <c r="Q122" s="108"/>
    </row>
    <row r="123" spans="1:16" s="11" customFormat="1" ht="45.75" customHeight="1">
      <c r="A123" s="22"/>
      <c r="B123" s="23"/>
      <c r="C123" s="24"/>
      <c r="D123" s="77" t="s">
        <v>508</v>
      </c>
      <c r="E123" s="59">
        <f t="shared" si="10"/>
        <v>6768615</v>
      </c>
      <c r="F123" s="26">
        <f>6738472+30143</f>
        <v>6768615</v>
      </c>
      <c r="G123" s="26">
        <v>0</v>
      </c>
      <c r="H123" s="26">
        <v>0</v>
      </c>
      <c r="I123" s="26">
        <v>0</v>
      </c>
      <c r="J123" s="59">
        <f t="shared" si="7"/>
        <v>0</v>
      </c>
      <c r="K123" s="26">
        <v>0</v>
      </c>
      <c r="L123" s="26">
        <v>0</v>
      </c>
      <c r="M123" s="26">
        <v>0</v>
      </c>
      <c r="N123" s="26">
        <v>0</v>
      </c>
      <c r="O123" s="26">
        <v>0</v>
      </c>
      <c r="P123" s="25">
        <f t="shared" si="11"/>
        <v>6768615</v>
      </c>
    </row>
    <row r="124" spans="1:16" s="11" customFormat="1" ht="45.75" customHeight="1">
      <c r="A124" s="22"/>
      <c r="B124" s="23"/>
      <c r="C124" s="24"/>
      <c r="D124" s="113" t="s">
        <v>572</v>
      </c>
      <c r="E124" s="59">
        <f t="shared" si="10"/>
        <v>86820</v>
      </c>
      <c r="F124" s="26">
        <v>86820</v>
      </c>
      <c r="G124" s="26"/>
      <c r="H124" s="26"/>
      <c r="I124" s="26"/>
      <c r="J124" s="59">
        <f t="shared" si="7"/>
        <v>0</v>
      </c>
      <c r="K124" s="26"/>
      <c r="L124" s="26"/>
      <c r="M124" s="26"/>
      <c r="N124" s="26"/>
      <c r="O124" s="26"/>
      <c r="P124" s="25">
        <f t="shared" si="11"/>
        <v>86820</v>
      </c>
    </row>
    <row r="125" spans="1:17" s="11" customFormat="1" ht="13.5">
      <c r="A125" s="3" t="s">
        <v>173</v>
      </c>
      <c r="B125" s="5" t="s">
        <v>175</v>
      </c>
      <c r="C125" s="4" t="s">
        <v>174</v>
      </c>
      <c r="D125" s="73" t="s">
        <v>176</v>
      </c>
      <c r="E125" s="58">
        <f t="shared" si="10"/>
        <v>99264807.2</v>
      </c>
      <c r="F125" s="21">
        <f>92482607+195650+937862+463414+101951-937862+3230768+10100+4900+822229+1323981+31746.4+351066+308616-613200+358845+192133.8</f>
        <v>99264807.2</v>
      </c>
      <c r="G125" s="21">
        <v>0</v>
      </c>
      <c r="H125" s="21">
        <v>0</v>
      </c>
      <c r="I125" s="21">
        <v>0</v>
      </c>
      <c r="J125" s="58">
        <f t="shared" si="7"/>
        <v>5659145.6</v>
      </c>
      <c r="K125" s="21">
        <v>1865805</v>
      </c>
      <c r="L125" s="21">
        <v>0</v>
      </c>
      <c r="M125" s="21">
        <v>0</v>
      </c>
      <c r="N125" s="21">
        <f>6362030-2297230-31746.4-355562+115849</f>
        <v>3793340.6</v>
      </c>
      <c r="O125" s="21">
        <f>6362030-2297230-31746.4-355562+115849</f>
        <v>3793340.6</v>
      </c>
      <c r="P125" s="20">
        <f t="shared" si="11"/>
        <v>104923952.8</v>
      </c>
      <c r="Q125" s="108"/>
    </row>
    <row r="126" spans="1:16" s="11" customFormat="1" ht="46.5" customHeight="1">
      <c r="A126" s="22"/>
      <c r="B126" s="23"/>
      <c r="C126" s="24"/>
      <c r="D126" s="77" t="s">
        <v>508</v>
      </c>
      <c r="E126" s="59">
        <f t="shared" si="10"/>
        <v>62510880</v>
      </c>
      <c r="F126" s="26">
        <f>61214173+937862+358845</f>
        <v>62510880</v>
      </c>
      <c r="G126" s="26">
        <v>0</v>
      </c>
      <c r="H126" s="26">
        <v>0</v>
      </c>
      <c r="I126" s="26">
        <v>0</v>
      </c>
      <c r="J126" s="59">
        <f t="shared" si="7"/>
        <v>0</v>
      </c>
      <c r="K126" s="26">
        <v>0</v>
      </c>
      <c r="L126" s="26">
        <v>0</v>
      </c>
      <c r="M126" s="26">
        <v>0</v>
      </c>
      <c r="N126" s="26"/>
      <c r="O126" s="26"/>
      <c r="P126" s="25">
        <f t="shared" si="11"/>
        <v>62510880</v>
      </c>
    </row>
    <row r="127" spans="1:16" s="11" customFormat="1" ht="46.5" customHeight="1">
      <c r="A127" s="22"/>
      <c r="B127" s="23"/>
      <c r="C127" s="24"/>
      <c r="D127" s="77" t="s">
        <v>572</v>
      </c>
      <c r="E127" s="59">
        <f t="shared" si="10"/>
        <v>0</v>
      </c>
      <c r="F127" s="26"/>
      <c r="G127" s="26"/>
      <c r="H127" s="26"/>
      <c r="I127" s="26"/>
      <c r="J127" s="59">
        <f t="shared" si="7"/>
        <v>0</v>
      </c>
      <c r="K127" s="26"/>
      <c r="L127" s="26"/>
      <c r="M127" s="26"/>
      <c r="N127" s="26"/>
      <c r="O127" s="26"/>
      <c r="P127" s="25">
        <f t="shared" si="11"/>
        <v>0</v>
      </c>
    </row>
    <row r="128" spans="1:16" s="11" customFormat="1" ht="76.5" customHeight="1">
      <c r="A128" s="22"/>
      <c r="B128" s="23"/>
      <c r="C128" s="24"/>
      <c r="D128" s="77" t="s">
        <v>538</v>
      </c>
      <c r="E128" s="59">
        <f t="shared" si="10"/>
        <v>4554749</v>
      </c>
      <c r="F128" s="26">
        <f>3230768+1323981</f>
        <v>4554749</v>
      </c>
      <c r="G128" s="26">
        <v>0</v>
      </c>
      <c r="H128" s="26">
        <v>0</v>
      </c>
      <c r="I128" s="26">
        <v>0</v>
      </c>
      <c r="J128" s="59">
        <f t="shared" si="7"/>
        <v>0</v>
      </c>
      <c r="K128" s="26">
        <v>0</v>
      </c>
      <c r="L128" s="26">
        <v>0</v>
      </c>
      <c r="M128" s="26">
        <v>0</v>
      </c>
      <c r="N128" s="26">
        <v>0</v>
      </c>
      <c r="O128" s="26">
        <v>0</v>
      </c>
      <c r="P128" s="25">
        <f t="shared" si="11"/>
        <v>4554749</v>
      </c>
    </row>
    <row r="129" spans="1:16" s="11" customFormat="1" ht="60.75" customHeight="1">
      <c r="A129" s="22"/>
      <c r="B129" s="23"/>
      <c r="C129" s="24"/>
      <c r="D129" s="113" t="s">
        <v>572</v>
      </c>
      <c r="E129" s="59">
        <f t="shared" si="10"/>
        <v>320910</v>
      </c>
      <c r="F129" s="26">
        <v>320910</v>
      </c>
      <c r="G129" s="26"/>
      <c r="H129" s="26"/>
      <c r="I129" s="26"/>
      <c r="J129" s="59">
        <f t="shared" si="7"/>
        <v>0</v>
      </c>
      <c r="K129" s="26"/>
      <c r="L129" s="26"/>
      <c r="M129" s="26"/>
      <c r="N129" s="26"/>
      <c r="O129" s="26"/>
      <c r="P129" s="25">
        <f t="shared" si="11"/>
        <v>320910</v>
      </c>
    </row>
    <row r="130" spans="1:17" s="11" customFormat="1" ht="78.75" customHeight="1">
      <c r="A130" s="3" t="s">
        <v>177</v>
      </c>
      <c r="B130" s="5" t="s">
        <v>179</v>
      </c>
      <c r="C130" s="4" t="s">
        <v>178</v>
      </c>
      <c r="D130" s="73" t="s">
        <v>180</v>
      </c>
      <c r="E130" s="58">
        <f t="shared" si="10"/>
        <v>2024685</v>
      </c>
      <c r="F130" s="21">
        <f>2029546-4861</f>
        <v>2024685</v>
      </c>
      <c r="G130" s="21">
        <v>0</v>
      </c>
      <c r="H130" s="21">
        <v>0</v>
      </c>
      <c r="I130" s="21">
        <v>0</v>
      </c>
      <c r="J130" s="58">
        <f t="shared" si="7"/>
        <v>0</v>
      </c>
      <c r="K130" s="21">
        <v>0</v>
      </c>
      <c r="L130" s="21">
        <v>0</v>
      </c>
      <c r="M130" s="21">
        <v>0</v>
      </c>
      <c r="N130" s="21">
        <v>0</v>
      </c>
      <c r="O130" s="21">
        <v>0</v>
      </c>
      <c r="P130" s="20">
        <f t="shared" si="11"/>
        <v>2024685</v>
      </c>
      <c r="Q130" s="108"/>
    </row>
    <row r="131" spans="1:17" s="11" customFormat="1" ht="18.75" customHeight="1">
      <c r="A131" s="3" t="s">
        <v>181</v>
      </c>
      <c r="B131" s="5" t="s">
        <v>182</v>
      </c>
      <c r="C131" s="4" t="s">
        <v>178</v>
      </c>
      <c r="D131" s="73" t="s">
        <v>183</v>
      </c>
      <c r="E131" s="58">
        <f t="shared" si="10"/>
        <v>25948003</v>
      </c>
      <c r="F131" s="21">
        <f>29916958-916995-58500-13000-1915260+722-1065922</f>
        <v>25948003</v>
      </c>
      <c r="G131" s="21">
        <v>0</v>
      </c>
      <c r="H131" s="21">
        <v>0</v>
      </c>
      <c r="I131" s="21">
        <v>0</v>
      </c>
      <c r="J131" s="58">
        <f t="shared" si="7"/>
        <v>2297230</v>
      </c>
      <c r="K131" s="21">
        <v>0</v>
      </c>
      <c r="L131" s="21">
        <v>0</v>
      </c>
      <c r="M131" s="21">
        <v>0</v>
      </c>
      <c r="N131" s="21">
        <f>2297230</f>
        <v>2297230</v>
      </c>
      <c r="O131" s="21">
        <f>2297230</f>
        <v>2297230</v>
      </c>
      <c r="P131" s="20">
        <f t="shared" si="11"/>
        <v>28245233</v>
      </c>
      <c r="Q131" s="108"/>
    </row>
    <row r="132" spans="1:16" s="11" customFormat="1" ht="48.75" customHeight="1">
      <c r="A132" s="22"/>
      <c r="B132" s="23"/>
      <c r="C132" s="24"/>
      <c r="D132" s="77" t="s">
        <v>508</v>
      </c>
      <c r="E132" s="59">
        <f t="shared" si="10"/>
        <v>1498518</v>
      </c>
      <c r="F132" s="26">
        <v>1498518</v>
      </c>
      <c r="G132" s="26">
        <v>0</v>
      </c>
      <c r="H132" s="26">
        <v>0</v>
      </c>
      <c r="I132" s="26">
        <v>0</v>
      </c>
      <c r="J132" s="59">
        <f t="shared" si="7"/>
        <v>0</v>
      </c>
      <c r="K132" s="26">
        <v>0</v>
      </c>
      <c r="L132" s="26">
        <v>0</v>
      </c>
      <c r="M132" s="26">
        <v>0</v>
      </c>
      <c r="N132" s="26">
        <v>0</v>
      </c>
      <c r="O132" s="26">
        <v>0</v>
      </c>
      <c r="P132" s="25">
        <f t="shared" si="11"/>
        <v>1498518</v>
      </c>
    </row>
    <row r="133" spans="1:17" s="11" customFormat="1" ht="24.75" customHeight="1">
      <c r="A133" s="3">
        <v>1418800</v>
      </c>
      <c r="B133" s="30" t="s">
        <v>344</v>
      </c>
      <c r="C133" s="30" t="s">
        <v>35</v>
      </c>
      <c r="D133" s="95" t="s">
        <v>345</v>
      </c>
      <c r="E133" s="58">
        <f t="shared" si="10"/>
        <v>58500</v>
      </c>
      <c r="F133" s="21">
        <v>58500</v>
      </c>
      <c r="G133" s="21">
        <v>0</v>
      </c>
      <c r="H133" s="21">
        <v>0</v>
      </c>
      <c r="I133" s="21">
        <v>0</v>
      </c>
      <c r="J133" s="58">
        <f t="shared" si="7"/>
        <v>0</v>
      </c>
      <c r="K133" s="21">
        <v>0</v>
      </c>
      <c r="L133" s="21">
        <v>0</v>
      </c>
      <c r="M133" s="21">
        <v>0</v>
      </c>
      <c r="N133" s="21">
        <v>0</v>
      </c>
      <c r="O133" s="21">
        <v>0</v>
      </c>
      <c r="P133" s="20">
        <f t="shared" si="11"/>
        <v>58500</v>
      </c>
      <c r="Q133" s="108"/>
    </row>
    <row r="134" spans="1:17" s="11" customFormat="1" ht="210" customHeight="1">
      <c r="A134" s="16" t="s">
        <v>184</v>
      </c>
      <c r="B134" s="17"/>
      <c r="C134" s="18"/>
      <c r="D134" s="80" t="s">
        <v>485</v>
      </c>
      <c r="E134" s="57">
        <f>F134+I134</f>
        <v>3332707.4699999997</v>
      </c>
      <c r="F134" s="19">
        <f>F135+F136+F137+F138</f>
        <v>3332707.4699999997</v>
      </c>
      <c r="G134" s="19">
        <f>G135+G136+G137+G138</f>
        <v>0</v>
      </c>
      <c r="H134" s="19">
        <f>H135+H136+H137+H138</f>
        <v>0</v>
      </c>
      <c r="I134" s="19">
        <f>I135+I136+I137+I138</f>
        <v>0</v>
      </c>
      <c r="J134" s="57">
        <f>K134+N134</f>
        <v>2462.399999999994</v>
      </c>
      <c r="K134" s="19">
        <f>K135+K136+K137+K138</f>
        <v>0</v>
      </c>
      <c r="L134" s="19">
        <f>L135+L136+L137+L138</f>
        <v>0</v>
      </c>
      <c r="M134" s="19">
        <f>M135+M136+M137+M138</f>
        <v>0</v>
      </c>
      <c r="N134" s="19">
        <f>N135+N136+N137+N138</f>
        <v>2462.399999999994</v>
      </c>
      <c r="O134" s="19">
        <f>O135+O136+O137+O138</f>
        <v>2462.399999999994</v>
      </c>
      <c r="P134" s="19">
        <f t="shared" si="11"/>
        <v>3335169.8699999996</v>
      </c>
      <c r="Q134" s="108"/>
    </row>
    <row r="135" spans="1:16" s="11" customFormat="1" ht="253.5" customHeight="1">
      <c r="A135" s="22" t="s">
        <v>185</v>
      </c>
      <c r="B135" s="23" t="s">
        <v>187</v>
      </c>
      <c r="C135" s="24" t="s">
        <v>186</v>
      </c>
      <c r="D135" s="81" t="s">
        <v>479</v>
      </c>
      <c r="E135" s="59">
        <f aca="true" t="shared" si="12" ref="E135:E183">F135+I135</f>
        <v>0</v>
      </c>
      <c r="F135" s="26">
        <v>0</v>
      </c>
      <c r="G135" s="26">
        <v>0</v>
      </c>
      <c r="H135" s="26">
        <v>0</v>
      </c>
      <c r="I135" s="26">
        <v>0</v>
      </c>
      <c r="J135" s="59">
        <f aca="true" t="shared" si="13" ref="J135:J183">K135+N135</f>
        <v>2462.399999999994</v>
      </c>
      <c r="K135" s="26">
        <v>0</v>
      </c>
      <c r="L135" s="26">
        <v>0</v>
      </c>
      <c r="M135" s="26">
        <v>0</v>
      </c>
      <c r="N135" s="26">
        <f>100000-97537.6</f>
        <v>2462.399999999994</v>
      </c>
      <c r="O135" s="26">
        <f>100000-97537.6</f>
        <v>2462.399999999994</v>
      </c>
      <c r="P135" s="25">
        <f t="shared" si="11"/>
        <v>2462.399999999994</v>
      </c>
    </row>
    <row r="136" spans="1:16" s="11" customFormat="1" ht="48" customHeight="1">
      <c r="A136" s="22" t="s">
        <v>188</v>
      </c>
      <c r="B136" s="23" t="s">
        <v>190</v>
      </c>
      <c r="C136" s="24" t="s">
        <v>189</v>
      </c>
      <c r="D136" s="75" t="s">
        <v>191</v>
      </c>
      <c r="E136" s="59">
        <f t="shared" si="12"/>
        <v>547403.22</v>
      </c>
      <c r="F136" s="26">
        <f>11000000-10000000-452596.78</f>
        <v>547403.22</v>
      </c>
      <c r="G136" s="26">
        <v>0</v>
      </c>
      <c r="H136" s="26">
        <v>0</v>
      </c>
      <c r="I136" s="26">
        <v>0</v>
      </c>
      <c r="J136" s="59">
        <f t="shared" si="13"/>
        <v>0</v>
      </c>
      <c r="K136" s="26">
        <v>0</v>
      </c>
      <c r="L136" s="26">
        <v>0</v>
      </c>
      <c r="M136" s="26">
        <v>0</v>
      </c>
      <c r="N136" s="26">
        <v>0</v>
      </c>
      <c r="O136" s="26">
        <v>0</v>
      </c>
      <c r="P136" s="25">
        <f t="shared" si="11"/>
        <v>547403.22</v>
      </c>
    </row>
    <row r="137" spans="1:16" s="11" customFormat="1" ht="41.25">
      <c r="A137" s="22" t="s">
        <v>192</v>
      </c>
      <c r="B137" s="23" t="s">
        <v>193</v>
      </c>
      <c r="C137" s="24" t="s">
        <v>189</v>
      </c>
      <c r="D137" s="75" t="s">
        <v>194</v>
      </c>
      <c r="E137" s="59">
        <f t="shared" si="12"/>
        <v>41659.94999999995</v>
      </c>
      <c r="F137" s="26">
        <f>1000000-958340.05</f>
        <v>41659.94999999995</v>
      </c>
      <c r="G137" s="26">
        <v>0</v>
      </c>
      <c r="H137" s="26">
        <v>0</v>
      </c>
      <c r="I137" s="26">
        <v>0</v>
      </c>
      <c r="J137" s="59">
        <f t="shared" si="13"/>
        <v>0</v>
      </c>
      <c r="K137" s="26">
        <v>0</v>
      </c>
      <c r="L137" s="26">
        <v>0</v>
      </c>
      <c r="M137" s="26">
        <v>0</v>
      </c>
      <c r="N137" s="26">
        <v>0</v>
      </c>
      <c r="O137" s="26">
        <v>0</v>
      </c>
      <c r="P137" s="25">
        <f t="shared" si="11"/>
        <v>41659.94999999995</v>
      </c>
    </row>
    <row r="138" spans="1:16" s="11" customFormat="1" ht="41.25">
      <c r="A138" s="22" t="s">
        <v>195</v>
      </c>
      <c r="B138" s="23" t="s">
        <v>196</v>
      </c>
      <c r="C138" s="24" t="s">
        <v>189</v>
      </c>
      <c r="D138" s="75" t="s">
        <v>197</v>
      </c>
      <c r="E138" s="59">
        <f t="shared" si="12"/>
        <v>2743644.3</v>
      </c>
      <c r="F138" s="26">
        <f>3000000-256355.7</f>
        <v>2743644.3</v>
      </c>
      <c r="G138" s="26">
        <v>0</v>
      </c>
      <c r="H138" s="26">
        <v>0</v>
      </c>
      <c r="I138" s="26">
        <v>0</v>
      </c>
      <c r="J138" s="59">
        <f t="shared" si="13"/>
        <v>0</v>
      </c>
      <c r="K138" s="26">
        <v>0</v>
      </c>
      <c r="L138" s="26">
        <v>0</v>
      </c>
      <c r="M138" s="26">
        <v>0</v>
      </c>
      <c r="N138" s="26">
        <v>0</v>
      </c>
      <c r="O138" s="26">
        <v>0</v>
      </c>
      <c r="P138" s="25">
        <f t="shared" si="11"/>
        <v>2743644.3</v>
      </c>
    </row>
    <row r="139" spans="1:17" s="41" customFormat="1" ht="32.25" customHeight="1">
      <c r="A139" s="16" t="s">
        <v>198</v>
      </c>
      <c r="B139" s="17"/>
      <c r="C139" s="18"/>
      <c r="D139" s="74" t="s">
        <v>199</v>
      </c>
      <c r="E139" s="57">
        <f t="shared" si="12"/>
        <v>1019475.5</v>
      </c>
      <c r="F139" s="19">
        <f>F140+F141+F142</f>
        <v>1019475.5</v>
      </c>
      <c r="G139" s="19">
        <f>G140+G141+G142</f>
        <v>755701.48</v>
      </c>
      <c r="H139" s="19">
        <f>H140+H141+H142</f>
        <v>27128.879999999997</v>
      </c>
      <c r="I139" s="19">
        <f>I140+I141+I142</f>
        <v>0</v>
      </c>
      <c r="J139" s="57">
        <f t="shared" si="13"/>
        <v>0</v>
      </c>
      <c r="K139" s="19">
        <f>K140+K141+K142</f>
        <v>0</v>
      </c>
      <c r="L139" s="19">
        <f>L140+L141+L142</f>
        <v>0</v>
      </c>
      <c r="M139" s="19">
        <f>M140+M141+M142</f>
        <v>0</v>
      </c>
      <c r="N139" s="19">
        <f>N140+N141+N142</f>
        <v>0</v>
      </c>
      <c r="O139" s="19">
        <f>O140+O141+O142</f>
        <v>0</v>
      </c>
      <c r="P139" s="19">
        <f t="shared" si="11"/>
        <v>1019475.5</v>
      </c>
      <c r="Q139" s="120"/>
    </row>
    <row r="140" spans="1:16" s="11" customFormat="1" ht="27">
      <c r="A140" s="22" t="s">
        <v>200</v>
      </c>
      <c r="B140" s="23" t="s">
        <v>201</v>
      </c>
      <c r="C140" s="24" t="s">
        <v>57</v>
      </c>
      <c r="D140" s="75" t="s">
        <v>202</v>
      </c>
      <c r="E140" s="59">
        <f t="shared" si="12"/>
        <v>964745.5</v>
      </c>
      <c r="F140" s="26">
        <f>1921800-957054.5</f>
        <v>964745.5</v>
      </c>
      <c r="G140" s="26">
        <f>1480400-724698.52</f>
        <v>755701.48</v>
      </c>
      <c r="H140" s="26">
        <f>73600-46471.12</f>
        <v>27128.879999999997</v>
      </c>
      <c r="I140" s="26">
        <v>0</v>
      </c>
      <c r="J140" s="59">
        <f t="shared" si="13"/>
        <v>0</v>
      </c>
      <c r="K140" s="26">
        <v>0</v>
      </c>
      <c r="L140" s="26">
        <v>0</v>
      </c>
      <c r="M140" s="26">
        <v>0</v>
      </c>
      <c r="N140" s="26">
        <v>0</v>
      </c>
      <c r="O140" s="26">
        <v>0</v>
      </c>
      <c r="P140" s="25">
        <f t="shared" si="11"/>
        <v>964745.5</v>
      </c>
    </row>
    <row r="141" spans="1:16" s="11" customFormat="1" ht="27">
      <c r="A141" s="22" t="s">
        <v>203</v>
      </c>
      <c r="B141" s="23" t="s">
        <v>204</v>
      </c>
      <c r="C141" s="24" t="s">
        <v>57</v>
      </c>
      <c r="D141" s="75" t="s">
        <v>205</v>
      </c>
      <c r="E141" s="59">
        <f t="shared" si="12"/>
        <v>7870</v>
      </c>
      <c r="F141" s="26">
        <f>16500-8630</f>
        <v>7870</v>
      </c>
      <c r="G141" s="26">
        <v>0</v>
      </c>
      <c r="H141" s="26">
        <v>0</v>
      </c>
      <c r="I141" s="26">
        <v>0</v>
      </c>
      <c r="J141" s="59">
        <f t="shared" si="13"/>
        <v>0</v>
      </c>
      <c r="K141" s="26">
        <v>0</v>
      </c>
      <c r="L141" s="26">
        <v>0</v>
      </c>
      <c r="M141" s="26">
        <v>0</v>
      </c>
      <c r="N141" s="26">
        <v>0</v>
      </c>
      <c r="O141" s="26">
        <v>0</v>
      </c>
      <c r="P141" s="25">
        <f t="shared" si="11"/>
        <v>7870</v>
      </c>
    </row>
    <row r="142" spans="1:16" s="11" customFormat="1" ht="25.5" customHeight="1">
      <c r="A142" s="22" t="s">
        <v>206</v>
      </c>
      <c r="B142" s="23" t="s">
        <v>207</v>
      </c>
      <c r="C142" s="24" t="s">
        <v>57</v>
      </c>
      <c r="D142" s="75" t="s">
        <v>208</v>
      </c>
      <c r="E142" s="59">
        <f t="shared" si="12"/>
        <v>46860</v>
      </c>
      <c r="F142" s="26">
        <f>161000-114140</f>
        <v>46860</v>
      </c>
      <c r="G142" s="26">
        <v>0</v>
      </c>
      <c r="H142" s="26">
        <v>0</v>
      </c>
      <c r="I142" s="26">
        <v>0</v>
      </c>
      <c r="J142" s="59">
        <f t="shared" si="13"/>
        <v>0</v>
      </c>
      <c r="K142" s="26">
        <v>0</v>
      </c>
      <c r="L142" s="26">
        <v>0</v>
      </c>
      <c r="M142" s="26">
        <v>0</v>
      </c>
      <c r="N142" s="26">
        <v>0</v>
      </c>
      <c r="O142" s="26">
        <v>0</v>
      </c>
      <c r="P142" s="25">
        <f t="shared" si="11"/>
        <v>46860</v>
      </c>
    </row>
    <row r="143" spans="1:17" s="11" customFormat="1" ht="69">
      <c r="A143" s="3" t="s">
        <v>209</v>
      </c>
      <c r="B143" s="5" t="s">
        <v>81</v>
      </c>
      <c r="C143" s="4" t="s">
        <v>57</v>
      </c>
      <c r="D143" s="73" t="s">
        <v>82</v>
      </c>
      <c r="E143" s="58">
        <f t="shared" si="12"/>
        <v>970198.35</v>
      </c>
      <c r="F143" s="21">
        <f>1000000-29801.65</f>
        <v>970198.35</v>
      </c>
      <c r="G143" s="21">
        <v>0</v>
      </c>
      <c r="H143" s="21">
        <v>0</v>
      </c>
      <c r="I143" s="21">
        <v>0</v>
      </c>
      <c r="J143" s="58">
        <f t="shared" si="13"/>
        <v>0</v>
      </c>
      <c r="K143" s="21">
        <v>0</v>
      </c>
      <c r="L143" s="21">
        <v>0</v>
      </c>
      <c r="M143" s="21">
        <v>0</v>
      </c>
      <c r="N143" s="21">
        <v>0</v>
      </c>
      <c r="O143" s="21">
        <v>0</v>
      </c>
      <c r="P143" s="20">
        <f t="shared" si="11"/>
        <v>970198.35</v>
      </c>
      <c r="Q143" s="108"/>
    </row>
    <row r="144" spans="1:17" s="11" customFormat="1" ht="102" customHeight="1">
      <c r="A144" s="3">
        <v>1413190</v>
      </c>
      <c r="B144" s="30" t="s">
        <v>267</v>
      </c>
      <c r="C144" s="5">
        <v>1060</v>
      </c>
      <c r="D144" s="73" t="s">
        <v>268</v>
      </c>
      <c r="E144" s="58">
        <f t="shared" si="12"/>
        <v>12103.64</v>
      </c>
      <c r="F144" s="21">
        <f>25000-12896.36</f>
        <v>12103.64</v>
      </c>
      <c r="G144" s="21"/>
      <c r="H144" s="21"/>
      <c r="I144" s="21"/>
      <c r="J144" s="58">
        <f t="shared" si="13"/>
        <v>0</v>
      </c>
      <c r="K144" s="21"/>
      <c r="L144" s="21"/>
      <c r="M144" s="21"/>
      <c r="N144" s="21"/>
      <c r="O144" s="21"/>
      <c r="P144" s="20">
        <f t="shared" si="11"/>
        <v>12103.64</v>
      </c>
      <c r="Q144" s="108"/>
    </row>
    <row r="145" spans="1:17" s="41" customFormat="1" ht="27">
      <c r="A145" s="16" t="s">
        <v>210</v>
      </c>
      <c r="B145" s="17"/>
      <c r="C145" s="18"/>
      <c r="D145" s="74" t="s">
        <v>211</v>
      </c>
      <c r="E145" s="57">
        <f t="shared" si="12"/>
        <v>218066.3</v>
      </c>
      <c r="F145" s="19">
        <f>F146</f>
        <v>218066.3</v>
      </c>
      <c r="G145" s="19">
        <f>G146</f>
        <v>0</v>
      </c>
      <c r="H145" s="19">
        <f>H146</f>
        <v>0</v>
      </c>
      <c r="I145" s="19">
        <f>I146</f>
        <v>0</v>
      </c>
      <c r="J145" s="57">
        <f t="shared" si="13"/>
        <v>0</v>
      </c>
      <c r="K145" s="19">
        <f>K146</f>
        <v>0</v>
      </c>
      <c r="L145" s="19">
        <f>L146</f>
        <v>0</v>
      </c>
      <c r="M145" s="19">
        <f>M146</f>
        <v>0</v>
      </c>
      <c r="N145" s="19">
        <f>N146</f>
        <v>0</v>
      </c>
      <c r="O145" s="19">
        <f>O146</f>
        <v>0</v>
      </c>
      <c r="P145" s="19">
        <f t="shared" si="11"/>
        <v>218066.3</v>
      </c>
      <c r="Q145" s="120"/>
    </row>
    <row r="146" spans="1:16" s="11" customFormat="1" ht="41.25">
      <c r="A146" s="22" t="s">
        <v>212</v>
      </c>
      <c r="B146" s="23" t="s">
        <v>213</v>
      </c>
      <c r="C146" s="24" t="s">
        <v>186</v>
      </c>
      <c r="D146" s="75" t="s">
        <v>214</v>
      </c>
      <c r="E146" s="58">
        <f t="shared" si="12"/>
        <v>218066.3</v>
      </c>
      <c r="F146" s="26">
        <f>380000+40000-201933.7</f>
        <v>218066.3</v>
      </c>
      <c r="G146" s="26">
        <v>0</v>
      </c>
      <c r="H146" s="26">
        <v>0</v>
      </c>
      <c r="I146" s="26">
        <v>0</v>
      </c>
      <c r="J146" s="58">
        <f t="shared" si="13"/>
        <v>0</v>
      </c>
      <c r="K146" s="26">
        <v>0</v>
      </c>
      <c r="L146" s="26">
        <v>0</v>
      </c>
      <c r="M146" s="26">
        <v>0</v>
      </c>
      <c r="N146" s="26">
        <v>0</v>
      </c>
      <c r="O146" s="26">
        <v>0</v>
      </c>
      <c r="P146" s="25">
        <f t="shared" si="11"/>
        <v>218066.3</v>
      </c>
    </row>
    <row r="147" spans="1:16" s="11" customFormat="1" ht="40.5" customHeight="1">
      <c r="A147" s="22"/>
      <c r="B147" s="23"/>
      <c r="C147" s="24"/>
      <c r="D147" s="159" t="s">
        <v>576</v>
      </c>
      <c r="E147" s="58">
        <f t="shared" si="12"/>
        <v>40000</v>
      </c>
      <c r="F147" s="26">
        <v>40000</v>
      </c>
      <c r="G147" s="26"/>
      <c r="H147" s="26"/>
      <c r="I147" s="26"/>
      <c r="J147" s="58"/>
      <c r="K147" s="26"/>
      <c r="L147" s="26"/>
      <c r="M147" s="26"/>
      <c r="N147" s="26"/>
      <c r="O147" s="26"/>
      <c r="P147" s="25">
        <f t="shared" si="11"/>
        <v>40000</v>
      </c>
    </row>
    <row r="148" spans="1:16" s="11" customFormat="1" ht="13.5">
      <c r="A148" s="3" t="s">
        <v>215</v>
      </c>
      <c r="B148" s="5" t="s">
        <v>216</v>
      </c>
      <c r="C148" s="4" t="s">
        <v>61</v>
      </c>
      <c r="D148" s="73" t="s">
        <v>217</v>
      </c>
      <c r="E148" s="58">
        <f t="shared" si="12"/>
        <v>1005456.02</v>
      </c>
      <c r="F148" s="21">
        <f>1935900-930443.98</f>
        <v>1005456.02</v>
      </c>
      <c r="G148" s="21">
        <f>1161900-498834.82</f>
        <v>663065.1799999999</v>
      </c>
      <c r="H148" s="21">
        <f>297000-184991.84</f>
        <v>112008.16</v>
      </c>
      <c r="I148" s="21">
        <v>0</v>
      </c>
      <c r="J148" s="58">
        <f t="shared" si="13"/>
        <v>31811.97999999998</v>
      </c>
      <c r="K148" s="21">
        <v>0</v>
      </c>
      <c r="L148" s="21">
        <v>0</v>
      </c>
      <c r="M148" s="21">
        <v>0</v>
      </c>
      <c r="N148" s="21">
        <f>560000-528188.02</f>
        <v>31811.97999999998</v>
      </c>
      <c r="O148" s="21">
        <f>560000-528188.02</f>
        <v>31811.97999999998</v>
      </c>
      <c r="P148" s="20">
        <f t="shared" si="11"/>
        <v>1037268</v>
      </c>
    </row>
    <row r="149" spans="1:17" s="11" customFormat="1" ht="27">
      <c r="A149" s="3" t="s">
        <v>218</v>
      </c>
      <c r="B149" s="5" t="s">
        <v>219</v>
      </c>
      <c r="C149" s="4" t="s">
        <v>61</v>
      </c>
      <c r="D149" s="73" t="s">
        <v>220</v>
      </c>
      <c r="E149" s="58">
        <f t="shared" si="12"/>
        <v>3526467.54</v>
      </c>
      <c r="F149" s="21">
        <f>6142700+47000+126500+157900+8000+8000+33500-25000+38000+188493+101500+142386+172300+137100+100634+33000+5000+68000+30000+8000+71000+1000+16000+600000+137891+81000+100000+50000+16000-5183936.46+33000+20000+61500</f>
        <v>3526467.54</v>
      </c>
      <c r="G149" s="21">
        <v>0</v>
      </c>
      <c r="H149" s="21">
        <v>0</v>
      </c>
      <c r="I149" s="21">
        <v>0</v>
      </c>
      <c r="J149" s="58">
        <f t="shared" si="13"/>
        <v>0</v>
      </c>
      <c r="K149" s="21">
        <v>0</v>
      </c>
      <c r="L149" s="21">
        <v>0</v>
      </c>
      <c r="M149" s="21">
        <v>0</v>
      </c>
      <c r="N149" s="21">
        <v>0</v>
      </c>
      <c r="O149" s="21">
        <v>0</v>
      </c>
      <c r="P149" s="20">
        <f aca="true" t="shared" si="14" ref="P149:P154">E149+J149</f>
        <v>3526467.54</v>
      </c>
      <c r="Q149" s="108"/>
    </row>
    <row r="150" spans="1:16" s="11" customFormat="1" ht="58.5" customHeight="1">
      <c r="A150" s="3"/>
      <c r="B150" s="5"/>
      <c r="C150" s="4"/>
      <c r="D150" s="159" t="s">
        <v>576</v>
      </c>
      <c r="E150" s="58">
        <f>F150</f>
        <v>397000</v>
      </c>
      <c r="F150" s="26">
        <f>47000+8000+8000+38000+5000+68000+30000+8000+71000+1000+16000+81000+16000-53000+33000+20000</f>
        <v>397000</v>
      </c>
      <c r="G150" s="21"/>
      <c r="H150" s="21"/>
      <c r="I150" s="21"/>
      <c r="J150" s="58"/>
      <c r="K150" s="21"/>
      <c r="L150" s="21"/>
      <c r="M150" s="21"/>
      <c r="N150" s="21"/>
      <c r="O150" s="21"/>
      <c r="P150" s="20">
        <f t="shared" si="14"/>
        <v>397000</v>
      </c>
    </row>
    <row r="151" spans="1:16" s="11" customFormat="1" ht="27">
      <c r="A151" s="3" t="s">
        <v>221</v>
      </c>
      <c r="B151" s="5" t="s">
        <v>222</v>
      </c>
      <c r="C151" s="4" t="s">
        <v>147</v>
      </c>
      <c r="D151" s="73" t="s">
        <v>223</v>
      </c>
      <c r="E151" s="58">
        <f t="shared" si="12"/>
        <v>0</v>
      </c>
      <c r="F151" s="21">
        <v>0</v>
      </c>
      <c r="G151" s="21">
        <v>0</v>
      </c>
      <c r="H151" s="21">
        <v>0</v>
      </c>
      <c r="I151" s="21">
        <v>0</v>
      </c>
      <c r="J151" s="58">
        <f t="shared" si="13"/>
        <v>5813840.140000001</v>
      </c>
      <c r="K151" s="21">
        <v>0</v>
      </c>
      <c r="L151" s="21">
        <v>0</v>
      </c>
      <c r="M151" s="21">
        <v>0</v>
      </c>
      <c r="N151" s="21">
        <f>6600000-930215+930215-90144.06-388033-307982.8</f>
        <v>5813840.140000001</v>
      </c>
      <c r="O151" s="21">
        <f>6600000-930215+930215-90144.06-388033-307982.8</f>
        <v>5813840.140000001</v>
      </c>
      <c r="P151" s="20">
        <f t="shared" si="14"/>
        <v>5813840.140000001</v>
      </c>
    </row>
    <row r="152" spans="1:16" s="47" customFormat="1" ht="46.5" customHeight="1">
      <c r="A152" s="42"/>
      <c r="B152" s="43"/>
      <c r="C152" s="44"/>
      <c r="D152" s="113" t="s">
        <v>572</v>
      </c>
      <c r="E152" s="61">
        <f t="shared" si="12"/>
        <v>0</v>
      </c>
      <c r="F152" s="46"/>
      <c r="G152" s="46">
        <v>0</v>
      </c>
      <c r="H152" s="46">
        <v>0</v>
      </c>
      <c r="I152" s="46">
        <v>0</v>
      </c>
      <c r="J152" s="61">
        <f t="shared" si="13"/>
        <v>0</v>
      </c>
      <c r="K152" s="46">
        <v>0</v>
      </c>
      <c r="L152" s="46">
        <v>0</v>
      </c>
      <c r="M152" s="46">
        <v>0</v>
      </c>
      <c r="N152" s="46"/>
      <c r="O152" s="46"/>
      <c r="P152" s="45">
        <f t="shared" si="14"/>
        <v>0</v>
      </c>
    </row>
    <row r="153" spans="1:16" s="11" customFormat="1" ht="49.5" customHeight="1">
      <c r="A153" s="3">
        <v>1416360</v>
      </c>
      <c r="B153" s="30" t="s">
        <v>517</v>
      </c>
      <c r="C153" s="153" t="s">
        <v>158</v>
      </c>
      <c r="D153" s="95" t="s">
        <v>509</v>
      </c>
      <c r="E153" s="58">
        <f t="shared" si="12"/>
        <v>0</v>
      </c>
      <c r="F153" s="21">
        <v>0</v>
      </c>
      <c r="G153" s="21">
        <v>0</v>
      </c>
      <c r="H153" s="21">
        <v>0</v>
      </c>
      <c r="I153" s="21">
        <v>0</v>
      </c>
      <c r="J153" s="58">
        <f t="shared" si="13"/>
        <v>41884.06</v>
      </c>
      <c r="K153" s="21">
        <v>0</v>
      </c>
      <c r="L153" s="21">
        <v>0</v>
      </c>
      <c r="M153" s="21">
        <v>0</v>
      </c>
      <c r="N153" s="21">
        <f>41884.06</f>
        <v>41884.06</v>
      </c>
      <c r="O153" s="21">
        <f>41884.06</f>
        <v>41884.06</v>
      </c>
      <c r="P153" s="20">
        <f t="shared" si="14"/>
        <v>41884.06</v>
      </c>
    </row>
    <row r="154" spans="1:17" s="41" customFormat="1" ht="13.5" hidden="1">
      <c r="A154" s="17" t="s">
        <v>514</v>
      </c>
      <c r="B154" s="17" t="s">
        <v>32</v>
      </c>
      <c r="C154" s="17" t="s">
        <v>31</v>
      </c>
      <c r="D154" s="76" t="s">
        <v>510</v>
      </c>
      <c r="E154" s="57">
        <f t="shared" si="12"/>
        <v>0</v>
      </c>
      <c r="F154" s="19">
        <f aca="true" t="shared" si="15" ref="F154:O154">SUM(F155)</f>
        <v>0</v>
      </c>
      <c r="G154" s="19">
        <f t="shared" si="15"/>
        <v>0</v>
      </c>
      <c r="H154" s="19">
        <f t="shared" si="15"/>
        <v>0</v>
      </c>
      <c r="I154" s="19">
        <f t="shared" si="15"/>
        <v>0</v>
      </c>
      <c r="J154" s="57">
        <f t="shared" si="13"/>
        <v>0</v>
      </c>
      <c r="K154" s="19">
        <f t="shared" si="15"/>
        <v>0</v>
      </c>
      <c r="L154" s="19">
        <f t="shared" si="15"/>
        <v>0</v>
      </c>
      <c r="M154" s="19">
        <f t="shared" si="15"/>
        <v>0</v>
      </c>
      <c r="N154" s="19">
        <f t="shared" si="15"/>
        <v>0</v>
      </c>
      <c r="O154" s="19">
        <f t="shared" si="15"/>
        <v>0</v>
      </c>
      <c r="P154" s="19">
        <f t="shared" si="14"/>
        <v>0</v>
      </c>
      <c r="Q154" s="120"/>
    </row>
    <row r="155" spans="1:16" s="47" customFormat="1" ht="27" hidden="1">
      <c r="A155" s="42"/>
      <c r="B155" s="43"/>
      <c r="C155" s="44"/>
      <c r="D155" s="113" t="s">
        <v>494</v>
      </c>
      <c r="E155" s="61">
        <f t="shared" si="12"/>
        <v>0</v>
      </c>
      <c r="F155" s="46">
        <f>11367-11367</f>
        <v>0</v>
      </c>
      <c r="G155" s="46">
        <v>0</v>
      </c>
      <c r="H155" s="46">
        <v>0</v>
      </c>
      <c r="I155" s="46">
        <v>0</v>
      </c>
      <c r="J155" s="61">
        <f t="shared" si="13"/>
        <v>0</v>
      </c>
      <c r="K155" s="46">
        <v>0</v>
      </c>
      <c r="L155" s="46">
        <v>0</v>
      </c>
      <c r="M155" s="46">
        <v>0</v>
      </c>
      <c r="N155" s="46">
        <v>0</v>
      </c>
      <c r="O155" s="46">
        <v>0</v>
      </c>
      <c r="P155" s="45">
        <f t="shared" si="11"/>
        <v>0</v>
      </c>
    </row>
    <row r="156" spans="1:17" s="11" customFormat="1" ht="27">
      <c r="A156" s="3" t="s">
        <v>543</v>
      </c>
      <c r="B156" s="5" t="s">
        <v>152</v>
      </c>
      <c r="C156" s="4" t="s">
        <v>151</v>
      </c>
      <c r="D156" s="73" t="s">
        <v>153</v>
      </c>
      <c r="E156" s="58">
        <f t="shared" si="12"/>
        <v>0</v>
      </c>
      <c r="F156" s="21">
        <v>0</v>
      </c>
      <c r="G156" s="21">
        <v>0</v>
      </c>
      <c r="H156" s="21">
        <v>0</v>
      </c>
      <c r="I156" s="21">
        <v>0</v>
      </c>
      <c r="J156" s="58">
        <f t="shared" si="13"/>
        <v>250000</v>
      </c>
      <c r="K156" s="21">
        <f>150000+100000</f>
        <v>250000</v>
      </c>
      <c r="L156" s="21">
        <v>0</v>
      </c>
      <c r="M156" s="21">
        <v>0</v>
      </c>
      <c r="N156" s="21">
        <v>0</v>
      </c>
      <c r="O156" s="21">
        <v>0</v>
      </c>
      <c r="P156" s="20">
        <f>E156+J156</f>
        <v>250000</v>
      </c>
      <c r="Q156" s="108"/>
    </row>
    <row r="157" spans="1:17" s="97" customFormat="1" ht="39" customHeight="1">
      <c r="A157" s="12" t="s">
        <v>224</v>
      </c>
      <c r="B157" s="13"/>
      <c r="C157" s="14"/>
      <c r="D157" s="138" t="s">
        <v>225</v>
      </c>
      <c r="E157" s="56">
        <f t="shared" si="12"/>
        <v>741968127.0699999</v>
      </c>
      <c r="F157" s="15">
        <f>F177+F234+F286+F158</f>
        <v>741968127.0699999</v>
      </c>
      <c r="G157" s="15">
        <f>G177+G234+G286+G158</f>
        <v>31895237.34</v>
      </c>
      <c r="H157" s="15">
        <f>H177+H234+H286+H158</f>
        <v>1911630.96</v>
      </c>
      <c r="I157" s="15">
        <f>I177+I234+I286+I158</f>
        <v>0</v>
      </c>
      <c r="J157" s="56">
        <f t="shared" si="13"/>
        <v>1822501.62</v>
      </c>
      <c r="K157" s="15">
        <f>K177+K234+K286+K158</f>
        <v>189660</v>
      </c>
      <c r="L157" s="15">
        <f>L177+L234+L286+L158</f>
        <v>137800</v>
      </c>
      <c r="M157" s="15">
        <f>M177+M234+M286+M158</f>
        <v>0</v>
      </c>
      <c r="N157" s="15">
        <f>N177+N234+N286+N158</f>
        <v>1632841.62</v>
      </c>
      <c r="O157" s="15">
        <f>O177+O234+O286+O158</f>
        <v>1632841.62</v>
      </c>
      <c r="P157" s="15">
        <f t="shared" si="11"/>
        <v>743790628.6899999</v>
      </c>
      <c r="Q157" s="117"/>
    </row>
    <row r="158" spans="1:17" s="99" customFormat="1" ht="31.5" customHeight="1">
      <c r="A158" s="155">
        <v>1510000</v>
      </c>
      <c r="B158" s="155"/>
      <c r="C158" s="155"/>
      <c r="D158" s="156" t="s">
        <v>566</v>
      </c>
      <c r="E158" s="58">
        <f t="shared" si="12"/>
        <v>11582812.18</v>
      </c>
      <c r="F158" s="20">
        <f>F159+F160+F166+F170+F171+F172+F174+F175</f>
        <v>11582812.18</v>
      </c>
      <c r="G158" s="20">
        <f>G159+G160+G166+G170+G171+G172+G174+G175</f>
        <v>1939658.34</v>
      </c>
      <c r="H158" s="20">
        <f>H159+H160+H166+H170+H171+H172+H174+H175</f>
        <v>256803.96</v>
      </c>
      <c r="I158" s="20">
        <f>I159+I160+I166+I170+I171+I172+I174+I175</f>
        <v>0</v>
      </c>
      <c r="J158" s="58">
        <f t="shared" si="13"/>
        <v>381125.62</v>
      </c>
      <c r="K158" s="20">
        <f>K159+K160+K166+K170+K171+K172+K174+K175</f>
        <v>0</v>
      </c>
      <c r="L158" s="20">
        <f>L159+L160+L166+L170+L171+L172+L174+L175</f>
        <v>0</v>
      </c>
      <c r="M158" s="20">
        <f>M159+M160+M166+M170+M171+M172+M174+M175</f>
        <v>0</v>
      </c>
      <c r="N158" s="20">
        <f>N159+N160+N166+N170+N171+N172+N174+N175</f>
        <v>381125.62</v>
      </c>
      <c r="O158" s="20">
        <f>O159+O160+O166+O170+O171+O172+O174+O175</f>
        <v>381125.62</v>
      </c>
      <c r="P158" s="20">
        <f t="shared" si="11"/>
        <v>11963937.799999999</v>
      </c>
      <c r="Q158" s="122"/>
    </row>
    <row r="159" spans="1:17" s="97" customFormat="1" ht="33" customHeight="1">
      <c r="A159" s="144">
        <v>1510180</v>
      </c>
      <c r="B159" s="144">
        <v>180</v>
      </c>
      <c r="C159" s="144">
        <v>111</v>
      </c>
      <c r="D159" s="146" t="s">
        <v>535</v>
      </c>
      <c r="E159" s="56">
        <f t="shared" si="12"/>
        <v>947418</v>
      </c>
      <c r="F159" s="135">
        <f>650331+57700+30000+151325+58062</f>
        <v>947418</v>
      </c>
      <c r="G159" s="135">
        <f>497196+47300+124037+47592</f>
        <v>716125</v>
      </c>
      <c r="H159" s="135">
        <v>25341</v>
      </c>
      <c r="I159" s="135"/>
      <c r="J159" s="56">
        <f t="shared" si="13"/>
        <v>0</v>
      </c>
      <c r="K159" s="135"/>
      <c r="L159" s="135"/>
      <c r="M159" s="135"/>
      <c r="N159" s="135"/>
      <c r="O159" s="135"/>
      <c r="P159" s="15">
        <f t="shared" si="11"/>
        <v>947418</v>
      </c>
      <c r="Q159" s="117"/>
    </row>
    <row r="160" spans="1:17" s="97" customFormat="1" ht="151.5" customHeight="1">
      <c r="A160" s="180">
        <v>1513030</v>
      </c>
      <c r="B160" s="180"/>
      <c r="C160" s="180"/>
      <c r="D160" s="147" t="s">
        <v>567</v>
      </c>
      <c r="E160" s="189">
        <f t="shared" si="12"/>
        <v>1667292.53</v>
      </c>
      <c r="F160" s="186">
        <f>F162+F163+F164+F165</f>
        <v>1667292.53</v>
      </c>
      <c r="G160" s="172">
        <f>G162+G163+G164+G165</f>
        <v>0</v>
      </c>
      <c r="H160" s="172">
        <f>H162+H163+H164+H165</f>
        <v>0</v>
      </c>
      <c r="I160" s="172">
        <f>I162+I163+I164+I165</f>
        <v>0</v>
      </c>
      <c r="J160" s="169">
        <f t="shared" si="13"/>
        <v>97537.6</v>
      </c>
      <c r="K160" s="172">
        <f>K162+K163+K164+K165</f>
        <v>0</v>
      </c>
      <c r="L160" s="172">
        <f>L162+L163+L164+L165</f>
        <v>0</v>
      </c>
      <c r="M160" s="172">
        <f>M162+M163+M164+M165</f>
        <v>0</v>
      </c>
      <c r="N160" s="172">
        <f>N162+N163+N164+N165</f>
        <v>97537.6</v>
      </c>
      <c r="O160" s="172">
        <f>O162+O163+O164+O165</f>
        <v>97537.6</v>
      </c>
      <c r="P160" s="169">
        <f t="shared" si="11"/>
        <v>1764830.1300000001</v>
      </c>
      <c r="Q160" s="117"/>
    </row>
    <row r="161" spans="1:17" s="97" customFormat="1" ht="62.25" customHeight="1">
      <c r="A161" s="180"/>
      <c r="B161" s="180"/>
      <c r="C161" s="180"/>
      <c r="D161" s="148" t="s">
        <v>568</v>
      </c>
      <c r="E161" s="189"/>
      <c r="F161" s="186"/>
      <c r="G161" s="173"/>
      <c r="H161" s="173"/>
      <c r="I161" s="173"/>
      <c r="J161" s="170"/>
      <c r="K161" s="173"/>
      <c r="L161" s="173"/>
      <c r="M161" s="173"/>
      <c r="N161" s="173"/>
      <c r="O161" s="173"/>
      <c r="P161" s="170"/>
      <c r="Q161" s="117"/>
    </row>
    <row r="162" spans="1:17" s="97" customFormat="1" ht="237.75" customHeight="1">
      <c r="A162" s="145">
        <v>1513031</v>
      </c>
      <c r="B162" s="145">
        <v>3031</v>
      </c>
      <c r="C162" s="145">
        <v>1030</v>
      </c>
      <c r="D162" s="147" t="s">
        <v>479</v>
      </c>
      <c r="E162" s="56">
        <f t="shared" si="12"/>
        <v>0</v>
      </c>
      <c r="F162" s="135"/>
      <c r="G162" s="135"/>
      <c r="H162" s="135"/>
      <c r="I162" s="135"/>
      <c r="J162" s="56">
        <f t="shared" si="13"/>
        <v>97537.6</v>
      </c>
      <c r="K162" s="135"/>
      <c r="L162" s="135"/>
      <c r="M162" s="135"/>
      <c r="N162" s="135">
        <v>97537.6</v>
      </c>
      <c r="O162" s="135">
        <v>97537.6</v>
      </c>
      <c r="P162" s="15">
        <f t="shared" si="11"/>
        <v>97537.6</v>
      </c>
      <c r="Q162" s="117"/>
    </row>
    <row r="163" spans="1:17" s="137" customFormat="1" ht="47.25" customHeight="1">
      <c r="A163" s="149">
        <v>1513035</v>
      </c>
      <c r="B163" s="149">
        <v>3035</v>
      </c>
      <c r="C163" s="149">
        <v>1070</v>
      </c>
      <c r="D163" s="150" t="s">
        <v>191</v>
      </c>
      <c r="E163" s="56">
        <f t="shared" si="12"/>
        <v>452596.78</v>
      </c>
      <c r="F163" s="135">
        <v>452596.78</v>
      </c>
      <c r="G163" s="135"/>
      <c r="H163" s="135"/>
      <c r="I163" s="135"/>
      <c r="J163" s="56">
        <f t="shared" si="13"/>
        <v>0</v>
      </c>
      <c r="K163" s="135"/>
      <c r="L163" s="135"/>
      <c r="M163" s="135"/>
      <c r="N163" s="135"/>
      <c r="O163" s="135"/>
      <c r="P163" s="15">
        <f t="shared" si="11"/>
        <v>452596.78</v>
      </c>
      <c r="Q163" s="136"/>
    </row>
    <row r="164" spans="1:17" s="137" customFormat="1" ht="45" customHeight="1">
      <c r="A164" s="149">
        <v>1513037</v>
      </c>
      <c r="B164" s="149">
        <v>3037</v>
      </c>
      <c r="C164" s="149">
        <v>1070</v>
      </c>
      <c r="D164" s="150" t="s">
        <v>194</v>
      </c>
      <c r="E164" s="56">
        <f t="shared" si="12"/>
        <v>958340.05</v>
      </c>
      <c r="F164" s="135">
        <v>958340.05</v>
      </c>
      <c r="G164" s="135"/>
      <c r="H164" s="135"/>
      <c r="I164" s="135"/>
      <c r="J164" s="56">
        <f t="shared" si="13"/>
        <v>0</v>
      </c>
      <c r="K164" s="135"/>
      <c r="L164" s="135"/>
      <c r="M164" s="135"/>
      <c r="N164" s="135"/>
      <c r="O164" s="135"/>
      <c r="P164" s="15">
        <f t="shared" si="11"/>
        <v>958340.05</v>
      </c>
      <c r="Q164" s="136"/>
    </row>
    <row r="165" spans="1:17" s="137" customFormat="1" ht="45.75" customHeight="1">
      <c r="A165" s="149">
        <v>1513038</v>
      </c>
      <c r="B165" s="149">
        <v>3038</v>
      </c>
      <c r="C165" s="149">
        <v>1070</v>
      </c>
      <c r="D165" s="150" t="s">
        <v>197</v>
      </c>
      <c r="E165" s="56">
        <f t="shared" si="12"/>
        <v>256355.7</v>
      </c>
      <c r="F165" s="135">
        <v>256355.7</v>
      </c>
      <c r="G165" s="135"/>
      <c r="H165" s="135"/>
      <c r="I165" s="135"/>
      <c r="J165" s="56">
        <f t="shared" si="13"/>
        <v>0</v>
      </c>
      <c r="K165" s="135"/>
      <c r="L165" s="135"/>
      <c r="M165" s="135"/>
      <c r="N165" s="135"/>
      <c r="O165" s="135"/>
      <c r="P165" s="15">
        <f t="shared" si="11"/>
        <v>256355.7</v>
      </c>
      <c r="Q165" s="136"/>
    </row>
    <row r="166" spans="1:17" s="41" customFormat="1" ht="30" customHeight="1">
      <c r="A166" s="151">
        <v>1513130</v>
      </c>
      <c r="B166" s="151"/>
      <c r="C166" s="151"/>
      <c r="D166" s="152" t="s">
        <v>199</v>
      </c>
      <c r="E166" s="57">
        <f t="shared" si="12"/>
        <v>1079824.5</v>
      </c>
      <c r="F166" s="19">
        <f>F167+F168+F169</f>
        <v>1079824.5</v>
      </c>
      <c r="G166" s="19">
        <f>G167+G168+G169</f>
        <v>724698.52</v>
      </c>
      <c r="H166" s="19">
        <f>H167+H168+H169</f>
        <v>46471.12</v>
      </c>
      <c r="I166" s="19">
        <f>I167+I168+I169</f>
        <v>0</v>
      </c>
      <c r="J166" s="57">
        <f t="shared" si="13"/>
        <v>0</v>
      </c>
      <c r="K166" s="19">
        <f>K167+K168+K169</f>
        <v>0</v>
      </c>
      <c r="L166" s="19">
        <f>L167+L168+L169</f>
        <v>0</v>
      </c>
      <c r="M166" s="19">
        <f>M167+M168+M169</f>
        <v>0</v>
      </c>
      <c r="N166" s="19">
        <f>N167+N168+N169</f>
        <v>0</v>
      </c>
      <c r="O166" s="19">
        <f>O167+O168+O169</f>
        <v>0</v>
      </c>
      <c r="P166" s="19">
        <f t="shared" si="11"/>
        <v>1079824.5</v>
      </c>
      <c r="Q166" s="120"/>
    </row>
    <row r="167" spans="1:17" s="137" customFormat="1" ht="30.75" customHeight="1">
      <c r="A167" s="145">
        <v>1513131</v>
      </c>
      <c r="B167" s="145">
        <v>3131</v>
      </c>
      <c r="C167" s="145">
        <v>1040</v>
      </c>
      <c r="D167" s="147" t="s">
        <v>202</v>
      </c>
      <c r="E167" s="56">
        <f t="shared" si="12"/>
        <v>957054.5</v>
      </c>
      <c r="F167" s="135">
        <v>957054.5</v>
      </c>
      <c r="G167" s="135">
        <v>724698.52</v>
      </c>
      <c r="H167" s="135">
        <v>46471.12</v>
      </c>
      <c r="I167" s="135"/>
      <c r="J167" s="56">
        <f t="shared" si="13"/>
        <v>0</v>
      </c>
      <c r="K167" s="135"/>
      <c r="L167" s="135"/>
      <c r="M167" s="135"/>
      <c r="N167" s="135"/>
      <c r="O167" s="135"/>
      <c r="P167" s="15">
        <f t="shared" si="11"/>
        <v>957054.5</v>
      </c>
      <c r="Q167" s="136"/>
    </row>
    <row r="168" spans="1:17" s="137" customFormat="1" ht="31.5" customHeight="1">
      <c r="A168" s="145">
        <v>1513132</v>
      </c>
      <c r="B168" s="145">
        <v>3132</v>
      </c>
      <c r="C168" s="145">
        <v>1040</v>
      </c>
      <c r="D168" s="147" t="s">
        <v>205</v>
      </c>
      <c r="E168" s="56">
        <f t="shared" si="12"/>
        <v>8630</v>
      </c>
      <c r="F168" s="135">
        <v>8630</v>
      </c>
      <c r="G168" s="135"/>
      <c r="H168" s="135"/>
      <c r="I168" s="135"/>
      <c r="J168" s="56">
        <f t="shared" si="13"/>
        <v>0</v>
      </c>
      <c r="K168" s="135"/>
      <c r="L168" s="135"/>
      <c r="M168" s="135"/>
      <c r="N168" s="135"/>
      <c r="O168" s="135"/>
      <c r="P168" s="15">
        <f t="shared" si="11"/>
        <v>8630</v>
      </c>
      <c r="Q168" s="136"/>
    </row>
    <row r="169" spans="1:17" s="97" customFormat="1" ht="19.5" customHeight="1">
      <c r="A169" s="145">
        <v>1513134</v>
      </c>
      <c r="B169" s="145">
        <v>3134</v>
      </c>
      <c r="C169" s="145">
        <v>1040</v>
      </c>
      <c r="D169" s="147" t="s">
        <v>208</v>
      </c>
      <c r="E169" s="56">
        <f t="shared" si="12"/>
        <v>114140</v>
      </c>
      <c r="F169" s="135">
        <v>114140</v>
      </c>
      <c r="G169" s="135"/>
      <c r="H169" s="135"/>
      <c r="I169" s="135"/>
      <c r="J169" s="56">
        <f t="shared" si="13"/>
        <v>0</v>
      </c>
      <c r="K169" s="135"/>
      <c r="L169" s="135"/>
      <c r="M169" s="135"/>
      <c r="N169" s="135"/>
      <c r="O169" s="135"/>
      <c r="P169" s="15">
        <f t="shared" si="11"/>
        <v>114140</v>
      </c>
      <c r="Q169" s="117"/>
    </row>
    <row r="170" spans="1:17" s="97" customFormat="1" ht="72" customHeight="1">
      <c r="A170" s="144">
        <v>1513160</v>
      </c>
      <c r="B170" s="144">
        <v>3160</v>
      </c>
      <c r="C170" s="144">
        <v>1040</v>
      </c>
      <c r="D170" s="146" t="s">
        <v>82</v>
      </c>
      <c r="E170" s="56">
        <f t="shared" si="12"/>
        <v>29801.65</v>
      </c>
      <c r="F170" s="135">
        <v>29801.65</v>
      </c>
      <c r="G170" s="158"/>
      <c r="H170" s="158"/>
      <c r="I170" s="158"/>
      <c r="J170" s="56">
        <f t="shared" si="13"/>
        <v>0</v>
      </c>
      <c r="K170" s="158"/>
      <c r="L170" s="158"/>
      <c r="M170" s="158"/>
      <c r="N170" s="158"/>
      <c r="O170" s="158"/>
      <c r="P170" s="15">
        <f t="shared" si="11"/>
        <v>29801.65</v>
      </c>
      <c r="Q170" s="117"/>
    </row>
    <row r="171" spans="1:17" s="140" customFormat="1" ht="87" customHeight="1">
      <c r="A171" s="144">
        <v>1513190</v>
      </c>
      <c r="B171" s="144">
        <v>3190</v>
      </c>
      <c r="C171" s="144">
        <v>1060</v>
      </c>
      <c r="D171" s="146" t="s">
        <v>268</v>
      </c>
      <c r="E171" s="56">
        <f t="shared" si="12"/>
        <v>12896.36</v>
      </c>
      <c r="F171" s="135">
        <v>12896.36</v>
      </c>
      <c r="G171" s="135"/>
      <c r="H171" s="135"/>
      <c r="I171" s="135"/>
      <c r="J171" s="56">
        <f t="shared" si="13"/>
        <v>0</v>
      </c>
      <c r="K171" s="135"/>
      <c r="L171" s="135"/>
      <c r="M171" s="135"/>
      <c r="N171" s="135"/>
      <c r="O171" s="135"/>
      <c r="P171" s="15">
        <f t="shared" si="11"/>
        <v>12896.36</v>
      </c>
      <c r="Q171" s="139"/>
    </row>
    <row r="172" spans="1:17" s="41" customFormat="1" ht="33.75" customHeight="1">
      <c r="A172" s="151">
        <v>1513200</v>
      </c>
      <c r="B172" s="151"/>
      <c r="C172" s="151"/>
      <c r="D172" s="152" t="s">
        <v>211</v>
      </c>
      <c r="E172" s="57">
        <f t="shared" si="12"/>
        <v>201933.7</v>
      </c>
      <c r="F172" s="19">
        <f>F173</f>
        <v>201933.7</v>
      </c>
      <c r="G172" s="157">
        <f>G173</f>
        <v>0</v>
      </c>
      <c r="H172" s="157">
        <f>H173</f>
        <v>0</v>
      </c>
      <c r="I172" s="157">
        <f>I173</f>
        <v>0</v>
      </c>
      <c r="J172" s="57">
        <f t="shared" si="13"/>
        <v>0</v>
      </c>
      <c r="K172" s="157">
        <f>K173</f>
        <v>0</v>
      </c>
      <c r="L172" s="157">
        <f>L173</f>
        <v>0</v>
      </c>
      <c r="M172" s="157">
        <f>M173</f>
        <v>0</v>
      </c>
      <c r="N172" s="157">
        <f>N173</f>
        <v>0</v>
      </c>
      <c r="O172" s="157">
        <f>O173</f>
        <v>0</v>
      </c>
      <c r="P172" s="19">
        <f t="shared" si="11"/>
        <v>201933.7</v>
      </c>
      <c r="Q172" s="120"/>
    </row>
    <row r="173" spans="1:17" s="97" customFormat="1" ht="46.5" customHeight="1">
      <c r="A173" s="145">
        <v>1513202</v>
      </c>
      <c r="B173" s="145">
        <v>3202</v>
      </c>
      <c r="C173" s="145">
        <v>1030</v>
      </c>
      <c r="D173" s="147" t="s">
        <v>214</v>
      </c>
      <c r="E173" s="56">
        <f t="shared" si="12"/>
        <v>201933.7</v>
      </c>
      <c r="F173" s="135">
        <v>201933.7</v>
      </c>
      <c r="G173" s="135"/>
      <c r="H173" s="135"/>
      <c r="I173" s="135"/>
      <c r="J173" s="56">
        <f t="shared" si="13"/>
        <v>0</v>
      </c>
      <c r="K173" s="135"/>
      <c r="L173" s="135"/>
      <c r="M173" s="135"/>
      <c r="N173" s="135"/>
      <c r="O173" s="135"/>
      <c r="P173" s="15">
        <f t="shared" si="11"/>
        <v>201933.7</v>
      </c>
      <c r="Q173" s="117"/>
    </row>
    <row r="174" spans="1:17" s="97" customFormat="1" ht="21" customHeight="1">
      <c r="A174" s="144">
        <v>1513300</v>
      </c>
      <c r="B174" s="144">
        <v>3300</v>
      </c>
      <c r="C174" s="144">
        <v>1090</v>
      </c>
      <c r="D174" s="146" t="s">
        <v>217</v>
      </c>
      <c r="E174" s="56">
        <f t="shared" si="12"/>
        <v>930443.98</v>
      </c>
      <c r="F174" s="135">
        <v>930443.98</v>
      </c>
      <c r="G174" s="135">
        <v>498834.82</v>
      </c>
      <c r="H174" s="135">
        <v>184991.84</v>
      </c>
      <c r="I174" s="135"/>
      <c r="J174" s="56">
        <f t="shared" si="13"/>
        <v>283588.02</v>
      </c>
      <c r="K174" s="135"/>
      <c r="L174" s="135"/>
      <c r="M174" s="135"/>
      <c r="N174" s="135">
        <f>528188.02-244600</f>
        <v>283588.02</v>
      </c>
      <c r="O174" s="135">
        <f>528188.02-244600</f>
        <v>283588.02</v>
      </c>
      <c r="P174" s="15">
        <f t="shared" si="11"/>
        <v>1214032</v>
      </c>
      <c r="Q174" s="117"/>
    </row>
    <row r="175" spans="1:17" s="97" customFormat="1" ht="31.5" customHeight="1">
      <c r="A175" s="144">
        <v>1513400</v>
      </c>
      <c r="B175" s="144">
        <v>3400</v>
      </c>
      <c r="C175" s="144">
        <v>1090</v>
      </c>
      <c r="D175" s="146" t="s">
        <v>220</v>
      </c>
      <c r="E175" s="56">
        <f t="shared" si="12"/>
        <v>6713201.46</v>
      </c>
      <c r="F175" s="135">
        <f>5183936.46+15500+39000+108950+17000+5000+156900-20000+27000+2000+56215+87000+21700+1010000+3000</f>
        <v>6713201.46</v>
      </c>
      <c r="G175" s="135"/>
      <c r="H175" s="135"/>
      <c r="I175" s="135"/>
      <c r="J175" s="56">
        <f t="shared" si="13"/>
        <v>0</v>
      </c>
      <c r="K175" s="135"/>
      <c r="L175" s="135"/>
      <c r="M175" s="135"/>
      <c r="N175" s="135"/>
      <c r="O175" s="135"/>
      <c r="P175" s="15">
        <f t="shared" si="11"/>
        <v>6713201.46</v>
      </c>
      <c r="Q175" s="117"/>
    </row>
    <row r="176" spans="1:17" s="97" customFormat="1" ht="40.5" customHeight="1">
      <c r="A176" s="141"/>
      <c r="B176" s="142"/>
      <c r="C176" s="143"/>
      <c r="D176" s="159" t="s">
        <v>576</v>
      </c>
      <c r="E176" s="56">
        <f t="shared" si="12"/>
        <v>233000</v>
      </c>
      <c r="F176" s="135">
        <f>53000+39000+17000+5000+27000+2000+87000+3000</f>
        <v>233000</v>
      </c>
      <c r="G176" s="135"/>
      <c r="H176" s="135"/>
      <c r="I176" s="135"/>
      <c r="J176" s="56">
        <f t="shared" si="13"/>
        <v>0</v>
      </c>
      <c r="K176" s="135"/>
      <c r="L176" s="135"/>
      <c r="M176" s="135"/>
      <c r="N176" s="135"/>
      <c r="O176" s="135"/>
      <c r="P176" s="15">
        <f t="shared" si="11"/>
        <v>233000</v>
      </c>
      <c r="Q176" s="117"/>
    </row>
    <row r="177" spans="1:16" s="99" customFormat="1" ht="48" customHeight="1">
      <c r="A177" s="27" t="s">
        <v>435</v>
      </c>
      <c r="B177" s="28"/>
      <c r="C177" s="29"/>
      <c r="D177" s="78" t="s">
        <v>434</v>
      </c>
      <c r="E177" s="58">
        <f t="shared" si="12"/>
        <v>259418168.45999998</v>
      </c>
      <c r="F177" s="20">
        <f>F178+F179+F181+F195+F204+F223+F225+F227+F229+F230+F232+F233</f>
        <v>259418168.45999998</v>
      </c>
      <c r="G177" s="20">
        <f>G178+G179+G181+G195+G204+G223+G225+G227+G229+G230+G232+G233</f>
        <v>9695623</v>
      </c>
      <c r="H177" s="20">
        <f>H178+H179+H181+H195+H204+H223+H225+H227+H229+H230+H232+H233</f>
        <v>586060</v>
      </c>
      <c r="I177" s="20">
        <f>I178+I179+I181+I195+I204+I223+I225+I227+I229+I230+I232+I233</f>
        <v>0</v>
      </c>
      <c r="J177" s="58">
        <f t="shared" si="13"/>
        <v>170940</v>
      </c>
      <c r="K177" s="20">
        <f>K178+K179+K181+K195+K204+K223+K225+K227+K229+K230+K232+K233</f>
        <v>61560</v>
      </c>
      <c r="L177" s="20">
        <f>L178+L179+L181+L195+L204+L223+L225+L227+L229+L230+L232+L233</f>
        <v>48000</v>
      </c>
      <c r="M177" s="20">
        <f>M178+M179+M181+M195+M204+M223+M225+M227+M229+M230+M232+M233</f>
        <v>0</v>
      </c>
      <c r="N177" s="20">
        <f>N178+N179+N181+N195+N204+N223+N225+N227+N229+N230+N232+N233</f>
        <v>109380</v>
      </c>
      <c r="O177" s="20">
        <f>O178+O179+O181+O195+O204+O223+O225+O227+O229+O230+O232+O233</f>
        <v>109380</v>
      </c>
      <c r="P177" s="20">
        <f t="shared" si="11"/>
        <v>259589108.45999998</v>
      </c>
    </row>
    <row r="178" spans="1:17" s="11" customFormat="1" ht="27">
      <c r="A178" s="3" t="s">
        <v>436</v>
      </c>
      <c r="B178" s="30" t="s">
        <v>35</v>
      </c>
      <c r="C178" s="30" t="s">
        <v>20</v>
      </c>
      <c r="D178" s="73" t="s">
        <v>535</v>
      </c>
      <c r="E178" s="58">
        <f t="shared" si="12"/>
        <v>7456010</v>
      </c>
      <c r="F178" s="21">
        <f>7192700+109800+153510</f>
        <v>7456010</v>
      </c>
      <c r="G178" s="21">
        <f>5589295+90000-12500+125828</f>
        <v>5792623</v>
      </c>
      <c r="H178" s="21">
        <v>254160</v>
      </c>
      <c r="I178" s="21">
        <v>0</v>
      </c>
      <c r="J178" s="58">
        <f t="shared" si="13"/>
        <v>0</v>
      </c>
      <c r="K178" s="21">
        <v>0</v>
      </c>
      <c r="L178" s="21">
        <v>0</v>
      </c>
      <c r="M178" s="21">
        <v>0</v>
      </c>
      <c r="N178" s="21">
        <v>0</v>
      </c>
      <c r="O178" s="21">
        <v>0</v>
      </c>
      <c r="P178" s="20">
        <f t="shared" si="11"/>
        <v>7456010</v>
      </c>
      <c r="Q178" s="108"/>
    </row>
    <row r="179" spans="1:17" s="11" customFormat="1" ht="82.5">
      <c r="A179" s="3" t="s">
        <v>438</v>
      </c>
      <c r="B179" s="5" t="s">
        <v>226</v>
      </c>
      <c r="C179" s="4" t="s">
        <v>48</v>
      </c>
      <c r="D179" s="73" t="s">
        <v>477</v>
      </c>
      <c r="E179" s="58">
        <f t="shared" si="12"/>
        <v>4137356</v>
      </c>
      <c r="F179" s="21">
        <f>4327356-190000</f>
        <v>4137356</v>
      </c>
      <c r="G179" s="21">
        <v>0</v>
      </c>
      <c r="H179" s="21">
        <v>0</v>
      </c>
      <c r="I179" s="21">
        <v>0</v>
      </c>
      <c r="J179" s="58">
        <f t="shared" si="13"/>
        <v>0</v>
      </c>
      <c r="K179" s="21">
        <v>0</v>
      </c>
      <c r="L179" s="21">
        <v>0</v>
      </c>
      <c r="M179" s="21">
        <v>0</v>
      </c>
      <c r="N179" s="21">
        <v>0</v>
      </c>
      <c r="O179" s="21">
        <v>0</v>
      </c>
      <c r="P179" s="20">
        <f t="shared" si="11"/>
        <v>4137356</v>
      </c>
      <c r="Q179" s="108"/>
    </row>
    <row r="180" spans="1:16" s="11" customFormat="1" ht="208.5" customHeight="1">
      <c r="A180" s="22"/>
      <c r="B180" s="23"/>
      <c r="C180" s="24"/>
      <c r="D180" s="77" t="s">
        <v>502</v>
      </c>
      <c r="E180" s="58">
        <f t="shared" si="12"/>
        <v>4137356</v>
      </c>
      <c r="F180" s="26">
        <f>F179</f>
        <v>4137356</v>
      </c>
      <c r="G180" s="26"/>
      <c r="H180" s="26"/>
      <c r="I180" s="26"/>
      <c r="J180" s="58">
        <f t="shared" si="13"/>
        <v>0</v>
      </c>
      <c r="K180" s="26"/>
      <c r="L180" s="26"/>
      <c r="M180" s="26"/>
      <c r="N180" s="26"/>
      <c r="O180" s="26"/>
      <c r="P180" s="25">
        <f t="shared" si="11"/>
        <v>4137356</v>
      </c>
    </row>
    <row r="181" spans="1:17" s="11" customFormat="1" ht="99" customHeight="1">
      <c r="A181" s="16" t="s">
        <v>437</v>
      </c>
      <c r="B181" s="17"/>
      <c r="C181" s="18"/>
      <c r="D181" s="89" t="s">
        <v>484</v>
      </c>
      <c r="E181" s="57">
        <f t="shared" si="12"/>
        <v>145521242.45999998</v>
      </c>
      <c r="F181" s="19">
        <f>F182+F184+F187+F189+F191+F193</f>
        <v>145521242.45999998</v>
      </c>
      <c r="G181" s="19">
        <f>G182+G184+G187+G189+G191+G193</f>
        <v>0</v>
      </c>
      <c r="H181" s="19">
        <f>H182+H184+H187+H189+H191+H193</f>
        <v>0</v>
      </c>
      <c r="I181" s="19">
        <f>I182+I184+I187+I189+I191+I193</f>
        <v>0</v>
      </c>
      <c r="J181" s="57">
        <f t="shared" si="13"/>
        <v>0</v>
      </c>
      <c r="K181" s="19">
        <f>K182+K184+K187+K189+K191+K193</f>
        <v>0</v>
      </c>
      <c r="L181" s="19">
        <f>L182+L184+L187+L189+L191+L193</f>
        <v>0</v>
      </c>
      <c r="M181" s="19">
        <f>M182+M184+M187+M189+M191+M193</f>
        <v>0</v>
      </c>
      <c r="N181" s="19">
        <f>N182+N184+N187+N189+N191+N193</f>
        <v>0</v>
      </c>
      <c r="O181" s="19">
        <f>O182+O184+O187+O189+O191+O193</f>
        <v>0</v>
      </c>
      <c r="P181" s="19">
        <f t="shared" si="11"/>
        <v>145521242.45999998</v>
      </c>
      <c r="Q181" s="108"/>
    </row>
    <row r="182" spans="1:16" s="11" customFormat="1" ht="234">
      <c r="A182" s="22" t="s">
        <v>439</v>
      </c>
      <c r="B182" s="23" t="s">
        <v>227</v>
      </c>
      <c r="C182" s="24" t="s">
        <v>186</v>
      </c>
      <c r="D182" s="90" t="s">
        <v>480</v>
      </c>
      <c r="E182" s="59">
        <f t="shared" si="12"/>
        <v>7970984.950000001</v>
      </c>
      <c r="F182" s="26">
        <f>16215000+99973.34-11431087.77+48740.33+85109.69+69483.65+138194.2-138194.2+2883765.71</f>
        <v>7970984.950000001</v>
      </c>
      <c r="G182" s="26">
        <v>0</v>
      </c>
      <c r="H182" s="26">
        <v>0</v>
      </c>
      <c r="I182" s="26">
        <v>0</v>
      </c>
      <c r="J182" s="59">
        <f t="shared" si="13"/>
        <v>0</v>
      </c>
      <c r="K182" s="26">
        <v>0</v>
      </c>
      <c r="L182" s="26">
        <v>0</v>
      </c>
      <c r="M182" s="26">
        <v>0</v>
      </c>
      <c r="N182" s="26">
        <v>0</v>
      </c>
      <c r="O182" s="26">
        <v>0</v>
      </c>
      <c r="P182" s="25">
        <f t="shared" si="11"/>
        <v>7970984.950000001</v>
      </c>
    </row>
    <row r="183" spans="1:16" s="11" customFormat="1" ht="123.75">
      <c r="A183" s="22"/>
      <c r="B183" s="23"/>
      <c r="C183" s="24"/>
      <c r="D183" s="90" t="s">
        <v>505</v>
      </c>
      <c r="E183" s="59">
        <f t="shared" si="12"/>
        <v>7970984.950000001</v>
      </c>
      <c r="F183" s="26">
        <f>F182</f>
        <v>7970984.950000001</v>
      </c>
      <c r="G183" s="35"/>
      <c r="H183" s="35"/>
      <c r="I183" s="35"/>
      <c r="J183" s="59">
        <f t="shared" si="13"/>
        <v>0</v>
      </c>
      <c r="K183" s="35"/>
      <c r="L183" s="35"/>
      <c r="M183" s="35"/>
      <c r="N183" s="35"/>
      <c r="O183" s="35"/>
      <c r="P183" s="25">
        <f t="shared" si="11"/>
        <v>7970984.950000001</v>
      </c>
    </row>
    <row r="184" spans="1:16" s="11" customFormat="1" ht="317.25">
      <c r="A184" s="182" t="s">
        <v>440</v>
      </c>
      <c r="B184" s="184" t="s">
        <v>228</v>
      </c>
      <c r="C184" s="187" t="s">
        <v>186</v>
      </c>
      <c r="D184" s="83" t="s">
        <v>481</v>
      </c>
      <c r="E184" s="181">
        <f>F184+I184</f>
        <v>604922.31</v>
      </c>
      <c r="F184" s="163">
        <f>1527500+9162.79-1180844.9+5430.98+8592.03+6044.67+11338.45-11338.45+229036.74</f>
        <v>604922.31</v>
      </c>
      <c r="G184" s="163">
        <v>0</v>
      </c>
      <c r="H184" s="163">
        <v>0</v>
      </c>
      <c r="I184" s="163">
        <v>0</v>
      </c>
      <c r="J184" s="181">
        <f>K184+N184</f>
        <v>0</v>
      </c>
      <c r="K184" s="163">
        <v>0</v>
      </c>
      <c r="L184" s="163">
        <v>0</v>
      </c>
      <c r="M184" s="163">
        <v>0</v>
      </c>
      <c r="N184" s="163">
        <v>0</v>
      </c>
      <c r="O184" s="163">
        <v>0</v>
      </c>
      <c r="P184" s="167">
        <f t="shared" si="11"/>
        <v>604922.31</v>
      </c>
    </row>
    <row r="185" spans="1:16" s="11" customFormat="1" ht="372">
      <c r="A185" s="183"/>
      <c r="B185" s="185"/>
      <c r="C185" s="188"/>
      <c r="D185" s="84" t="s">
        <v>482</v>
      </c>
      <c r="E185" s="181"/>
      <c r="F185" s="164"/>
      <c r="G185" s="164"/>
      <c r="H185" s="164"/>
      <c r="I185" s="164"/>
      <c r="J185" s="181"/>
      <c r="K185" s="164"/>
      <c r="L185" s="164"/>
      <c r="M185" s="164"/>
      <c r="N185" s="164"/>
      <c r="O185" s="164"/>
      <c r="P185" s="168"/>
    </row>
    <row r="186" spans="1:16" s="11" customFormat="1" ht="123.75">
      <c r="A186" s="36"/>
      <c r="B186" s="37"/>
      <c r="C186" s="38"/>
      <c r="D186" s="82" t="s">
        <v>505</v>
      </c>
      <c r="E186" s="59">
        <f>F186+I186</f>
        <v>604922.31</v>
      </c>
      <c r="F186" s="39">
        <f>F184</f>
        <v>604922.31</v>
      </c>
      <c r="G186" s="39"/>
      <c r="H186" s="39"/>
      <c r="I186" s="39"/>
      <c r="J186" s="59">
        <f>K186+N186</f>
        <v>0</v>
      </c>
      <c r="K186" s="39"/>
      <c r="L186" s="39"/>
      <c r="M186" s="39"/>
      <c r="N186" s="39"/>
      <c r="O186" s="39"/>
      <c r="P186" s="40">
        <f>E186+J186</f>
        <v>604922.31</v>
      </c>
    </row>
    <row r="187" spans="1:16" s="11" customFormat="1" ht="122.25" customHeight="1">
      <c r="A187" s="22" t="s">
        <v>441</v>
      </c>
      <c r="B187" s="23" t="s">
        <v>229</v>
      </c>
      <c r="C187" s="24" t="s">
        <v>189</v>
      </c>
      <c r="D187" s="85" t="s">
        <v>230</v>
      </c>
      <c r="E187" s="59">
        <f aca="true" t="shared" si="16" ref="E187:E203">F187+I187</f>
        <v>750713.2299999997</v>
      </c>
      <c r="F187" s="26">
        <f>2010700+12998.4-1582913.86+5405.04+9671.97+8345.32+16011.59-16011.59+286506.36</f>
        <v>750713.2299999997</v>
      </c>
      <c r="G187" s="26">
        <v>0</v>
      </c>
      <c r="H187" s="26">
        <v>0</v>
      </c>
      <c r="I187" s="26">
        <v>0</v>
      </c>
      <c r="J187" s="59">
        <f aca="true" t="shared" si="17" ref="J187:J210">K187+N187</f>
        <v>0</v>
      </c>
      <c r="K187" s="26">
        <v>0</v>
      </c>
      <c r="L187" s="26">
        <v>0</v>
      </c>
      <c r="M187" s="26">
        <v>0</v>
      </c>
      <c r="N187" s="26">
        <v>0</v>
      </c>
      <c r="O187" s="26">
        <v>0</v>
      </c>
      <c r="P187" s="25">
        <f t="shared" si="11"/>
        <v>750713.2299999997</v>
      </c>
    </row>
    <row r="188" spans="1:16" s="11" customFormat="1" ht="123.75">
      <c r="A188" s="22"/>
      <c r="B188" s="23"/>
      <c r="C188" s="24"/>
      <c r="D188" s="82" t="s">
        <v>505</v>
      </c>
      <c r="E188" s="59">
        <f t="shared" si="16"/>
        <v>750713.2299999997</v>
      </c>
      <c r="F188" s="26">
        <f>F187</f>
        <v>750713.2299999997</v>
      </c>
      <c r="G188" s="26"/>
      <c r="H188" s="26"/>
      <c r="I188" s="26"/>
      <c r="J188" s="59">
        <f t="shared" si="17"/>
        <v>0</v>
      </c>
      <c r="K188" s="26"/>
      <c r="L188" s="26"/>
      <c r="M188" s="26"/>
      <c r="N188" s="26"/>
      <c r="O188" s="26"/>
      <c r="P188" s="25">
        <f t="shared" si="11"/>
        <v>750713.2299999997</v>
      </c>
    </row>
    <row r="189" spans="1:16" s="11" customFormat="1" ht="225.75" customHeight="1">
      <c r="A189" s="22" t="s">
        <v>442</v>
      </c>
      <c r="B189" s="23" t="s">
        <v>231</v>
      </c>
      <c r="C189" s="24" t="s">
        <v>189</v>
      </c>
      <c r="D189" s="86" t="s">
        <v>483</v>
      </c>
      <c r="E189" s="59">
        <f t="shared" si="16"/>
        <v>29079.729999999996</v>
      </c>
      <c r="F189" s="26">
        <f>29200+64.26-17732.86+64.26+81-81+17484.07</f>
        <v>29079.729999999996</v>
      </c>
      <c r="G189" s="26">
        <v>0</v>
      </c>
      <c r="H189" s="26">
        <v>0</v>
      </c>
      <c r="I189" s="26">
        <v>0</v>
      </c>
      <c r="J189" s="59">
        <f t="shared" si="17"/>
        <v>0</v>
      </c>
      <c r="K189" s="26">
        <v>0</v>
      </c>
      <c r="L189" s="26">
        <v>0</v>
      </c>
      <c r="M189" s="26">
        <v>0</v>
      </c>
      <c r="N189" s="26">
        <v>0</v>
      </c>
      <c r="O189" s="26">
        <v>0</v>
      </c>
      <c r="P189" s="25">
        <f t="shared" si="11"/>
        <v>29079.729999999996</v>
      </c>
    </row>
    <row r="190" spans="1:16" s="11" customFormat="1" ht="123.75">
      <c r="A190" s="22"/>
      <c r="B190" s="23"/>
      <c r="C190" s="24"/>
      <c r="D190" s="82" t="s">
        <v>505</v>
      </c>
      <c r="E190" s="59">
        <f t="shared" si="16"/>
        <v>29079.729999999996</v>
      </c>
      <c r="F190" s="26">
        <f>F189</f>
        <v>29079.729999999996</v>
      </c>
      <c r="G190" s="26"/>
      <c r="H190" s="26"/>
      <c r="I190" s="26"/>
      <c r="J190" s="59">
        <f t="shared" si="17"/>
        <v>0</v>
      </c>
      <c r="K190" s="26"/>
      <c r="L190" s="26"/>
      <c r="M190" s="26"/>
      <c r="N190" s="26"/>
      <c r="O190" s="26"/>
      <c r="P190" s="25">
        <f t="shared" si="11"/>
        <v>29079.729999999996</v>
      </c>
    </row>
    <row r="191" spans="1:16" s="11" customFormat="1" ht="27">
      <c r="A191" s="22" t="s">
        <v>443</v>
      </c>
      <c r="B191" s="23" t="s">
        <v>232</v>
      </c>
      <c r="C191" s="24" t="s">
        <v>189</v>
      </c>
      <c r="D191" s="87" t="s">
        <v>233</v>
      </c>
      <c r="E191" s="59">
        <f t="shared" si="16"/>
        <v>741688.7599999998</v>
      </c>
      <c r="F191" s="26">
        <f>2810600+13989.42-2397174.24+8634.92+16020.68+8639.46+21536.71-21536.71+280978.52</f>
        <v>741688.7599999998</v>
      </c>
      <c r="G191" s="26">
        <v>0</v>
      </c>
      <c r="H191" s="26">
        <v>0</v>
      </c>
      <c r="I191" s="26">
        <v>0</v>
      </c>
      <c r="J191" s="59">
        <f t="shared" si="17"/>
        <v>0</v>
      </c>
      <c r="K191" s="26">
        <v>0</v>
      </c>
      <c r="L191" s="26">
        <v>0</v>
      </c>
      <c r="M191" s="26">
        <v>0</v>
      </c>
      <c r="N191" s="26">
        <v>0</v>
      </c>
      <c r="O191" s="26">
        <v>0</v>
      </c>
      <c r="P191" s="25">
        <f t="shared" si="11"/>
        <v>741688.7599999998</v>
      </c>
    </row>
    <row r="192" spans="1:16" s="11" customFormat="1" ht="137.25" customHeight="1">
      <c r="A192" s="22"/>
      <c r="B192" s="23"/>
      <c r="C192" s="24"/>
      <c r="D192" s="11" t="s">
        <v>505</v>
      </c>
      <c r="E192" s="59">
        <f t="shared" si="16"/>
        <v>741688.7599999998</v>
      </c>
      <c r="F192" s="26">
        <f>F191</f>
        <v>741688.7599999998</v>
      </c>
      <c r="G192" s="26"/>
      <c r="H192" s="26"/>
      <c r="I192" s="26"/>
      <c r="J192" s="59">
        <f t="shared" si="17"/>
        <v>0</v>
      </c>
      <c r="K192" s="26"/>
      <c r="L192" s="26"/>
      <c r="M192" s="26"/>
      <c r="N192" s="26"/>
      <c r="O192" s="26"/>
      <c r="P192" s="25">
        <f t="shared" si="11"/>
        <v>741688.7599999998</v>
      </c>
    </row>
    <row r="193" spans="1:16" s="11" customFormat="1" ht="41.25">
      <c r="A193" s="22" t="s">
        <v>444</v>
      </c>
      <c r="B193" s="23" t="s">
        <v>234</v>
      </c>
      <c r="C193" s="24" t="s">
        <v>226</v>
      </c>
      <c r="D193" s="87" t="s">
        <v>235</v>
      </c>
      <c r="E193" s="59">
        <f t="shared" si="16"/>
        <v>135423853.48</v>
      </c>
      <c r="F193" s="26">
        <f>72107000-136188.21+23268938.63-68211.27-3119394.37-4652461.63+1153484.08-149548.29+49771234.54-2751000</f>
        <v>135423853.48</v>
      </c>
      <c r="G193" s="26">
        <v>0</v>
      </c>
      <c r="H193" s="26">
        <v>0</v>
      </c>
      <c r="I193" s="26">
        <v>0</v>
      </c>
      <c r="J193" s="59">
        <f t="shared" si="17"/>
        <v>0</v>
      </c>
      <c r="K193" s="26">
        <v>0</v>
      </c>
      <c r="L193" s="26">
        <v>0</v>
      </c>
      <c r="M193" s="26">
        <v>0</v>
      </c>
      <c r="N193" s="26">
        <v>0</v>
      </c>
      <c r="O193" s="26">
        <v>0</v>
      </c>
      <c r="P193" s="25">
        <f t="shared" si="11"/>
        <v>135423853.48</v>
      </c>
    </row>
    <row r="194" spans="1:16" s="11" customFormat="1" ht="145.5" customHeight="1">
      <c r="A194" s="22"/>
      <c r="B194" s="23"/>
      <c r="C194" s="24"/>
      <c r="D194" s="11" t="s">
        <v>505</v>
      </c>
      <c r="E194" s="59">
        <f>F194+I194</f>
        <v>135423853.48</v>
      </c>
      <c r="F194" s="26">
        <f>F193</f>
        <v>135423853.48</v>
      </c>
      <c r="G194" s="26"/>
      <c r="H194" s="26"/>
      <c r="I194" s="26"/>
      <c r="J194" s="59">
        <f>K194+N194</f>
        <v>0</v>
      </c>
      <c r="K194" s="26"/>
      <c r="L194" s="26"/>
      <c r="M194" s="26"/>
      <c r="N194" s="26"/>
      <c r="O194" s="26"/>
      <c r="P194" s="25">
        <f t="shared" si="11"/>
        <v>135423853.48</v>
      </c>
    </row>
    <row r="195" spans="1:17" s="11" customFormat="1" ht="41.25">
      <c r="A195" s="16" t="s">
        <v>445</v>
      </c>
      <c r="B195" s="17"/>
      <c r="C195" s="18"/>
      <c r="D195" s="88" t="s">
        <v>236</v>
      </c>
      <c r="E195" s="57">
        <f t="shared" si="16"/>
        <v>126740</v>
      </c>
      <c r="F195" s="19">
        <f>F196+F200+F202+F198</f>
        <v>126740</v>
      </c>
      <c r="G195" s="19">
        <f>G196+G200+G202</f>
        <v>0</v>
      </c>
      <c r="H195" s="19">
        <f>H196+H200+H202</f>
        <v>0</v>
      </c>
      <c r="I195" s="19">
        <f>I196+I200+I202</f>
        <v>0</v>
      </c>
      <c r="J195" s="57">
        <f t="shared" si="17"/>
        <v>0</v>
      </c>
      <c r="K195" s="19">
        <f>K196+K200+K202</f>
        <v>0</v>
      </c>
      <c r="L195" s="19">
        <f>L196+L200+L202</f>
        <v>0</v>
      </c>
      <c r="M195" s="19">
        <f>M196+M200+M202</f>
        <v>0</v>
      </c>
      <c r="N195" s="19">
        <f>N196+N200+N202</f>
        <v>0</v>
      </c>
      <c r="O195" s="19">
        <f>O196+O200+O202</f>
        <v>0</v>
      </c>
      <c r="P195" s="19">
        <f t="shared" si="11"/>
        <v>126740</v>
      </c>
      <c r="Q195" s="108"/>
    </row>
    <row r="196" spans="1:16" s="11" customFormat="1" ht="207">
      <c r="A196" s="22" t="s">
        <v>446</v>
      </c>
      <c r="B196" s="23" t="s">
        <v>237</v>
      </c>
      <c r="C196" s="24" t="s">
        <v>186</v>
      </c>
      <c r="D196" s="87" t="s">
        <v>486</v>
      </c>
      <c r="E196" s="59">
        <f t="shared" si="16"/>
        <v>24669.059999999998</v>
      </c>
      <c r="F196" s="26">
        <f>34520-9850.94</f>
        <v>24669.059999999998</v>
      </c>
      <c r="G196" s="26">
        <v>0</v>
      </c>
      <c r="H196" s="26">
        <v>0</v>
      </c>
      <c r="I196" s="26">
        <v>0</v>
      </c>
      <c r="J196" s="59">
        <f t="shared" si="17"/>
        <v>0</v>
      </c>
      <c r="K196" s="26">
        <v>0</v>
      </c>
      <c r="L196" s="26">
        <v>0</v>
      </c>
      <c r="M196" s="26">
        <v>0</v>
      </c>
      <c r="N196" s="26">
        <v>0</v>
      </c>
      <c r="O196" s="26">
        <v>0</v>
      </c>
      <c r="P196" s="25">
        <f t="shared" si="11"/>
        <v>24669.059999999998</v>
      </c>
    </row>
    <row r="197" spans="1:16" s="11" customFormat="1" ht="79.5" customHeight="1">
      <c r="A197" s="22"/>
      <c r="B197" s="23"/>
      <c r="C197" s="24"/>
      <c r="D197" s="11" t="s">
        <v>504</v>
      </c>
      <c r="E197" s="59">
        <f t="shared" si="16"/>
        <v>24669.059999999998</v>
      </c>
      <c r="F197" s="26">
        <f>F196</f>
        <v>24669.059999999998</v>
      </c>
      <c r="G197" s="26"/>
      <c r="H197" s="26"/>
      <c r="I197" s="26"/>
      <c r="J197" s="59">
        <f t="shared" si="17"/>
        <v>0</v>
      </c>
      <c r="K197" s="26"/>
      <c r="L197" s="26"/>
      <c r="M197" s="26"/>
      <c r="N197" s="26"/>
      <c r="O197" s="26"/>
      <c r="P197" s="25">
        <f t="shared" si="11"/>
        <v>24669.059999999998</v>
      </c>
    </row>
    <row r="198" spans="1:16" s="11" customFormat="1" ht="95.25" customHeight="1">
      <c r="A198" s="22" t="s">
        <v>564</v>
      </c>
      <c r="B198" s="23" t="s">
        <v>563</v>
      </c>
      <c r="C198" s="24" t="s">
        <v>186</v>
      </c>
      <c r="D198" s="90" t="s">
        <v>565</v>
      </c>
      <c r="E198" s="59">
        <f t="shared" si="16"/>
        <v>1112</v>
      </c>
      <c r="F198" s="26">
        <f aca="true" t="shared" si="18" ref="F198:O198">F199</f>
        <v>1112</v>
      </c>
      <c r="G198" s="26">
        <f t="shared" si="18"/>
        <v>0</v>
      </c>
      <c r="H198" s="26">
        <f t="shared" si="18"/>
        <v>0</v>
      </c>
      <c r="I198" s="26">
        <f t="shared" si="18"/>
        <v>0</v>
      </c>
      <c r="J198" s="26">
        <f t="shared" si="18"/>
        <v>0</v>
      </c>
      <c r="K198" s="26">
        <f t="shared" si="18"/>
        <v>0</v>
      </c>
      <c r="L198" s="26">
        <f t="shared" si="18"/>
        <v>0</v>
      </c>
      <c r="M198" s="26">
        <f t="shared" si="18"/>
        <v>0</v>
      </c>
      <c r="N198" s="26">
        <f t="shared" si="18"/>
        <v>0</v>
      </c>
      <c r="O198" s="26">
        <f t="shared" si="18"/>
        <v>0</v>
      </c>
      <c r="P198" s="25">
        <f t="shared" si="11"/>
        <v>1112</v>
      </c>
    </row>
    <row r="199" spans="1:16" s="11" customFormat="1" ht="79.5" customHeight="1">
      <c r="A199" s="22"/>
      <c r="B199" s="23"/>
      <c r="C199" s="24"/>
      <c r="D199" s="11" t="s">
        <v>504</v>
      </c>
      <c r="E199" s="59">
        <f t="shared" si="16"/>
        <v>1112</v>
      </c>
      <c r="F199" s="26">
        <v>1112</v>
      </c>
      <c r="G199" s="26"/>
      <c r="H199" s="26"/>
      <c r="I199" s="26"/>
      <c r="J199" s="59"/>
      <c r="K199" s="26"/>
      <c r="L199" s="26"/>
      <c r="M199" s="26"/>
      <c r="N199" s="26"/>
      <c r="O199" s="26"/>
      <c r="P199" s="25">
        <f t="shared" si="11"/>
        <v>1112</v>
      </c>
    </row>
    <row r="200" spans="1:16" s="11" customFormat="1" ht="41.25">
      <c r="A200" s="22" t="s">
        <v>447</v>
      </c>
      <c r="B200" s="23" t="s">
        <v>238</v>
      </c>
      <c r="C200" s="24" t="s">
        <v>189</v>
      </c>
      <c r="D200" s="87" t="s">
        <v>239</v>
      </c>
      <c r="E200" s="59">
        <f t="shared" si="16"/>
        <v>10729</v>
      </c>
      <c r="F200" s="26">
        <f>11220-491</f>
        <v>10729</v>
      </c>
      <c r="G200" s="26">
        <v>0</v>
      </c>
      <c r="H200" s="26">
        <v>0</v>
      </c>
      <c r="I200" s="26">
        <v>0</v>
      </c>
      <c r="J200" s="59">
        <f t="shared" si="17"/>
        <v>0</v>
      </c>
      <c r="K200" s="26">
        <v>0</v>
      </c>
      <c r="L200" s="26">
        <v>0</v>
      </c>
      <c r="M200" s="26">
        <v>0</v>
      </c>
      <c r="N200" s="26">
        <v>0</v>
      </c>
      <c r="O200" s="26">
        <v>0</v>
      </c>
      <c r="P200" s="25">
        <f t="shared" si="11"/>
        <v>10729</v>
      </c>
    </row>
    <row r="201" spans="1:16" s="11" customFormat="1" ht="69">
      <c r="A201" s="22"/>
      <c r="B201" s="23"/>
      <c r="C201" s="24"/>
      <c r="D201" s="11" t="s">
        <v>504</v>
      </c>
      <c r="E201" s="59">
        <f>F201+I201</f>
        <v>10729</v>
      </c>
      <c r="F201" s="26">
        <f>F200</f>
        <v>10729</v>
      </c>
      <c r="G201" s="26"/>
      <c r="H201" s="26"/>
      <c r="I201" s="26"/>
      <c r="J201" s="59">
        <f>K201+N201</f>
        <v>0</v>
      </c>
      <c r="K201" s="26"/>
      <c r="L201" s="26"/>
      <c r="M201" s="26"/>
      <c r="N201" s="26"/>
      <c r="O201" s="26"/>
      <c r="P201" s="25">
        <f t="shared" si="11"/>
        <v>10729</v>
      </c>
    </row>
    <row r="202" spans="1:16" s="11" customFormat="1" ht="54.75">
      <c r="A202" s="22" t="s">
        <v>448</v>
      </c>
      <c r="B202" s="23" t="s">
        <v>240</v>
      </c>
      <c r="C202" s="24" t="s">
        <v>226</v>
      </c>
      <c r="D202" s="87" t="s">
        <v>241</v>
      </c>
      <c r="E202" s="59">
        <f t="shared" si="16"/>
        <v>90229.94</v>
      </c>
      <c r="F202" s="26">
        <f>81000-1112+10341.94</f>
        <v>90229.94</v>
      </c>
      <c r="G202" s="26">
        <v>0</v>
      </c>
      <c r="H202" s="26">
        <v>0</v>
      </c>
      <c r="I202" s="26">
        <v>0</v>
      </c>
      <c r="J202" s="59">
        <f t="shared" si="17"/>
        <v>0</v>
      </c>
      <c r="K202" s="26">
        <v>0</v>
      </c>
      <c r="L202" s="26">
        <v>0</v>
      </c>
      <c r="M202" s="26">
        <v>0</v>
      </c>
      <c r="N202" s="26">
        <v>0</v>
      </c>
      <c r="O202" s="26">
        <v>0</v>
      </c>
      <c r="P202" s="25">
        <f t="shared" si="11"/>
        <v>90229.94</v>
      </c>
    </row>
    <row r="203" spans="1:16" s="11" customFormat="1" ht="69">
      <c r="A203" s="22"/>
      <c r="B203" s="23"/>
      <c r="C203" s="24"/>
      <c r="D203" s="11" t="s">
        <v>504</v>
      </c>
      <c r="E203" s="59">
        <f t="shared" si="16"/>
        <v>90229.94</v>
      </c>
      <c r="F203" s="26">
        <f>F202</f>
        <v>90229.94</v>
      </c>
      <c r="G203" s="26"/>
      <c r="H203" s="26"/>
      <c r="I203" s="26"/>
      <c r="J203" s="59">
        <f t="shared" si="17"/>
        <v>0</v>
      </c>
      <c r="K203" s="26"/>
      <c r="L203" s="26"/>
      <c r="M203" s="26"/>
      <c r="N203" s="26"/>
      <c r="O203" s="26"/>
      <c r="P203" s="25">
        <f t="shared" si="11"/>
        <v>90229.94</v>
      </c>
    </row>
    <row r="204" spans="1:17" s="11" customFormat="1" ht="54.75">
      <c r="A204" s="16" t="s">
        <v>449</v>
      </c>
      <c r="B204" s="17"/>
      <c r="C204" s="18"/>
      <c r="D204" s="88" t="s">
        <v>242</v>
      </c>
      <c r="E204" s="57">
        <f aca="true" t="shared" si="19" ref="E204:E210">F204+I204</f>
        <v>91620133.07</v>
      </c>
      <c r="F204" s="19">
        <f>F205+F207+F209+F211+F213+F215+F217+F219+F221</f>
        <v>91620133.07</v>
      </c>
      <c r="G204" s="19">
        <f>G205+G207+G209+G211+G213+G215+G217+G219+G221</f>
        <v>0</v>
      </c>
      <c r="H204" s="19">
        <f>H205+H207+H209+H211+H213+H215+H217+H219+H221</f>
        <v>0</v>
      </c>
      <c r="I204" s="19">
        <f>I205+I207+I209+I211+I213+I215+I217+I219+I221</f>
        <v>0</v>
      </c>
      <c r="J204" s="57">
        <f t="shared" si="17"/>
        <v>0</v>
      </c>
      <c r="K204" s="19">
        <f>K205+K207+K209+K211+K213+K215+K217+K219+K221</f>
        <v>0</v>
      </c>
      <c r="L204" s="19">
        <f>L205+L207+L209+L211+L213+L215+L217+L219+L221</f>
        <v>0</v>
      </c>
      <c r="M204" s="19">
        <f>M205+M207+M209+M211+M213+M215+M217+M219+M221</f>
        <v>0</v>
      </c>
      <c r="N204" s="19">
        <f>N205+N207+N209+N211+N213+N215+N217+N219+N221</f>
        <v>0</v>
      </c>
      <c r="O204" s="19">
        <f>O205+O207+O209+O211+O213+O215+O217+O219+O221</f>
        <v>0</v>
      </c>
      <c r="P204" s="19">
        <f t="shared" si="11"/>
        <v>91620133.07</v>
      </c>
      <c r="Q204" s="108"/>
    </row>
    <row r="205" spans="1:16" s="11" customFormat="1" ht="27">
      <c r="A205" s="22" t="s">
        <v>450</v>
      </c>
      <c r="B205" s="23" t="s">
        <v>243</v>
      </c>
      <c r="C205" s="24" t="s">
        <v>57</v>
      </c>
      <c r="D205" s="87" t="s">
        <v>244</v>
      </c>
      <c r="E205" s="59">
        <f t="shared" si="19"/>
        <v>730450</v>
      </c>
      <c r="F205" s="26">
        <f>830500-100050</f>
        <v>730450</v>
      </c>
      <c r="G205" s="26">
        <v>0</v>
      </c>
      <c r="H205" s="26">
        <v>0</v>
      </c>
      <c r="I205" s="26">
        <v>0</v>
      </c>
      <c r="J205" s="59">
        <f t="shared" si="17"/>
        <v>0</v>
      </c>
      <c r="K205" s="26">
        <v>0</v>
      </c>
      <c r="L205" s="26">
        <v>0</v>
      </c>
      <c r="M205" s="26">
        <v>0</v>
      </c>
      <c r="N205" s="26">
        <v>0</v>
      </c>
      <c r="O205" s="26">
        <v>0</v>
      </c>
      <c r="P205" s="25">
        <f t="shared" si="11"/>
        <v>730450</v>
      </c>
    </row>
    <row r="206" spans="1:16" s="11" customFormat="1" ht="96">
      <c r="A206" s="22"/>
      <c r="B206" s="23"/>
      <c r="C206" s="24"/>
      <c r="D206" s="11" t="s">
        <v>503</v>
      </c>
      <c r="E206" s="59">
        <f t="shared" si="19"/>
        <v>730450</v>
      </c>
      <c r="F206" s="26">
        <f>F205</f>
        <v>730450</v>
      </c>
      <c r="G206" s="26"/>
      <c r="H206" s="26"/>
      <c r="I206" s="26"/>
      <c r="J206" s="59">
        <f t="shared" si="17"/>
        <v>0</v>
      </c>
      <c r="K206" s="26"/>
      <c r="L206" s="26"/>
      <c r="M206" s="26"/>
      <c r="N206" s="26"/>
      <c r="O206" s="26"/>
      <c r="P206" s="25">
        <f t="shared" si="11"/>
        <v>730450</v>
      </c>
    </row>
    <row r="207" spans="1:16" s="11" customFormat="1" ht="27">
      <c r="A207" s="22" t="s">
        <v>451</v>
      </c>
      <c r="B207" s="23" t="s">
        <v>245</v>
      </c>
      <c r="C207" s="24" t="s">
        <v>57</v>
      </c>
      <c r="D207" s="87" t="s">
        <v>530</v>
      </c>
      <c r="E207" s="59">
        <f t="shared" si="19"/>
        <v>61017.649999999994</v>
      </c>
      <c r="F207" s="26">
        <f>301000-51640-188342.35</f>
        <v>61017.649999999994</v>
      </c>
      <c r="G207" s="26">
        <v>0</v>
      </c>
      <c r="H207" s="26">
        <v>0</v>
      </c>
      <c r="I207" s="26">
        <v>0</v>
      </c>
      <c r="J207" s="59">
        <f t="shared" si="17"/>
        <v>0</v>
      </c>
      <c r="K207" s="26">
        <v>0</v>
      </c>
      <c r="L207" s="26">
        <v>0</v>
      </c>
      <c r="M207" s="26">
        <v>0</v>
      </c>
      <c r="N207" s="26">
        <v>0</v>
      </c>
      <c r="O207" s="26">
        <v>0</v>
      </c>
      <c r="P207" s="25">
        <f t="shared" si="11"/>
        <v>61017.649999999994</v>
      </c>
    </row>
    <row r="208" spans="1:16" s="11" customFormat="1" ht="96">
      <c r="A208" s="22"/>
      <c r="B208" s="23"/>
      <c r="C208" s="24"/>
      <c r="D208" s="11" t="s">
        <v>503</v>
      </c>
      <c r="E208" s="59">
        <f t="shared" si="19"/>
        <v>61017.649999999994</v>
      </c>
      <c r="F208" s="26">
        <f>F207</f>
        <v>61017.649999999994</v>
      </c>
      <c r="G208" s="26"/>
      <c r="H208" s="26"/>
      <c r="I208" s="26"/>
      <c r="J208" s="59">
        <f t="shared" si="17"/>
        <v>0</v>
      </c>
      <c r="K208" s="26"/>
      <c r="L208" s="26"/>
      <c r="M208" s="26"/>
      <c r="N208" s="26"/>
      <c r="O208" s="26"/>
      <c r="P208" s="25">
        <f t="shared" si="11"/>
        <v>61017.649999999994</v>
      </c>
    </row>
    <row r="209" spans="1:16" s="11" customFormat="1" ht="21" customHeight="1">
      <c r="A209" s="22" t="s">
        <v>452</v>
      </c>
      <c r="B209" s="23" t="s">
        <v>246</v>
      </c>
      <c r="C209" s="24" t="s">
        <v>57</v>
      </c>
      <c r="D209" s="75" t="s">
        <v>247</v>
      </c>
      <c r="E209" s="59">
        <f t="shared" si="19"/>
        <v>38601500</v>
      </c>
      <c r="F209" s="26">
        <v>38601500</v>
      </c>
      <c r="G209" s="26">
        <v>0</v>
      </c>
      <c r="H209" s="26">
        <v>0</v>
      </c>
      <c r="I209" s="26">
        <v>0</v>
      </c>
      <c r="J209" s="59">
        <f t="shared" si="17"/>
        <v>0</v>
      </c>
      <c r="K209" s="26">
        <v>0</v>
      </c>
      <c r="L209" s="26">
        <v>0</v>
      </c>
      <c r="M209" s="26">
        <v>0</v>
      </c>
      <c r="N209" s="26">
        <v>0</v>
      </c>
      <c r="O209" s="26">
        <v>0</v>
      </c>
      <c r="P209" s="25">
        <f t="shared" si="11"/>
        <v>38601500</v>
      </c>
    </row>
    <row r="210" spans="1:16" s="11" customFormat="1" ht="96">
      <c r="A210" s="22"/>
      <c r="B210" s="23"/>
      <c r="C210" s="24"/>
      <c r="D210" s="11" t="s">
        <v>503</v>
      </c>
      <c r="E210" s="59">
        <f t="shared" si="19"/>
        <v>38601500</v>
      </c>
      <c r="F210" s="26">
        <f>F209</f>
        <v>38601500</v>
      </c>
      <c r="G210" s="26"/>
      <c r="H210" s="26"/>
      <c r="I210" s="26"/>
      <c r="J210" s="59">
        <f t="shared" si="17"/>
        <v>0</v>
      </c>
      <c r="K210" s="26"/>
      <c r="L210" s="26"/>
      <c r="M210" s="26"/>
      <c r="N210" s="26"/>
      <c r="O210" s="26"/>
      <c r="P210" s="25">
        <f t="shared" si="11"/>
        <v>38601500</v>
      </c>
    </row>
    <row r="211" spans="1:16" s="11" customFormat="1" ht="27">
      <c r="A211" s="22" t="s">
        <v>453</v>
      </c>
      <c r="B211" s="23" t="s">
        <v>248</v>
      </c>
      <c r="C211" s="24" t="s">
        <v>57</v>
      </c>
      <c r="D211" s="75" t="s">
        <v>249</v>
      </c>
      <c r="E211" s="59">
        <f>F211+I211</f>
        <v>4958762.35</v>
      </c>
      <c r="F211" s="26">
        <f>4350100+608662.35</f>
        <v>4958762.35</v>
      </c>
      <c r="G211" s="26">
        <v>0</v>
      </c>
      <c r="H211" s="26">
        <v>0</v>
      </c>
      <c r="I211" s="26">
        <v>0</v>
      </c>
      <c r="J211" s="59">
        <f>K211+N211</f>
        <v>0</v>
      </c>
      <c r="K211" s="26">
        <v>0</v>
      </c>
      <c r="L211" s="26">
        <v>0</v>
      </c>
      <c r="M211" s="26">
        <v>0</v>
      </c>
      <c r="N211" s="26">
        <v>0</v>
      </c>
      <c r="O211" s="26">
        <v>0</v>
      </c>
      <c r="P211" s="25">
        <f t="shared" si="11"/>
        <v>4958762.35</v>
      </c>
    </row>
    <row r="212" spans="1:16" s="11" customFormat="1" ht="96">
      <c r="A212" s="22"/>
      <c r="B212" s="23"/>
      <c r="C212" s="24"/>
      <c r="D212" s="11" t="s">
        <v>503</v>
      </c>
      <c r="E212" s="59">
        <f>F212</f>
        <v>4958762.35</v>
      </c>
      <c r="F212" s="26">
        <f>F211</f>
        <v>4958762.35</v>
      </c>
      <c r="G212" s="26"/>
      <c r="H212" s="26"/>
      <c r="I212" s="26"/>
      <c r="J212" s="59">
        <f>K212</f>
        <v>0</v>
      </c>
      <c r="K212" s="26"/>
      <c r="L212" s="26"/>
      <c r="M212" s="26"/>
      <c r="N212" s="26"/>
      <c r="O212" s="26"/>
      <c r="P212" s="25">
        <f t="shared" si="11"/>
        <v>4958762.35</v>
      </c>
    </row>
    <row r="213" spans="1:16" s="11" customFormat="1" ht="27">
      <c r="A213" s="22" t="s">
        <v>454</v>
      </c>
      <c r="B213" s="23" t="s">
        <v>250</v>
      </c>
      <c r="C213" s="24" t="s">
        <v>57</v>
      </c>
      <c r="D213" s="75" t="s">
        <v>251</v>
      </c>
      <c r="E213" s="59">
        <f aca="true" t="shared" si="20" ref="E213:E226">F213+I213</f>
        <v>14608323.07</v>
      </c>
      <c r="F213" s="26">
        <f>14501760+106563.07</f>
        <v>14608323.07</v>
      </c>
      <c r="G213" s="26">
        <v>0</v>
      </c>
      <c r="H213" s="26">
        <v>0</v>
      </c>
      <c r="I213" s="26">
        <v>0</v>
      </c>
      <c r="J213" s="59">
        <f aca="true" t="shared" si="21" ref="J213:J226">K213+N213</f>
        <v>0</v>
      </c>
      <c r="K213" s="26">
        <v>0</v>
      </c>
      <c r="L213" s="26">
        <v>0</v>
      </c>
      <c r="M213" s="26">
        <v>0</v>
      </c>
      <c r="N213" s="26">
        <v>0</v>
      </c>
      <c r="O213" s="26">
        <v>0</v>
      </c>
      <c r="P213" s="25">
        <f t="shared" si="11"/>
        <v>14608323.07</v>
      </c>
    </row>
    <row r="214" spans="1:16" s="11" customFormat="1" ht="96">
      <c r="A214" s="22"/>
      <c r="B214" s="23"/>
      <c r="C214" s="24"/>
      <c r="D214" s="11" t="s">
        <v>503</v>
      </c>
      <c r="E214" s="59">
        <f t="shared" si="20"/>
        <v>14608323.07</v>
      </c>
      <c r="F214" s="26">
        <f>F213</f>
        <v>14608323.07</v>
      </c>
      <c r="G214" s="26"/>
      <c r="H214" s="26"/>
      <c r="I214" s="26"/>
      <c r="J214" s="59">
        <f t="shared" si="21"/>
        <v>0</v>
      </c>
      <c r="K214" s="26"/>
      <c r="L214" s="26"/>
      <c r="M214" s="26"/>
      <c r="N214" s="26"/>
      <c r="O214" s="26"/>
      <c r="P214" s="25">
        <f t="shared" si="11"/>
        <v>14608323.07</v>
      </c>
    </row>
    <row r="215" spans="1:16" s="11" customFormat="1" ht="27">
      <c r="A215" s="22" t="s">
        <v>455</v>
      </c>
      <c r="B215" s="23" t="s">
        <v>252</v>
      </c>
      <c r="C215" s="24" t="s">
        <v>57</v>
      </c>
      <c r="D215" s="75" t="s">
        <v>253</v>
      </c>
      <c r="E215" s="59">
        <f t="shared" si="20"/>
        <v>403600</v>
      </c>
      <c r="F215" s="26">
        <v>403600</v>
      </c>
      <c r="G215" s="26">
        <v>0</v>
      </c>
      <c r="H215" s="26">
        <v>0</v>
      </c>
      <c r="I215" s="26">
        <v>0</v>
      </c>
      <c r="J215" s="59">
        <f t="shared" si="21"/>
        <v>0</v>
      </c>
      <c r="K215" s="26">
        <v>0</v>
      </c>
      <c r="L215" s="26">
        <v>0</v>
      </c>
      <c r="M215" s="26">
        <v>0</v>
      </c>
      <c r="N215" s="26">
        <v>0</v>
      </c>
      <c r="O215" s="26">
        <v>0</v>
      </c>
      <c r="P215" s="25">
        <f t="shared" si="11"/>
        <v>403600</v>
      </c>
    </row>
    <row r="216" spans="1:16" s="11" customFormat="1" ht="96">
      <c r="A216" s="22"/>
      <c r="B216" s="23"/>
      <c r="C216" s="24"/>
      <c r="D216" s="11" t="s">
        <v>503</v>
      </c>
      <c r="E216" s="59">
        <f t="shared" si="20"/>
        <v>403600</v>
      </c>
      <c r="F216" s="26">
        <f>F215</f>
        <v>403600</v>
      </c>
      <c r="G216" s="26"/>
      <c r="H216" s="26"/>
      <c r="I216" s="26"/>
      <c r="J216" s="59">
        <f t="shared" si="21"/>
        <v>0</v>
      </c>
      <c r="K216" s="26"/>
      <c r="L216" s="26"/>
      <c r="M216" s="26"/>
      <c r="N216" s="26"/>
      <c r="O216" s="26"/>
      <c r="P216" s="25">
        <f t="shared" si="11"/>
        <v>403600</v>
      </c>
    </row>
    <row r="217" spans="1:16" s="11" customFormat="1" ht="13.5">
      <c r="A217" s="22" t="s">
        <v>456</v>
      </c>
      <c r="B217" s="23" t="s">
        <v>254</v>
      </c>
      <c r="C217" s="24" t="s">
        <v>57</v>
      </c>
      <c r="D217" s="75" t="s">
        <v>255</v>
      </c>
      <c r="E217" s="59">
        <f t="shared" si="20"/>
        <v>144480</v>
      </c>
      <c r="F217" s="26">
        <f>92840+51640</f>
        <v>144480</v>
      </c>
      <c r="G217" s="26">
        <v>0</v>
      </c>
      <c r="H217" s="26">
        <v>0</v>
      </c>
      <c r="I217" s="26">
        <v>0</v>
      </c>
      <c r="J217" s="59">
        <f t="shared" si="21"/>
        <v>0</v>
      </c>
      <c r="K217" s="26">
        <v>0</v>
      </c>
      <c r="L217" s="26">
        <v>0</v>
      </c>
      <c r="M217" s="26">
        <v>0</v>
      </c>
      <c r="N217" s="26">
        <v>0</v>
      </c>
      <c r="O217" s="26">
        <v>0</v>
      </c>
      <c r="P217" s="25">
        <f t="shared" si="11"/>
        <v>144480</v>
      </c>
    </row>
    <row r="218" spans="1:16" s="11" customFormat="1" ht="96">
      <c r="A218" s="22"/>
      <c r="B218" s="23"/>
      <c r="C218" s="24"/>
      <c r="D218" s="11" t="s">
        <v>503</v>
      </c>
      <c r="E218" s="59">
        <f t="shared" si="20"/>
        <v>144480</v>
      </c>
      <c r="F218" s="26">
        <f>F217</f>
        <v>144480</v>
      </c>
      <c r="G218" s="26"/>
      <c r="H218" s="26"/>
      <c r="I218" s="26"/>
      <c r="J218" s="59">
        <f t="shared" si="21"/>
        <v>0</v>
      </c>
      <c r="K218" s="26"/>
      <c r="L218" s="26"/>
      <c r="M218" s="26"/>
      <c r="N218" s="26"/>
      <c r="O218" s="26"/>
      <c r="P218" s="25">
        <f t="shared" si="11"/>
        <v>144480</v>
      </c>
    </row>
    <row r="219" spans="1:16" s="11" customFormat="1" ht="27">
      <c r="A219" s="22" t="s">
        <v>457</v>
      </c>
      <c r="B219" s="23" t="s">
        <v>256</v>
      </c>
      <c r="C219" s="24" t="s">
        <v>57</v>
      </c>
      <c r="D219" s="75" t="s">
        <v>257</v>
      </c>
      <c r="E219" s="59">
        <f t="shared" si="20"/>
        <v>18601500</v>
      </c>
      <c r="F219" s="26">
        <v>18601500</v>
      </c>
      <c r="G219" s="26">
        <v>0</v>
      </c>
      <c r="H219" s="26">
        <v>0</v>
      </c>
      <c r="I219" s="26">
        <v>0</v>
      </c>
      <c r="J219" s="59">
        <f t="shared" si="21"/>
        <v>0</v>
      </c>
      <c r="K219" s="26">
        <v>0</v>
      </c>
      <c r="L219" s="26">
        <v>0</v>
      </c>
      <c r="M219" s="26">
        <v>0</v>
      </c>
      <c r="N219" s="26">
        <v>0</v>
      </c>
      <c r="O219" s="26">
        <v>0</v>
      </c>
      <c r="P219" s="25">
        <f t="shared" si="11"/>
        <v>18601500</v>
      </c>
    </row>
    <row r="220" spans="1:16" s="11" customFormat="1" ht="96">
      <c r="A220" s="22"/>
      <c r="B220" s="23"/>
      <c r="C220" s="24"/>
      <c r="D220" s="11" t="s">
        <v>503</v>
      </c>
      <c r="E220" s="59">
        <f t="shared" si="20"/>
        <v>18601500</v>
      </c>
      <c r="F220" s="26">
        <f>F219</f>
        <v>18601500</v>
      </c>
      <c r="G220" s="26"/>
      <c r="H220" s="26"/>
      <c r="I220" s="26"/>
      <c r="J220" s="59">
        <f t="shared" si="21"/>
        <v>0</v>
      </c>
      <c r="K220" s="26"/>
      <c r="L220" s="26"/>
      <c r="M220" s="26"/>
      <c r="N220" s="26"/>
      <c r="O220" s="26"/>
      <c r="P220" s="25">
        <f t="shared" si="11"/>
        <v>18601500</v>
      </c>
    </row>
    <row r="221" spans="1:16" s="11" customFormat="1" ht="27">
      <c r="A221" s="22" t="s">
        <v>458</v>
      </c>
      <c r="B221" s="23" t="s">
        <v>258</v>
      </c>
      <c r="C221" s="24" t="s">
        <v>49</v>
      </c>
      <c r="D221" s="75" t="s">
        <v>259</v>
      </c>
      <c r="E221" s="59">
        <f t="shared" si="20"/>
        <v>13510500</v>
      </c>
      <c r="F221" s="26">
        <v>13510500</v>
      </c>
      <c r="G221" s="26">
        <v>0</v>
      </c>
      <c r="H221" s="26">
        <v>0</v>
      </c>
      <c r="I221" s="26">
        <v>0</v>
      </c>
      <c r="J221" s="59">
        <f t="shared" si="21"/>
        <v>0</v>
      </c>
      <c r="K221" s="26">
        <v>0</v>
      </c>
      <c r="L221" s="26">
        <v>0</v>
      </c>
      <c r="M221" s="26">
        <v>0</v>
      </c>
      <c r="N221" s="26">
        <v>0</v>
      </c>
      <c r="O221" s="26">
        <v>0</v>
      </c>
      <c r="P221" s="25">
        <f t="shared" si="11"/>
        <v>13510500</v>
      </c>
    </row>
    <row r="222" spans="1:16" s="11" customFormat="1" ht="96">
      <c r="A222" s="22"/>
      <c r="B222" s="23"/>
      <c r="C222" s="24"/>
      <c r="D222" s="11" t="s">
        <v>503</v>
      </c>
      <c r="E222" s="59">
        <f t="shared" si="20"/>
        <v>13510500</v>
      </c>
      <c r="F222" s="26">
        <f>F221</f>
        <v>13510500</v>
      </c>
      <c r="G222" s="26"/>
      <c r="H222" s="26"/>
      <c r="I222" s="26"/>
      <c r="J222" s="59">
        <f t="shared" si="21"/>
        <v>0</v>
      </c>
      <c r="K222" s="26"/>
      <c r="L222" s="26"/>
      <c r="M222" s="26"/>
      <c r="N222" s="26"/>
      <c r="O222" s="26"/>
      <c r="P222" s="25">
        <f t="shared" si="11"/>
        <v>13510500</v>
      </c>
    </row>
    <row r="223" spans="1:16" s="11" customFormat="1" ht="41.25">
      <c r="A223" s="3" t="s">
        <v>459</v>
      </c>
      <c r="B223" s="5" t="s">
        <v>260</v>
      </c>
      <c r="C223" s="4" t="s">
        <v>49</v>
      </c>
      <c r="D223" s="73" t="s">
        <v>531</v>
      </c>
      <c r="E223" s="58">
        <f t="shared" si="20"/>
        <v>4082666.93</v>
      </c>
      <c r="F223" s="21">
        <f>4509500-426833.07</f>
        <v>4082666.93</v>
      </c>
      <c r="G223" s="21">
        <v>0</v>
      </c>
      <c r="H223" s="21">
        <v>0</v>
      </c>
      <c r="I223" s="21">
        <v>0</v>
      </c>
      <c r="J223" s="58">
        <f t="shared" si="21"/>
        <v>0</v>
      </c>
      <c r="K223" s="21">
        <v>0</v>
      </c>
      <c r="L223" s="21">
        <v>0</v>
      </c>
      <c r="M223" s="21">
        <v>0</v>
      </c>
      <c r="N223" s="21">
        <v>0</v>
      </c>
      <c r="O223" s="21">
        <v>0</v>
      </c>
      <c r="P223" s="20">
        <f t="shared" si="11"/>
        <v>4082666.93</v>
      </c>
    </row>
    <row r="224" spans="1:16" s="11" customFormat="1" ht="96">
      <c r="A224" s="22"/>
      <c r="B224" s="23"/>
      <c r="C224" s="24"/>
      <c r="D224" s="11" t="s">
        <v>503</v>
      </c>
      <c r="E224" s="59">
        <f t="shared" si="20"/>
        <v>4082666.93</v>
      </c>
      <c r="F224" s="26">
        <f>F223</f>
        <v>4082666.93</v>
      </c>
      <c r="G224" s="26"/>
      <c r="H224" s="26"/>
      <c r="I224" s="26"/>
      <c r="J224" s="59">
        <f t="shared" si="21"/>
        <v>0</v>
      </c>
      <c r="K224" s="26"/>
      <c r="L224" s="26"/>
      <c r="M224" s="26"/>
      <c r="N224" s="26"/>
      <c r="O224" s="26"/>
      <c r="P224" s="25">
        <f t="shared" si="11"/>
        <v>4082666.93</v>
      </c>
    </row>
    <row r="225" spans="1:17" s="11" customFormat="1" ht="41.25">
      <c r="A225" s="16" t="s">
        <v>460</v>
      </c>
      <c r="B225" s="17"/>
      <c r="C225" s="18"/>
      <c r="D225" s="74" t="s">
        <v>261</v>
      </c>
      <c r="E225" s="57">
        <f t="shared" si="20"/>
        <v>5475720</v>
      </c>
      <c r="F225" s="19">
        <f>F226</f>
        <v>5475720</v>
      </c>
      <c r="G225" s="19">
        <f>G226</f>
        <v>3903000</v>
      </c>
      <c r="H225" s="19">
        <f>H226</f>
        <v>331900</v>
      </c>
      <c r="I225" s="19">
        <f>I226</f>
        <v>0</v>
      </c>
      <c r="J225" s="57">
        <f t="shared" si="21"/>
        <v>170940</v>
      </c>
      <c r="K225" s="19">
        <f>K226</f>
        <v>61560</v>
      </c>
      <c r="L225" s="19">
        <f>L226</f>
        <v>48000</v>
      </c>
      <c r="M225" s="19">
        <f>M226</f>
        <v>0</v>
      </c>
      <c r="N225" s="19">
        <f>N226</f>
        <v>109380</v>
      </c>
      <c r="O225" s="19">
        <f>O226</f>
        <v>109380</v>
      </c>
      <c r="P225" s="19">
        <f t="shared" si="11"/>
        <v>5646660</v>
      </c>
      <c r="Q225" s="108"/>
    </row>
    <row r="226" spans="1:16" s="11" customFormat="1" ht="54.75">
      <c r="A226" s="22" t="s">
        <v>461</v>
      </c>
      <c r="B226" s="23" t="s">
        <v>262</v>
      </c>
      <c r="C226" s="24" t="s">
        <v>53</v>
      </c>
      <c r="D226" s="75" t="s">
        <v>263</v>
      </c>
      <c r="E226" s="59">
        <f t="shared" si="20"/>
        <v>5475720</v>
      </c>
      <c r="F226" s="26">
        <f>5354100+11000+50000+27700+6500+26420</f>
        <v>5475720</v>
      </c>
      <c r="G226" s="26">
        <v>3903000</v>
      </c>
      <c r="H226" s="26">
        <v>331900</v>
      </c>
      <c r="I226" s="26">
        <v>0</v>
      </c>
      <c r="J226" s="59">
        <f t="shared" si="21"/>
        <v>170940</v>
      </c>
      <c r="K226" s="26">
        <v>61560</v>
      </c>
      <c r="L226" s="26">
        <v>48000</v>
      </c>
      <c r="M226" s="26">
        <v>0</v>
      </c>
      <c r="N226" s="26">
        <f>100000+35800-26420</f>
        <v>109380</v>
      </c>
      <c r="O226" s="26">
        <f>100000+35800-26420</f>
        <v>109380</v>
      </c>
      <c r="P226" s="25">
        <f t="shared" si="11"/>
        <v>5646660</v>
      </c>
    </row>
    <row r="227" spans="1:17" s="11" customFormat="1" ht="69">
      <c r="A227" s="16" t="s">
        <v>462</v>
      </c>
      <c r="B227" s="17"/>
      <c r="C227" s="18"/>
      <c r="D227" s="74" t="s">
        <v>264</v>
      </c>
      <c r="E227" s="57">
        <f aca="true" t="shared" si="22" ref="E227:E233">F227+I227</f>
        <v>627300</v>
      </c>
      <c r="F227" s="19">
        <f>F228</f>
        <v>627300</v>
      </c>
      <c r="G227" s="19">
        <f>G228</f>
        <v>0</v>
      </c>
      <c r="H227" s="19">
        <f>H228</f>
        <v>0</v>
      </c>
      <c r="I227" s="19">
        <f>I228</f>
        <v>0</v>
      </c>
      <c r="J227" s="57">
        <f aca="true" t="shared" si="23" ref="J227:J240">K227+N227</f>
        <v>0</v>
      </c>
      <c r="K227" s="19">
        <f>K228</f>
        <v>0</v>
      </c>
      <c r="L227" s="19">
        <f>L228</f>
        <v>0</v>
      </c>
      <c r="M227" s="19">
        <f>M228</f>
        <v>0</v>
      </c>
      <c r="N227" s="19">
        <f>N228</f>
        <v>0</v>
      </c>
      <c r="O227" s="19">
        <f>O228</f>
        <v>0</v>
      </c>
      <c r="P227" s="19">
        <f t="shared" si="11"/>
        <v>627300</v>
      </c>
      <c r="Q227" s="108"/>
    </row>
    <row r="228" spans="1:16" s="11" customFormat="1" ht="79.5" customHeight="1">
      <c r="A228" s="22" t="s">
        <v>463</v>
      </c>
      <c r="B228" s="23" t="s">
        <v>265</v>
      </c>
      <c r="C228" s="24" t="s">
        <v>49</v>
      </c>
      <c r="D228" s="75" t="s">
        <v>266</v>
      </c>
      <c r="E228" s="59">
        <f t="shared" si="22"/>
        <v>627300</v>
      </c>
      <c r="F228" s="26">
        <v>627300</v>
      </c>
      <c r="G228" s="26">
        <v>0</v>
      </c>
      <c r="H228" s="26">
        <v>0</v>
      </c>
      <c r="I228" s="26">
        <v>0</v>
      </c>
      <c r="J228" s="59">
        <f t="shared" si="23"/>
        <v>0</v>
      </c>
      <c r="K228" s="26">
        <v>0</v>
      </c>
      <c r="L228" s="26">
        <v>0</v>
      </c>
      <c r="M228" s="26">
        <v>0</v>
      </c>
      <c r="N228" s="26">
        <v>0</v>
      </c>
      <c r="O228" s="26">
        <v>0</v>
      </c>
      <c r="P228" s="25">
        <f t="shared" si="11"/>
        <v>627300</v>
      </c>
    </row>
    <row r="229" spans="1:17" s="11" customFormat="1" ht="82.5">
      <c r="A229" s="3" t="s">
        <v>464</v>
      </c>
      <c r="B229" s="5" t="s">
        <v>267</v>
      </c>
      <c r="C229" s="4" t="s">
        <v>226</v>
      </c>
      <c r="D229" s="73" t="s">
        <v>268</v>
      </c>
      <c r="E229" s="58">
        <f t="shared" si="22"/>
        <v>300000</v>
      </c>
      <c r="F229" s="21">
        <f>601100-301100</f>
        <v>300000</v>
      </c>
      <c r="G229" s="21">
        <v>0</v>
      </c>
      <c r="H229" s="21">
        <v>0</v>
      </c>
      <c r="I229" s="21">
        <v>0</v>
      </c>
      <c r="J229" s="58">
        <f t="shared" si="23"/>
        <v>0</v>
      </c>
      <c r="K229" s="21">
        <v>0</v>
      </c>
      <c r="L229" s="21">
        <v>0</v>
      </c>
      <c r="M229" s="21">
        <v>0</v>
      </c>
      <c r="N229" s="21">
        <v>0</v>
      </c>
      <c r="O229" s="21">
        <v>0</v>
      </c>
      <c r="P229" s="20">
        <f t="shared" si="11"/>
        <v>300000</v>
      </c>
      <c r="Q229" s="108"/>
    </row>
    <row r="230" spans="1:17" s="11" customFormat="1" ht="27">
      <c r="A230" s="16" t="s">
        <v>465</v>
      </c>
      <c r="B230" s="17"/>
      <c r="C230" s="18"/>
      <c r="D230" s="74" t="s">
        <v>211</v>
      </c>
      <c r="E230" s="57">
        <f t="shared" si="22"/>
        <v>50000</v>
      </c>
      <c r="F230" s="19">
        <f>F231</f>
        <v>50000</v>
      </c>
      <c r="G230" s="19">
        <v>0</v>
      </c>
      <c r="H230" s="19">
        <v>0</v>
      </c>
      <c r="I230" s="19">
        <v>0</v>
      </c>
      <c r="J230" s="57">
        <f t="shared" si="23"/>
        <v>0</v>
      </c>
      <c r="K230" s="19">
        <v>0</v>
      </c>
      <c r="L230" s="19">
        <v>0</v>
      </c>
      <c r="M230" s="19">
        <v>0</v>
      </c>
      <c r="N230" s="19">
        <v>0</v>
      </c>
      <c r="O230" s="19">
        <v>0</v>
      </c>
      <c r="P230" s="19">
        <f t="shared" si="11"/>
        <v>50000</v>
      </c>
      <c r="Q230" s="108"/>
    </row>
    <row r="231" spans="1:16" s="11" customFormat="1" ht="41.25">
      <c r="A231" s="22" t="s">
        <v>466</v>
      </c>
      <c r="B231" s="23" t="s">
        <v>213</v>
      </c>
      <c r="C231" s="24" t="s">
        <v>186</v>
      </c>
      <c r="D231" s="75" t="s">
        <v>214</v>
      </c>
      <c r="E231" s="59">
        <f t="shared" si="22"/>
        <v>50000</v>
      </c>
      <c r="F231" s="26">
        <v>50000</v>
      </c>
      <c r="G231" s="26">
        <v>0</v>
      </c>
      <c r="H231" s="26">
        <v>0</v>
      </c>
      <c r="I231" s="26">
        <v>0</v>
      </c>
      <c r="J231" s="59">
        <f t="shared" si="23"/>
        <v>0</v>
      </c>
      <c r="K231" s="26">
        <v>0</v>
      </c>
      <c r="L231" s="26">
        <v>0</v>
      </c>
      <c r="M231" s="26">
        <v>0</v>
      </c>
      <c r="N231" s="26">
        <v>0</v>
      </c>
      <c r="O231" s="26">
        <v>0</v>
      </c>
      <c r="P231" s="25">
        <f t="shared" si="11"/>
        <v>50000</v>
      </c>
    </row>
    <row r="232" spans="1:17" s="11" customFormat="1" ht="27">
      <c r="A232" s="3" t="s">
        <v>467</v>
      </c>
      <c r="B232" s="5" t="s">
        <v>219</v>
      </c>
      <c r="C232" s="4" t="s">
        <v>61</v>
      </c>
      <c r="D232" s="73" t="s">
        <v>220</v>
      </c>
      <c r="E232" s="58">
        <f t="shared" si="22"/>
        <v>21000</v>
      </c>
      <c r="F232" s="21">
        <v>21000</v>
      </c>
      <c r="G232" s="21">
        <v>0</v>
      </c>
      <c r="H232" s="21">
        <v>0</v>
      </c>
      <c r="I232" s="21">
        <v>0</v>
      </c>
      <c r="J232" s="58">
        <f t="shared" si="23"/>
        <v>0</v>
      </c>
      <c r="K232" s="21">
        <v>0</v>
      </c>
      <c r="L232" s="21">
        <v>0</v>
      </c>
      <c r="M232" s="21">
        <v>0</v>
      </c>
      <c r="N232" s="21">
        <v>0</v>
      </c>
      <c r="O232" s="21">
        <v>0</v>
      </c>
      <c r="P232" s="20">
        <f t="shared" si="11"/>
        <v>21000</v>
      </c>
      <c r="Q232" s="108"/>
    </row>
    <row r="233" spans="1:16" s="11" customFormat="1" ht="27">
      <c r="A233" s="3" t="s">
        <v>468</v>
      </c>
      <c r="B233" s="5" t="s">
        <v>222</v>
      </c>
      <c r="C233" s="4" t="s">
        <v>147</v>
      </c>
      <c r="D233" s="73" t="s">
        <v>223</v>
      </c>
      <c r="E233" s="58">
        <f t="shared" si="22"/>
        <v>0</v>
      </c>
      <c r="F233" s="21">
        <v>0</v>
      </c>
      <c r="G233" s="21">
        <v>0</v>
      </c>
      <c r="H233" s="21">
        <v>0</v>
      </c>
      <c r="I233" s="21">
        <v>0</v>
      </c>
      <c r="J233" s="58">
        <f t="shared" si="23"/>
        <v>0</v>
      </c>
      <c r="K233" s="21">
        <v>0</v>
      </c>
      <c r="L233" s="21">
        <v>0</v>
      </c>
      <c r="M233" s="21">
        <v>0</v>
      </c>
      <c r="N233" s="21">
        <f>100000-100000</f>
        <v>0</v>
      </c>
      <c r="O233" s="21">
        <f>100000-100000</f>
        <v>0</v>
      </c>
      <c r="P233" s="20">
        <f>E233+J233</f>
        <v>0</v>
      </c>
    </row>
    <row r="234" spans="1:16" s="99" customFormat="1" ht="41.25">
      <c r="A234" s="27" t="s">
        <v>435</v>
      </c>
      <c r="B234" s="28"/>
      <c r="C234" s="29"/>
      <c r="D234" s="78" t="s">
        <v>469</v>
      </c>
      <c r="E234" s="58">
        <f aca="true" t="shared" si="24" ref="E234:E240">F234+I234</f>
        <v>234046424.33</v>
      </c>
      <c r="F234" s="20">
        <f>F235+F236+F238+F250+F253+F272+F274+F276+F278+F279+F282+F283</f>
        <v>234046424.33</v>
      </c>
      <c r="G234" s="20">
        <f>G235+G236+G238+G250+G253+G272+G274+G276+G278+G279+G282+G283</f>
        <v>10037763</v>
      </c>
      <c r="H234" s="20">
        <f>H235+H236+H238+H250+H253+H272+H274+H276+H278+H279+H282+H283</f>
        <v>531218</v>
      </c>
      <c r="I234" s="20">
        <f>I235+I236+I238+I250+I253+I272+I274+I276+I278+I279+I282+I283</f>
        <v>0</v>
      </c>
      <c r="J234" s="58">
        <f t="shared" si="23"/>
        <v>1215436</v>
      </c>
      <c r="K234" s="20">
        <f>K235+K236+K238+K250+K253+K272+K274+K276+K278+K279+K282+K283</f>
        <v>73100</v>
      </c>
      <c r="L234" s="20">
        <f>L235+L236+L238+L250+L253+L272+L274+L276+L278+L279+L282+L283</f>
        <v>50900</v>
      </c>
      <c r="M234" s="20">
        <f>M235+M236+M238+M250+M253+M272+M274+M276+M278+M279+M282+M283</f>
        <v>0</v>
      </c>
      <c r="N234" s="20">
        <f>N235+N236+N238+N250+N253+N272+N274+N276+N278+N279+N282+N283</f>
        <v>1142336</v>
      </c>
      <c r="O234" s="20">
        <f>O235+O236+O238+O250+O253+O272+O274+O276+O278+O279+O282+O283</f>
        <v>1142336</v>
      </c>
      <c r="P234" s="20">
        <f t="shared" si="11"/>
        <v>235261860.33</v>
      </c>
    </row>
    <row r="235" spans="1:17" s="11" customFormat="1" ht="27">
      <c r="A235" s="3" t="s">
        <v>436</v>
      </c>
      <c r="B235" s="30" t="s">
        <v>35</v>
      </c>
      <c r="C235" s="30" t="s">
        <v>20</v>
      </c>
      <c r="D235" s="73" t="s">
        <v>535</v>
      </c>
      <c r="E235" s="58">
        <f t="shared" si="24"/>
        <v>8122120</v>
      </c>
      <c r="F235" s="21">
        <f>7592932+109800+268647+150741</f>
        <v>8122120</v>
      </c>
      <c r="G235" s="21">
        <f>5860980+90000+195765+123558</f>
        <v>6270303</v>
      </c>
      <c r="H235" s="21">
        <v>343418</v>
      </c>
      <c r="I235" s="21">
        <v>0</v>
      </c>
      <c r="J235" s="58">
        <f t="shared" si="23"/>
        <v>0</v>
      </c>
      <c r="K235" s="21">
        <v>0</v>
      </c>
      <c r="L235" s="21">
        <v>0</v>
      </c>
      <c r="M235" s="21">
        <v>0</v>
      </c>
      <c r="N235" s="21">
        <v>0</v>
      </c>
      <c r="O235" s="21">
        <v>0</v>
      </c>
      <c r="P235" s="20">
        <f t="shared" si="11"/>
        <v>8122120</v>
      </c>
      <c r="Q235" s="108"/>
    </row>
    <row r="236" spans="1:17" s="11" customFormat="1" ht="82.5">
      <c r="A236" s="3" t="s">
        <v>438</v>
      </c>
      <c r="B236" s="5" t="s">
        <v>226</v>
      </c>
      <c r="C236" s="4" t="s">
        <v>48</v>
      </c>
      <c r="D236" s="73" t="s">
        <v>477</v>
      </c>
      <c r="E236" s="58">
        <f t="shared" si="24"/>
        <v>1646300</v>
      </c>
      <c r="F236" s="21">
        <f>1756300-110000</f>
        <v>1646300</v>
      </c>
      <c r="G236" s="21">
        <v>0</v>
      </c>
      <c r="H236" s="21">
        <v>0</v>
      </c>
      <c r="I236" s="21">
        <v>0</v>
      </c>
      <c r="J236" s="58">
        <f t="shared" si="23"/>
        <v>0</v>
      </c>
      <c r="K236" s="21">
        <v>0</v>
      </c>
      <c r="L236" s="21">
        <v>0</v>
      </c>
      <c r="M236" s="21">
        <v>0</v>
      </c>
      <c r="N236" s="21">
        <v>0</v>
      </c>
      <c r="O236" s="21">
        <v>0</v>
      </c>
      <c r="P236" s="20">
        <f t="shared" si="11"/>
        <v>1646300</v>
      </c>
      <c r="Q236" s="108"/>
    </row>
    <row r="237" spans="1:16" s="11" customFormat="1" ht="210" customHeight="1">
      <c r="A237" s="22"/>
      <c r="B237" s="23"/>
      <c r="C237" s="24"/>
      <c r="D237" s="77" t="s">
        <v>502</v>
      </c>
      <c r="E237" s="59">
        <f t="shared" si="24"/>
        <v>1646300</v>
      </c>
      <c r="F237" s="26">
        <f>F236</f>
        <v>1646300</v>
      </c>
      <c r="G237" s="26"/>
      <c r="H237" s="26"/>
      <c r="I237" s="26"/>
      <c r="J237" s="59">
        <f t="shared" si="23"/>
        <v>0</v>
      </c>
      <c r="K237" s="26"/>
      <c r="L237" s="26"/>
      <c r="M237" s="26"/>
      <c r="N237" s="26"/>
      <c r="O237" s="26"/>
      <c r="P237" s="25">
        <f t="shared" si="11"/>
        <v>1646300</v>
      </c>
    </row>
    <row r="238" spans="1:17" s="11" customFormat="1" ht="82.5">
      <c r="A238" s="16" t="s">
        <v>437</v>
      </c>
      <c r="B238" s="17"/>
      <c r="C238" s="18"/>
      <c r="D238" s="89" t="s">
        <v>484</v>
      </c>
      <c r="E238" s="57">
        <f t="shared" si="24"/>
        <v>122981196.25</v>
      </c>
      <c r="F238" s="19">
        <f>F239+F241+F244+F246+F248</f>
        <v>122981196.25</v>
      </c>
      <c r="G238" s="19">
        <f>G239+G241+G244+G246+G248</f>
        <v>0</v>
      </c>
      <c r="H238" s="19">
        <f>H239+H241+H244+H246+H248</f>
        <v>0</v>
      </c>
      <c r="I238" s="19">
        <f>I239+I241+I244+I246+I248</f>
        <v>0</v>
      </c>
      <c r="J238" s="57">
        <f t="shared" si="23"/>
        <v>0</v>
      </c>
      <c r="K238" s="19">
        <f>K239+K241+K244+K246+K248</f>
        <v>0</v>
      </c>
      <c r="L238" s="19">
        <f>L239+L241+L244+L246+L248</f>
        <v>0</v>
      </c>
      <c r="M238" s="19">
        <f>M239+M241+M244+M246+M248</f>
        <v>0</v>
      </c>
      <c r="N238" s="19">
        <f>N239+N241+N244+N246+N248</f>
        <v>0</v>
      </c>
      <c r="O238" s="19">
        <f>O239+O241+O244+O246+O248</f>
        <v>0</v>
      </c>
      <c r="P238" s="19">
        <f t="shared" si="11"/>
        <v>122981196.25</v>
      </c>
      <c r="Q238" s="108"/>
    </row>
    <row r="239" spans="1:16" s="11" customFormat="1" ht="234">
      <c r="A239" s="22" t="s">
        <v>439</v>
      </c>
      <c r="B239" s="23" t="s">
        <v>227</v>
      </c>
      <c r="C239" s="24" t="s">
        <v>186</v>
      </c>
      <c r="D239" s="11" t="s">
        <v>480</v>
      </c>
      <c r="E239" s="59">
        <f t="shared" si="24"/>
        <v>7247239.089999999</v>
      </c>
      <c r="F239" s="26">
        <f>7000000+140303.54-2702449.93+63798.43+153923.35+89597.32+166332.46-166332.46+2388066.38+114000</f>
        <v>7247239.089999999</v>
      </c>
      <c r="G239" s="26">
        <v>0</v>
      </c>
      <c r="H239" s="26">
        <v>0</v>
      </c>
      <c r="I239" s="26">
        <v>0</v>
      </c>
      <c r="J239" s="59">
        <f t="shared" si="23"/>
        <v>0</v>
      </c>
      <c r="K239" s="26">
        <v>0</v>
      </c>
      <c r="L239" s="26">
        <v>0</v>
      </c>
      <c r="M239" s="26">
        <v>0</v>
      </c>
      <c r="N239" s="26">
        <v>0</v>
      </c>
      <c r="O239" s="26">
        <v>0</v>
      </c>
      <c r="P239" s="25">
        <f t="shared" si="11"/>
        <v>7247239.089999999</v>
      </c>
    </row>
    <row r="240" spans="1:16" s="11" customFormat="1" ht="123.75">
      <c r="A240" s="32"/>
      <c r="B240" s="33"/>
      <c r="C240" s="34"/>
      <c r="D240" s="90" t="s">
        <v>505</v>
      </c>
      <c r="E240" s="59">
        <f t="shared" si="24"/>
        <v>7247239.089999999</v>
      </c>
      <c r="F240" s="35">
        <f>F239</f>
        <v>7247239.089999999</v>
      </c>
      <c r="G240" s="35"/>
      <c r="H240" s="35"/>
      <c r="I240" s="35"/>
      <c r="J240" s="59">
        <f t="shared" si="23"/>
        <v>0</v>
      </c>
      <c r="K240" s="35"/>
      <c r="L240" s="35"/>
      <c r="M240" s="35"/>
      <c r="N240" s="35"/>
      <c r="O240" s="35"/>
      <c r="P240" s="25">
        <f t="shared" si="11"/>
        <v>7247239.089999999</v>
      </c>
    </row>
    <row r="241" spans="1:16" s="11" customFormat="1" ht="317.25">
      <c r="A241" s="182" t="s">
        <v>440</v>
      </c>
      <c r="B241" s="184" t="s">
        <v>228</v>
      </c>
      <c r="C241" s="187" t="s">
        <v>186</v>
      </c>
      <c r="D241" s="91" t="s">
        <v>481</v>
      </c>
      <c r="E241" s="165">
        <f>F241+I241</f>
        <v>943830.7400000001</v>
      </c>
      <c r="F241" s="163">
        <f>2000000+22558.21-1531332.68+12239.38+25719.54+14774.64+25736.58-25736.58+375011.65+1000+23860</f>
        <v>943830.7400000001</v>
      </c>
      <c r="G241" s="163">
        <v>0</v>
      </c>
      <c r="H241" s="163">
        <v>0</v>
      </c>
      <c r="I241" s="163">
        <v>0</v>
      </c>
      <c r="J241" s="165">
        <f>K241+N241</f>
        <v>0</v>
      </c>
      <c r="K241" s="163">
        <v>0</v>
      </c>
      <c r="L241" s="163">
        <v>0</v>
      </c>
      <c r="M241" s="163">
        <v>0</v>
      </c>
      <c r="N241" s="163">
        <v>0</v>
      </c>
      <c r="O241" s="163">
        <v>0</v>
      </c>
      <c r="P241" s="167">
        <f t="shared" si="11"/>
        <v>943830.7400000001</v>
      </c>
    </row>
    <row r="242" spans="1:16" s="11" customFormat="1" ht="372">
      <c r="A242" s="183"/>
      <c r="B242" s="185"/>
      <c r="C242" s="188"/>
      <c r="D242" s="92" t="s">
        <v>482</v>
      </c>
      <c r="E242" s="166"/>
      <c r="F242" s="164"/>
      <c r="G242" s="164"/>
      <c r="H242" s="164"/>
      <c r="I242" s="164"/>
      <c r="J242" s="166"/>
      <c r="K242" s="164"/>
      <c r="L242" s="164"/>
      <c r="M242" s="164"/>
      <c r="N242" s="164"/>
      <c r="O242" s="164"/>
      <c r="P242" s="168"/>
    </row>
    <row r="243" spans="1:16" s="11" customFormat="1" ht="123.75">
      <c r="A243" s="36"/>
      <c r="B243" s="37"/>
      <c r="C243" s="38"/>
      <c r="D243" s="90" t="s">
        <v>505</v>
      </c>
      <c r="E243" s="60">
        <f>F243+I243</f>
        <v>943830.7400000001</v>
      </c>
      <c r="F243" s="39">
        <f>F241</f>
        <v>943830.7400000001</v>
      </c>
      <c r="G243" s="39"/>
      <c r="H243" s="39"/>
      <c r="I243" s="39"/>
      <c r="J243" s="60">
        <f>K243+N243</f>
        <v>0</v>
      </c>
      <c r="K243" s="39"/>
      <c r="L243" s="39"/>
      <c r="M243" s="39"/>
      <c r="N243" s="39"/>
      <c r="O243" s="39"/>
      <c r="P243" s="40">
        <f>E243+J243</f>
        <v>943830.7400000001</v>
      </c>
    </row>
    <row r="244" spans="1:16" s="11" customFormat="1" ht="96">
      <c r="A244" s="22" t="s">
        <v>441</v>
      </c>
      <c r="B244" s="23" t="s">
        <v>229</v>
      </c>
      <c r="C244" s="24" t="s">
        <v>189</v>
      </c>
      <c r="D244" s="93" t="s">
        <v>230</v>
      </c>
      <c r="E244" s="60">
        <f aca="true" t="shared" si="25" ref="E244:E249">F244+I244</f>
        <v>999039.99</v>
      </c>
      <c r="F244" s="26">
        <f>2000000+24085.12-1498165.03+12977.77+25931.44+14915.26+28363.63-28363.63+374285.43+14600+30410</f>
        <v>999039.99</v>
      </c>
      <c r="G244" s="26">
        <v>0</v>
      </c>
      <c r="H244" s="26">
        <v>0</v>
      </c>
      <c r="I244" s="26">
        <v>0</v>
      </c>
      <c r="J244" s="60">
        <f aca="true" t="shared" si="26" ref="J244:J273">K244+N244</f>
        <v>0</v>
      </c>
      <c r="K244" s="26">
        <v>0</v>
      </c>
      <c r="L244" s="26">
        <v>0</v>
      </c>
      <c r="M244" s="26">
        <v>0</v>
      </c>
      <c r="N244" s="26">
        <v>0</v>
      </c>
      <c r="O244" s="26">
        <v>0</v>
      </c>
      <c r="P244" s="25">
        <f aca="true" t="shared" si="27" ref="P244:P346">E244+J244</f>
        <v>999039.99</v>
      </c>
    </row>
    <row r="245" spans="1:16" s="11" customFormat="1" ht="123.75">
      <c r="A245" s="22"/>
      <c r="B245" s="23"/>
      <c r="C245" s="24"/>
      <c r="D245" s="90" t="s">
        <v>505</v>
      </c>
      <c r="E245" s="60">
        <f t="shared" si="25"/>
        <v>999039.99</v>
      </c>
      <c r="F245" s="26">
        <f>F244</f>
        <v>999039.99</v>
      </c>
      <c r="G245" s="26"/>
      <c r="H245" s="26"/>
      <c r="I245" s="26"/>
      <c r="J245" s="60">
        <f t="shared" si="26"/>
        <v>0</v>
      </c>
      <c r="K245" s="26"/>
      <c r="L245" s="26"/>
      <c r="M245" s="26"/>
      <c r="N245" s="26"/>
      <c r="O245" s="26"/>
      <c r="P245" s="25">
        <f t="shared" si="27"/>
        <v>999039.99</v>
      </c>
    </row>
    <row r="246" spans="1:16" s="11" customFormat="1" ht="27">
      <c r="A246" s="22" t="s">
        <v>443</v>
      </c>
      <c r="B246" s="23" t="s">
        <v>232</v>
      </c>
      <c r="C246" s="24" t="s">
        <v>189</v>
      </c>
      <c r="D246" s="75" t="s">
        <v>233</v>
      </c>
      <c r="E246" s="60">
        <f t="shared" si="25"/>
        <v>754394.1299999999</v>
      </c>
      <c r="F246" s="26">
        <f>2000000+20218.63-1616223.69+9197.04+21887.95+11941.02+21893.66-21893.66+307373.18</f>
        <v>754394.1299999999</v>
      </c>
      <c r="G246" s="26">
        <v>0</v>
      </c>
      <c r="H246" s="26">
        <v>0</v>
      </c>
      <c r="I246" s="26">
        <v>0</v>
      </c>
      <c r="J246" s="60">
        <f t="shared" si="26"/>
        <v>0</v>
      </c>
      <c r="K246" s="26">
        <v>0</v>
      </c>
      <c r="L246" s="26">
        <v>0</v>
      </c>
      <c r="M246" s="26">
        <v>0</v>
      </c>
      <c r="N246" s="26">
        <v>0</v>
      </c>
      <c r="O246" s="26">
        <v>0</v>
      </c>
      <c r="P246" s="25">
        <f t="shared" si="27"/>
        <v>754394.1299999999</v>
      </c>
    </row>
    <row r="247" spans="1:16" s="11" customFormat="1" ht="123.75">
      <c r="A247" s="22"/>
      <c r="B247" s="23"/>
      <c r="C247" s="24"/>
      <c r="D247" s="90" t="s">
        <v>505</v>
      </c>
      <c r="E247" s="60">
        <f t="shared" si="25"/>
        <v>754394.1299999999</v>
      </c>
      <c r="F247" s="26">
        <f>F246</f>
        <v>754394.1299999999</v>
      </c>
      <c r="G247" s="26"/>
      <c r="H247" s="26"/>
      <c r="I247" s="26"/>
      <c r="J247" s="60">
        <f t="shared" si="26"/>
        <v>0</v>
      </c>
      <c r="K247" s="26"/>
      <c r="L247" s="26"/>
      <c r="M247" s="26"/>
      <c r="N247" s="26"/>
      <c r="O247" s="26"/>
      <c r="P247" s="25">
        <f t="shared" si="27"/>
        <v>754394.1299999999</v>
      </c>
    </row>
    <row r="248" spans="1:16" s="11" customFormat="1" ht="41.25">
      <c r="A248" s="22" t="s">
        <v>444</v>
      </c>
      <c r="B248" s="23" t="s">
        <v>234</v>
      </c>
      <c r="C248" s="24" t="s">
        <v>226</v>
      </c>
      <c r="D248" s="75" t="s">
        <v>235</v>
      </c>
      <c r="E248" s="60">
        <f t="shared" si="25"/>
        <v>113036692.3</v>
      </c>
      <c r="F248" s="26">
        <f>66800000-207165.5+6751923.23-98212.62-227462.28+2987359.28-1163351.44-277616.81+35701700.66+2769517.78</f>
        <v>113036692.3</v>
      </c>
      <c r="G248" s="26">
        <v>0</v>
      </c>
      <c r="H248" s="26">
        <v>0</v>
      </c>
      <c r="I248" s="26">
        <v>0</v>
      </c>
      <c r="J248" s="60">
        <f t="shared" si="26"/>
        <v>0</v>
      </c>
      <c r="K248" s="26">
        <v>0</v>
      </c>
      <c r="L248" s="26">
        <v>0</v>
      </c>
      <c r="M248" s="26">
        <v>0</v>
      </c>
      <c r="N248" s="26">
        <v>0</v>
      </c>
      <c r="O248" s="26">
        <v>0</v>
      </c>
      <c r="P248" s="25">
        <f t="shared" si="27"/>
        <v>113036692.3</v>
      </c>
    </row>
    <row r="249" spans="1:16" s="11" customFormat="1" ht="123.75">
      <c r="A249" s="22"/>
      <c r="B249" s="23"/>
      <c r="C249" s="24"/>
      <c r="D249" s="11" t="s">
        <v>505</v>
      </c>
      <c r="E249" s="59">
        <f t="shared" si="25"/>
        <v>113036692.3</v>
      </c>
      <c r="F249" s="26">
        <f>F248</f>
        <v>113036692.3</v>
      </c>
      <c r="G249" s="26"/>
      <c r="H249" s="26"/>
      <c r="I249" s="26"/>
      <c r="J249" s="59">
        <f t="shared" si="26"/>
        <v>0</v>
      </c>
      <c r="K249" s="26"/>
      <c r="L249" s="26"/>
      <c r="M249" s="26"/>
      <c r="N249" s="26"/>
      <c r="O249" s="26"/>
      <c r="P249" s="25">
        <f t="shared" si="27"/>
        <v>113036692.3</v>
      </c>
    </row>
    <row r="250" spans="1:17" s="11" customFormat="1" ht="41.25">
      <c r="A250" s="16" t="s">
        <v>445</v>
      </c>
      <c r="B250" s="17"/>
      <c r="C250" s="18"/>
      <c r="D250" s="74" t="s">
        <v>236</v>
      </c>
      <c r="E250" s="57">
        <f>F250+I250</f>
        <v>44664.729999999996</v>
      </c>
      <c r="F250" s="19">
        <f>F251</f>
        <v>44664.729999999996</v>
      </c>
      <c r="G250" s="19">
        <f>G251</f>
        <v>0</v>
      </c>
      <c r="H250" s="19">
        <f>H251</f>
        <v>0</v>
      </c>
      <c r="I250" s="19">
        <f>I251</f>
        <v>0</v>
      </c>
      <c r="J250" s="57">
        <f t="shared" si="26"/>
        <v>0</v>
      </c>
      <c r="K250" s="19">
        <f>K251</f>
        <v>0</v>
      </c>
      <c r="L250" s="19">
        <f>L251</f>
        <v>0</v>
      </c>
      <c r="M250" s="19">
        <f>M251</f>
        <v>0</v>
      </c>
      <c r="N250" s="19">
        <f>N251</f>
        <v>0</v>
      </c>
      <c r="O250" s="19">
        <f>O251</f>
        <v>0</v>
      </c>
      <c r="P250" s="19">
        <f t="shared" si="27"/>
        <v>44664.729999999996</v>
      </c>
      <c r="Q250" s="108"/>
    </row>
    <row r="251" spans="1:16" s="11" customFormat="1" ht="54.75">
      <c r="A251" s="22" t="s">
        <v>448</v>
      </c>
      <c r="B251" s="23" t="s">
        <v>240</v>
      </c>
      <c r="C251" s="24" t="s">
        <v>226</v>
      </c>
      <c r="D251" s="75" t="s">
        <v>241</v>
      </c>
      <c r="E251" s="59">
        <f>F251+I251</f>
        <v>44664.729999999996</v>
      </c>
      <c r="F251" s="26">
        <f>64260-17095.27-2500</f>
        <v>44664.729999999996</v>
      </c>
      <c r="G251" s="26">
        <v>0</v>
      </c>
      <c r="H251" s="26">
        <v>0</v>
      </c>
      <c r="I251" s="26">
        <v>0</v>
      </c>
      <c r="J251" s="59">
        <f t="shared" si="26"/>
        <v>0</v>
      </c>
      <c r="K251" s="26">
        <v>0</v>
      </c>
      <c r="L251" s="26">
        <v>0</v>
      </c>
      <c r="M251" s="26">
        <v>0</v>
      </c>
      <c r="N251" s="26">
        <v>0</v>
      </c>
      <c r="O251" s="26">
        <v>0</v>
      </c>
      <c r="P251" s="25">
        <f t="shared" si="27"/>
        <v>44664.729999999996</v>
      </c>
    </row>
    <row r="252" spans="1:16" s="11" customFormat="1" ht="69">
      <c r="A252" s="22"/>
      <c r="B252" s="23"/>
      <c r="C252" s="24"/>
      <c r="D252" s="11" t="s">
        <v>504</v>
      </c>
      <c r="E252" s="59">
        <f>F252+I252</f>
        <v>44664.729999999996</v>
      </c>
      <c r="F252" s="26">
        <f>F251</f>
        <v>44664.729999999996</v>
      </c>
      <c r="G252" s="26"/>
      <c r="H252" s="26"/>
      <c r="I252" s="26"/>
      <c r="J252" s="59">
        <f t="shared" si="26"/>
        <v>0</v>
      </c>
      <c r="K252" s="26"/>
      <c r="L252" s="26"/>
      <c r="M252" s="26"/>
      <c r="N252" s="26"/>
      <c r="O252" s="26"/>
      <c r="P252" s="25">
        <f t="shared" si="27"/>
        <v>44664.729999999996</v>
      </c>
    </row>
    <row r="253" spans="1:17" s="11" customFormat="1" ht="54.75">
      <c r="A253" s="16" t="s">
        <v>449</v>
      </c>
      <c r="B253" s="17"/>
      <c r="C253" s="18"/>
      <c r="D253" s="74" t="s">
        <v>242</v>
      </c>
      <c r="E253" s="57">
        <f>F253+I253</f>
        <v>91332400</v>
      </c>
      <c r="F253" s="19">
        <f>F254+F256+F258+F260+F262+F264+F266+F268+F270</f>
        <v>91332400</v>
      </c>
      <c r="G253" s="19">
        <f>G254+G256+G258+G260+G262+G264+G266+G268+G270</f>
        <v>0</v>
      </c>
      <c r="H253" s="19">
        <f>H254+H256+H258+H260+H262+H264+H266+H268+H270</f>
        <v>0</v>
      </c>
      <c r="I253" s="19">
        <f>I254+I256+I258+I260+I262+I264+I266+I268+I270</f>
        <v>0</v>
      </c>
      <c r="J253" s="57">
        <f t="shared" si="26"/>
        <v>0</v>
      </c>
      <c r="K253" s="19">
        <f>K254+K256+K258+K260+K262+K264+K266+K268+K270</f>
        <v>0</v>
      </c>
      <c r="L253" s="19">
        <f>L254+L256+L258+L260+L262+L264+L266+L268+L270</f>
        <v>0</v>
      </c>
      <c r="M253" s="19">
        <f>M254+M256+M258+M260+M262+M264+M266+M268+M270</f>
        <v>0</v>
      </c>
      <c r="N253" s="19">
        <f>N254+N256+N258+N260+N262+N264+N266+N268+N270</f>
        <v>0</v>
      </c>
      <c r="O253" s="19">
        <f>O254+O256+O258+O260+O262+O264+O266+O268+O270</f>
        <v>0</v>
      </c>
      <c r="P253" s="19">
        <f>E253+J253</f>
        <v>91332400</v>
      </c>
      <c r="Q253" s="108"/>
    </row>
    <row r="254" spans="1:16" s="11" customFormat="1" ht="27">
      <c r="A254" s="22" t="s">
        <v>450</v>
      </c>
      <c r="B254" s="23" t="s">
        <v>243</v>
      </c>
      <c r="C254" s="24" t="s">
        <v>57</v>
      </c>
      <c r="D254" s="75" t="s">
        <v>244</v>
      </c>
      <c r="E254" s="59">
        <f>F254+I254</f>
        <v>703100</v>
      </c>
      <c r="F254" s="26">
        <v>703100</v>
      </c>
      <c r="G254" s="26">
        <v>0</v>
      </c>
      <c r="H254" s="26">
        <v>0</v>
      </c>
      <c r="I254" s="26">
        <v>0</v>
      </c>
      <c r="J254" s="59">
        <f t="shared" si="26"/>
        <v>0</v>
      </c>
      <c r="K254" s="26">
        <v>0</v>
      </c>
      <c r="L254" s="26">
        <v>0</v>
      </c>
      <c r="M254" s="26">
        <v>0</v>
      </c>
      <c r="N254" s="26">
        <v>0</v>
      </c>
      <c r="O254" s="26">
        <v>0</v>
      </c>
      <c r="P254" s="25">
        <f t="shared" si="27"/>
        <v>703100</v>
      </c>
    </row>
    <row r="255" spans="1:16" s="11" customFormat="1" ht="96">
      <c r="A255" s="22"/>
      <c r="B255" s="23"/>
      <c r="C255" s="24"/>
      <c r="D255" s="11" t="s">
        <v>503</v>
      </c>
      <c r="E255" s="59">
        <f aca="true" t="shared" si="28" ref="E255:E273">F255+I255</f>
        <v>703100</v>
      </c>
      <c r="F255" s="26">
        <f>F254</f>
        <v>703100</v>
      </c>
      <c r="G255" s="26"/>
      <c r="H255" s="26"/>
      <c r="I255" s="26"/>
      <c r="J255" s="59">
        <f t="shared" si="26"/>
        <v>0</v>
      </c>
      <c r="K255" s="26"/>
      <c r="L255" s="26"/>
      <c r="M255" s="26"/>
      <c r="N255" s="26"/>
      <c r="O255" s="26"/>
      <c r="P255" s="25">
        <f t="shared" si="27"/>
        <v>703100</v>
      </c>
    </row>
    <row r="256" spans="1:16" s="11" customFormat="1" ht="27">
      <c r="A256" s="22" t="s">
        <v>451</v>
      </c>
      <c r="B256" s="23" t="s">
        <v>245</v>
      </c>
      <c r="C256" s="24" t="s">
        <v>57</v>
      </c>
      <c r="D256" s="87" t="s">
        <v>530</v>
      </c>
      <c r="E256" s="59">
        <f t="shared" si="28"/>
        <v>74119.54000000004</v>
      </c>
      <c r="F256" s="26">
        <f>624100-549980.46</f>
        <v>74119.54000000004</v>
      </c>
      <c r="G256" s="26">
        <v>0</v>
      </c>
      <c r="H256" s="26">
        <v>0</v>
      </c>
      <c r="I256" s="26">
        <v>0</v>
      </c>
      <c r="J256" s="59">
        <f t="shared" si="26"/>
        <v>0</v>
      </c>
      <c r="K256" s="26">
        <v>0</v>
      </c>
      <c r="L256" s="26">
        <v>0</v>
      </c>
      <c r="M256" s="26">
        <v>0</v>
      </c>
      <c r="N256" s="26">
        <v>0</v>
      </c>
      <c r="O256" s="26">
        <v>0</v>
      </c>
      <c r="P256" s="25">
        <f t="shared" si="27"/>
        <v>74119.54000000004</v>
      </c>
    </row>
    <row r="257" spans="1:16" s="11" customFormat="1" ht="96">
      <c r="A257" s="22"/>
      <c r="B257" s="23"/>
      <c r="C257" s="24"/>
      <c r="D257" s="11" t="s">
        <v>503</v>
      </c>
      <c r="E257" s="59">
        <f t="shared" si="28"/>
        <v>74119.54000000004</v>
      </c>
      <c r="F257" s="26">
        <f>F256</f>
        <v>74119.54000000004</v>
      </c>
      <c r="G257" s="26"/>
      <c r="H257" s="26"/>
      <c r="I257" s="26"/>
      <c r="J257" s="59">
        <f t="shared" si="26"/>
        <v>0</v>
      </c>
      <c r="K257" s="26"/>
      <c r="L257" s="26"/>
      <c r="M257" s="26"/>
      <c r="N257" s="26"/>
      <c r="O257" s="26"/>
      <c r="P257" s="25">
        <f t="shared" si="27"/>
        <v>74119.54000000004</v>
      </c>
    </row>
    <row r="258" spans="1:16" s="11" customFormat="1" ht="13.5">
      <c r="A258" s="22" t="s">
        <v>452</v>
      </c>
      <c r="B258" s="23" t="s">
        <v>246</v>
      </c>
      <c r="C258" s="24" t="s">
        <v>57</v>
      </c>
      <c r="D258" s="75" t="s">
        <v>247</v>
      </c>
      <c r="E258" s="59">
        <f t="shared" si="28"/>
        <v>45099760</v>
      </c>
      <c r="F258" s="26">
        <f>48970700-3870940</f>
        <v>45099760</v>
      </c>
      <c r="G258" s="26">
        <v>0</v>
      </c>
      <c r="H258" s="26">
        <v>0</v>
      </c>
      <c r="I258" s="26">
        <v>0</v>
      </c>
      <c r="J258" s="59">
        <f t="shared" si="26"/>
        <v>0</v>
      </c>
      <c r="K258" s="26">
        <v>0</v>
      </c>
      <c r="L258" s="26">
        <v>0</v>
      </c>
      <c r="M258" s="26">
        <v>0</v>
      </c>
      <c r="N258" s="26">
        <v>0</v>
      </c>
      <c r="O258" s="26">
        <v>0</v>
      </c>
      <c r="P258" s="25">
        <f t="shared" si="27"/>
        <v>45099760</v>
      </c>
    </row>
    <row r="259" spans="1:16" s="11" customFormat="1" ht="96">
      <c r="A259" s="22"/>
      <c r="B259" s="23"/>
      <c r="C259" s="24"/>
      <c r="D259" s="11" t="s">
        <v>503</v>
      </c>
      <c r="E259" s="59">
        <f t="shared" si="28"/>
        <v>45099760</v>
      </c>
      <c r="F259" s="26">
        <f>F258</f>
        <v>45099760</v>
      </c>
      <c r="G259" s="26"/>
      <c r="H259" s="26"/>
      <c r="I259" s="26"/>
      <c r="J259" s="59">
        <f t="shared" si="26"/>
        <v>0</v>
      </c>
      <c r="K259" s="26"/>
      <c r="L259" s="26"/>
      <c r="M259" s="26"/>
      <c r="N259" s="26"/>
      <c r="O259" s="26"/>
      <c r="P259" s="25">
        <f t="shared" si="27"/>
        <v>45099760</v>
      </c>
    </row>
    <row r="260" spans="1:16" s="11" customFormat="1" ht="27">
      <c r="A260" s="22" t="s">
        <v>453</v>
      </c>
      <c r="B260" s="23" t="s">
        <v>248</v>
      </c>
      <c r="C260" s="24" t="s">
        <v>57</v>
      </c>
      <c r="D260" s="75" t="s">
        <v>249</v>
      </c>
      <c r="E260" s="59">
        <f t="shared" si="28"/>
        <v>3894100</v>
      </c>
      <c r="F260" s="26">
        <v>3894100</v>
      </c>
      <c r="G260" s="26">
        <v>0</v>
      </c>
      <c r="H260" s="26">
        <v>0</v>
      </c>
      <c r="I260" s="26">
        <v>0</v>
      </c>
      <c r="J260" s="59">
        <f t="shared" si="26"/>
        <v>0</v>
      </c>
      <c r="K260" s="26">
        <v>0</v>
      </c>
      <c r="L260" s="26">
        <v>0</v>
      </c>
      <c r="M260" s="26">
        <v>0</v>
      </c>
      <c r="N260" s="26">
        <v>0</v>
      </c>
      <c r="O260" s="26">
        <v>0</v>
      </c>
      <c r="P260" s="25">
        <f t="shared" si="27"/>
        <v>3894100</v>
      </c>
    </row>
    <row r="261" spans="1:16" s="11" customFormat="1" ht="96">
      <c r="A261" s="22"/>
      <c r="B261" s="23"/>
      <c r="C261" s="24"/>
      <c r="D261" s="11" t="s">
        <v>503</v>
      </c>
      <c r="E261" s="59">
        <f t="shared" si="28"/>
        <v>3894100</v>
      </c>
      <c r="F261" s="26">
        <f>F260</f>
        <v>3894100</v>
      </c>
      <c r="G261" s="26"/>
      <c r="H261" s="26"/>
      <c r="I261" s="26"/>
      <c r="J261" s="59">
        <f t="shared" si="26"/>
        <v>0</v>
      </c>
      <c r="K261" s="26"/>
      <c r="L261" s="26"/>
      <c r="M261" s="26"/>
      <c r="N261" s="26"/>
      <c r="O261" s="26"/>
      <c r="P261" s="25">
        <f t="shared" si="27"/>
        <v>3894100</v>
      </c>
    </row>
    <row r="262" spans="1:16" s="11" customFormat="1" ht="27">
      <c r="A262" s="22" t="s">
        <v>454</v>
      </c>
      <c r="B262" s="23" t="s">
        <v>250</v>
      </c>
      <c r="C262" s="24" t="s">
        <v>57</v>
      </c>
      <c r="D262" s="75" t="s">
        <v>251</v>
      </c>
      <c r="E262" s="59">
        <f t="shared" si="28"/>
        <v>13310400</v>
      </c>
      <c r="F262" s="26">
        <v>13310400</v>
      </c>
      <c r="G262" s="26">
        <v>0</v>
      </c>
      <c r="H262" s="26">
        <v>0</v>
      </c>
      <c r="I262" s="26">
        <v>0</v>
      </c>
      <c r="J262" s="59">
        <f t="shared" si="26"/>
        <v>0</v>
      </c>
      <c r="K262" s="26">
        <v>0</v>
      </c>
      <c r="L262" s="26">
        <v>0</v>
      </c>
      <c r="M262" s="26">
        <v>0</v>
      </c>
      <c r="N262" s="26">
        <v>0</v>
      </c>
      <c r="O262" s="26">
        <v>0</v>
      </c>
      <c r="P262" s="25">
        <f t="shared" si="27"/>
        <v>13310400</v>
      </c>
    </row>
    <row r="263" spans="1:16" s="11" customFormat="1" ht="96">
      <c r="A263" s="22"/>
      <c r="B263" s="23"/>
      <c r="C263" s="24"/>
      <c r="D263" s="90" t="s">
        <v>503</v>
      </c>
      <c r="E263" s="59">
        <f t="shared" si="28"/>
        <v>13310400</v>
      </c>
      <c r="F263" s="26">
        <f>F262</f>
        <v>13310400</v>
      </c>
      <c r="G263" s="26"/>
      <c r="H263" s="26"/>
      <c r="I263" s="26"/>
      <c r="J263" s="59">
        <f t="shared" si="26"/>
        <v>0</v>
      </c>
      <c r="K263" s="26"/>
      <c r="L263" s="26"/>
      <c r="M263" s="26"/>
      <c r="N263" s="26"/>
      <c r="O263" s="26"/>
      <c r="P263" s="25">
        <f t="shared" si="27"/>
        <v>13310400</v>
      </c>
    </row>
    <row r="264" spans="1:16" s="11" customFormat="1" ht="27">
      <c r="A264" s="22" t="s">
        <v>455</v>
      </c>
      <c r="B264" s="23" t="s">
        <v>252</v>
      </c>
      <c r="C264" s="24" t="s">
        <v>57</v>
      </c>
      <c r="D264" s="75" t="s">
        <v>253</v>
      </c>
      <c r="E264" s="59">
        <f t="shared" si="28"/>
        <v>504700</v>
      </c>
      <c r="F264" s="26">
        <v>504700</v>
      </c>
      <c r="G264" s="26">
        <v>0</v>
      </c>
      <c r="H264" s="26">
        <v>0</v>
      </c>
      <c r="I264" s="26">
        <v>0</v>
      </c>
      <c r="J264" s="59">
        <f t="shared" si="26"/>
        <v>0</v>
      </c>
      <c r="K264" s="26">
        <v>0</v>
      </c>
      <c r="L264" s="26">
        <v>0</v>
      </c>
      <c r="M264" s="26">
        <v>0</v>
      </c>
      <c r="N264" s="26">
        <v>0</v>
      </c>
      <c r="O264" s="26">
        <v>0</v>
      </c>
      <c r="P264" s="25">
        <f t="shared" si="27"/>
        <v>504700</v>
      </c>
    </row>
    <row r="265" spans="1:16" s="11" customFormat="1" ht="96">
      <c r="A265" s="22"/>
      <c r="B265" s="23"/>
      <c r="C265" s="24"/>
      <c r="D265" s="90" t="s">
        <v>503</v>
      </c>
      <c r="E265" s="59">
        <f t="shared" si="28"/>
        <v>504700</v>
      </c>
      <c r="F265" s="26">
        <f>F264</f>
        <v>504700</v>
      </c>
      <c r="G265" s="26"/>
      <c r="H265" s="26"/>
      <c r="I265" s="26"/>
      <c r="J265" s="59">
        <f t="shared" si="26"/>
        <v>0</v>
      </c>
      <c r="K265" s="26"/>
      <c r="L265" s="26"/>
      <c r="M265" s="26"/>
      <c r="N265" s="26"/>
      <c r="O265" s="26"/>
      <c r="P265" s="25">
        <f t="shared" si="27"/>
        <v>504700</v>
      </c>
    </row>
    <row r="266" spans="1:16" s="11" customFormat="1" ht="13.5">
      <c r="A266" s="22" t="s">
        <v>456</v>
      </c>
      <c r="B266" s="23" t="s">
        <v>254</v>
      </c>
      <c r="C266" s="24" t="s">
        <v>57</v>
      </c>
      <c r="D266" s="75" t="s">
        <v>255</v>
      </c>
      <c r="E266" s="59">
        <f t="shared" si="28"/>
        <v>52100</v>
      </c>
      <c r="F266" s="26">
        <v>52100</v>
      </c>
      <c r="G266" s="26">
        <v>0</v>
      </c>
      <c r="H266" s="26">
        <v>0</v>
      </c>
      <c r="I266" s="26">
        <v>0</v>
      </c>
      <c r="J266" s="59">
        <f t="shared" si="26"/>
        <v>0</v>
      </c>
      <c r="K266" s="26">
        <v>0</v>
      </c>
      <c r="L266" s="26">
        <v>0</v>
      </c>
      <c r="M266" s="26">
        <v>0</v>
      </c>
      <c r="N266" s="26">
        <v>0</v>
      </c>
      <c r="O266" s="26">
        <v>0</v>
      </c>
      <c r="P266" s="25">
        <f t="shared" si="27"/>
        <v>52100</v>
      </c>
    </row>
    <row r="267" spans="1:16" s="11" customFormat="1" ht="96">
      <c r="A267" s="22"/>
      <c r="B267" s="23"/>
      <c r="C267" s="24"/>
      <c r="D267" s="90" t="s">
        <v>503</v>
      </c>
      <c r="E267" s="59">
        <f t="shared" si="28"/>
        <v>52100</v>
      </c>
      <c r="F267" s="26">
        <f>F266</f>
        <v>52100</v>
      </c>
      <c r="G267" s="26"/>
      <c r="H267" s="26"/>
      <c r="I267" s="26"/>
      <c r="J267" s="59">
        <f t="shared" si="26"/>
        <v>0</v>
      </c>
      <c r="K267" s="26"/>
      <c r="L267" s="26"/>
      <c r="M267" s="26"/>
      <c r="N267" s="26"/>
      <c r="O267" s="26"/>
      <c r="P267" s="25">
        <f t="shared" si="27"/>
        <v>52100</v>
      </c>
    </row>
    <row r="268" spans="1:16" s="11" customFormat="1" ht="27">
      <c r="A268" s="22" t="s">
        <v>457</v>
      </c>
      <c r="B268" s="23" t="s">
        <v>256</v>
      </c>
      <c r="C268" s="24" t="s">
        <v>57</v>
      </c>
      <c r="D268" s="75" t="s">
        <v>257</v>
      </c>
      <c r="E268" s="59">
        <f t="shared" si="28"/>
        <v>14575400</v>
      </c>
      <c r="F268" s="26">
        <f>11075400+3500000</f>
        <v>14575400</v>
      </c>
      <c r="G268" s="26">
        <v>0</v>
      </c>
      <c r="H268" s="26">
        <v>0</v>
      </c>
      <c r="I268" s="26">
        <v>0</v>
      </c>
      <c r="J268" s="59">
        <f t="shared" si="26"/>
        <v>0</v>
      </c>
      <c r="K268" s="26">
        <v>0</v>
      </c>
      <c r="L268" s="26">
        <v>0</v>
      </c>
      <c r="M268" s="26">
        <v>0</v>
      </c>
      <c r="N268" s="26">
        <v>0</v>
      </c>
      <c r="O268" s="26">
        <v>0</v>
      </c>
      <c r="P268" s="25">
        <f t="shared" si="27"/>
        <v>14575400</v>
      </c>
    </row>
    <row r="269" spans="1:16" s="11" customFormat="1" ht="96">
      <c r="A269" s="22"/>
      <c r="B269" s="23"/>
      <c r="C269" s="24"/>
      <c r="D269" s="90" t="s">
        <v>503</v>
      </c>
      <c r="E269" s="59">
        <f t="shared" si="28"/>
        <v>14575400</v>
      </c>
      <c r="F269" s="26">
        <f>F268</f>
        <v>14575400</v>
      </c>
      <c r="G269" s="26"/>
      <c r="H269" s="26"/>
      <c r="I269" s="26"/>
      <c r="J269" s="59">
        <f t="shared" si="26"/>
        <v>0</v>
      </c>
      <c r="K269" s="26"/>
      <c r="L269" s="26"/>
      <c r="M269" s="26"/>
      <c r="N269" s="26"/>
      <c r="O269" s="26"/>
      <c r="P269" s="25">
        <f t="shared" si="27"/>
        <v>14575400</v>
      </c>
    </row>
    <row r="270" spans="1:16" s="11" customFormat="1" ht="27">
      <c r="A270" s="22" t="s">
        <v>458</v>
      </c>
      <c r="B270" s="23" t="s">
        <v>258</v>
      </c>
      <c r="C270" s="24" t="s">
        <v>49</v>
      </c>
      <c r="D270" s="75" t="s">
        <v>259</v>
      </c>
      <c r="E270" s="59">
        <f t="shared" si="28"/>
        <v>13118720.46</v>
      </c>
      <c r="F270" s="26">
        <f>12197800+920920.46</f>
        <v>13118720.46</v>
      </c>
      <c r="G270" s="26">
        <v>0</v>
      </c>
      <c r="H270" s="26">
        <v>0</v>
      </c>
      <c r="I270" s="26">
        <v>0</v>
      </c>
      <c r="J270" s="59">
        <f t="shared" si="26"/>
        <v>0</v>
      </c>
      <c r="K270" s="26">
        <v>0</v>
      </c>
      <c r="L270" s="26">
        <v>0</v>
      </c>
      <c r="M270" s="26">
        <v>0</v>
      </c>
      <c r="N270" s="26">
        <v>0</v>
      </c>
      <c r="O270" s="26">
        <v>0</v>
      </c>
      <c r="P270" s="25">
        <f t="shared" si="27"/>
        <v>13118720.46</v>
      </c>
    </row>
    <row r="271" spans="1:16" s="11" customFormat="1" ht="96">
      <c r="A271" s="22"/>
      <c r="B271" s="23"/>
      <c r="C271" s="24"/>
      <c r="D271" s="90" t="s">
        <v>503</v>
      </c>
      <c r="E271" s="59">
        <f t="shared" si="28"/>
        <v>13118720.46</v>
      </c>
      <c r="F271" s="26">
        <f>F270</f>
        <v>13118720.46</v>
      </c>
      <c r="G271" s="26"/>
      <c r="H271" s="26"/>
      <c r="I271" s="26"/>
      <c r="J271" s="59">
        <f t="shared" si="26"/>
        <v>0</v>
      </c>
      <c r="K271" s="26"/>
      <c r="L271" s="26"/>
      <c r="M271" s="26"/>
      <c r="N271" s="26"/>
      <c r="O271" s="26"/>
      <c r="P271" s="25">
        <f t="shared" si="27"/>
        <v>13118720.46</v>
      </c>
    </row>
    <row r="272" spans="1:16" s="11" customFormat="1" ht="41.25">
      <c r="A272" s="3" t="s">
        <v>459</v>
      </c>
      <c r="B272" s="5" t="s">
        <v>260</v>
      </c>
      <c r="C272" s="4" t="s">
        <v>49</v>
      </c>
      <c r="D272" s="73" t="s">
        <v>531</v>
      </c>
      <c r="E272" s="58">
        <f>F272+I272</f>
        <v>4093800</v>
      </c>
      <c r="F272" s="21">
        <v>4093800</v>
      </c>
      <c r="G272" s="21">
        <v>0</v>
      </c>
      <c r="H272" s="21">
        <v>0</v>
      </c>
      <c r="I272" s="21">
        <v>0</v>
      </c>
      <c r="J272" s="58">
        <f>K272+N272</f>
        <v>0</v>
      </c>
      <c r="K272" s="21">
        <v>0</v>
      </c>
      <c r="L272" s="21">
        <v>0</v>
      </c>
      <c r="M272" s="21">
        <v>0</v>
      </c>
      <c r="N272" s="21">
        <v>0</v>
      </c>
      <c r="O272" s="21">
        <v>0</v>
      </c>
      <c r="P272" s="20">
        <f t="shared" si="27"/>
        <v>4093800</v>
      </c>
    </row>
    <row r="273" spans="1:16" s="11" customFormat="1" ht="96">
      <c r="A273" s="22"/>
      <c r="B273" s="23"/>
      <c r="C273" s="24"/>
      <c r="D273" s="90" t="s">
        <v>503</v>
      </c>
      <c r="E273" s="59">
        <f t="shared" si="28"/>
        <v>4093800</v>
      </c>
      <c r="F273" s="26">
        <f>F272</f>
        <v>4093800</v>
      </c>
      <c r="G273" s="26"/>
      <c r="H273" s="26"/>
      <c r="I273" s="26"/>
      <c r="J273" s="59">
        <f t="shared" si="26"/>
        <v>0</v>
      </c>
      <c r="K273" s="26"/>
      <c r="L273" s="26"/>
      <c r="M273" s="26"/>
      <c r="N273" s="26"/>
      <c r="O273" s="26"/>
      <c r="P273" s="25">
        <f t="shared" si="27"/>
        <v>4093800</v>
      </c>
    </row>
    <row r="274" spans="1:17" s="11" customFormat="1" ht="41.25">
      <c r="A274" s="16" t="s">
        <v>460</v>
      </c>
      <c r="B274" s="17"/>
      <c r="C274" s="18"/>
      <c r="D274" s="74" t="s">
        <v>261</v>
      </c>
      <c r="E274" s="57">
        <f>F274+I274</f>
        <v>5003557.35</v>
      </c>
      <c r="F274" s="19">
        <f>F275</f>
        <v>5003557.35</v>
      </c>
      <c r="G274" s="19">
        <f>G275</f>
        <v>3767460</v>
      </c>
      <c r="H274" s="19">
        <f>H275</f>
        <v>187800</v>
      </c>
      <c r="I274" s="19">
        <f>I275</f>
        <v>0</v>
      </c>
      <c r="J274" s="57">
        <f>K274+N274</f>
        <v>73100</v>
      </c>
      <c r="K274" s="19">
        <f>K275</f>
        <v>73100</v>
      </c>
      <c r="L274" s="19">
        <f>L275</f>
        <v>50900</v>
      </c>
      <c r="M274" s="19">
        <f>M275</f>
        <v>0</v>
      </c>
      <c r="N274" s="19">
        <f>N275</f>
        <v>0</v>
      </c>
      <c r="O274" s="19">
        <f>O275</f>
        <v>0</v>
      </c>
      <c r="P274" s="19">
        <f t="shared" si="27"/>
        <v>5076657.35</v>
      </c>
      <c r="Q274" s="108"/>
    </row>
    <row r="275" spans="1:16" s="11" customFormat="1" ht="63.75" customHeight="1">
      <c r="A275" s="22" t="s">
        <v>461</v>
      </c>
      <c r="B275" s="23" t="s">
        <v>262</v>
      </c>
      <c r="C275" s="24" t="s">
        <v>53</v>
      </c>
      <c r="D275" s="75" t="s">
        <v>263</v>
      </c>
      <c r="E275" s="59">
        <f>F275+I275</f>
        <v>5003557.35</v>
      </c>
      <c r="F275" s="26">
        <f>4936300+3357.35+60900+3000</f>
        <v>5003557.35</v>
      </c>
      <c r="G275" s="26">
        <v>3767460</v>
      </c>
      <c r="H275" s="26">
        <f>126900+60900</f>
        <v>187800</v>
      </c>
      <c r="I275" s="26">
        <v>0</v>
      </c>
      <c r="J275" s="59">
        <f>K275+N275</f>
        <v>73100</v>
      </c>
      <c r="K275" s="26">
        <v>73100</v>
      </c>
      <c r="L275" s="26">
        <v>50900</v>
      </c>
      <c r="M275" s="26">
        <v>0</v>
      </c>
      <c r="N275" s="26">
        <v>0</v>
      </c>
      <c r="O275" s="26">
        <v>0</v>
      </c>
      <c r="P275" s="25">
        <f t="shared" si="27"/>
        <v>5076657.35</v>
      </c>
    </row>
    <row r="276" spans="1:17" s="11" customFormat="1" ht="69">
      <c r="A276" s="16" t="s">
        <v>462</v>
      </c>
      <c r="B276" s="17"/>
      <c r="C276" s="18"/>
      <c r="D276" s="74" t="s">
        <v>264</v>
      </c>
      <c r="E276" s="57">
        <f>F276+I276</f>
        <v>365600</v>
      </c>
      <c r="F276" s="19">
        <f>F277</f>
        <v>365600</v>
      </c>
      <c r="G276" s="19">
        <f>G277</f>
        <v>0</v>
      </c>
      <c r="H276" s="19">
        <f>H277</f>
        <v>0</v>
      </c>
      <c r="I276" s="19">
        <f>I277</f>
        <v>0</v>
      </c>
      <c r="J276" s="57">
        <f>K276+N276</f>
        <v>0</v>
      </c>
      <c r="K276" s="19">
        <f>K277</f>
        <v>0</v>
      </c>
      <c r="L276" s="19">
        <f>L277</f>
        <v>0</v>
      </c>
      <c r="M276" s="19">
        <f>M277</f>
        <v>0</v>
      </c>
      <c r="N276" s="19">
        <f>N277</f>
        <v>0</v>
      </c>
      <c r="O276" s="19">
        <f>O277</f>
        <v>0</v>
      </c>
      <c r="P276" s="19">
        <f t="shared" si="27"/>
        <v>365600</v>
      </c>
      <c r="Q276" s="108"/>
    </row>
    <row r="277" spans="1:16" s="11" customFormat="1" ht="69">
      <c r="A277" s="22" t="s">
        <v>463</v>
      </c>
      <c r="B277" s="23" t="s">
        <v>265</v>
      </c>
      <c r="C277" s="24" t="s">
        <v>49</v>
      </c>
      <c r="D277" s="75" t="s">
        <v>266</v>
      </c>
      <c r="E277" s="59">
        <f>F277+I277</f>
        <v>365600</v>
      </c>
      <c r="F277" s="26">
        <v>365600</v>
      </c>
      <c r="G277" s="26">
        <v>0</v>
      </c>
      <c r="H277" s="26">
        <v>0</v>
      </c>
      <c r="I277" s="26">
        <v>0</v>
      </c>
      <c r="J277" s="59">
        <f>K277+N277</f>
        <v>0</v>
      </c>
      <c r="K277" s="26">
        <v>0</v>
      </c>
      <c r="L277" s="26">
        <v>0</v>
      </c>
      <c r="M277" s="26">
        <v>0</v>
      </c>
      <c r="N277" s="26">
        <v>0</v>
      </c>
      <c r="O277" s="26">
        <v>0</v>
      </c>
      <c r="P277" s="25">
        <f t="shared" si="27"/>
        <v>365600</v>
      </c>
    </row>
    <row r="278" spans="1:17" s="53" customFormat="1" ht="82.5">
      <c r="A278" s="3" t="s">
        <v>464</v>
      </c>
      <c r="B278" s="5" t="s">
        <v>267</v>
      </c>
      <c r="C278" s="4" t="s">
        <v>226</v>
      </c>
      <c r="D278" s="73" t="s">
        <v>268</v>
      </c>
      <c r="E278" s="58">
        <f aca="true" t="shared" si="29" ref="E278:E291">F278+I278</f>
        <v>364786</v>
      </c>
      <c r="F278" s="21">
        <f>955500-60900-29814-500000</f>
        <v>364786</v>
      </c>
      <c r="G278" s="21">
        <v>0</v>
      </c>
      <c r="H278" s="21">
        <v>0</v>
      </c>
      <c r="I278" s="21">
        <v>0</v>
      </c>
      <c r="J278" s="58">
        <f aca="true" t="shared" si="30" ref="J278:J291">K278+N278</f>
        <v>0</v>
      </c>
      <c r="K278" s="21">
        <v>0</v>
      </c>
      <c r="L278" s="21">
        <v>0</v>
      </c>
      <c r="M278" s="21">
        <v>0</v>
      </c>
      <c r="N278" s="21">
        <v>0</v>
      </c>
      <c r="O278" s="21">
        <v>0</v>
      </c>
      <c r="P278" s="20">
        <f t="shared" si="27"/>
        <v>364786</v>
      </c>
      <c r="Q278" s="119"/>
    </row>
    <row r="279" spans="1:17" s="53" customFormat="1" ht="27">
      <c r="A279" s="16" t="s">
        <v>465</v>
      </c>
      <c r="B279" s="17"/>
      <c r="C279" s="18"/>
      <c r="D279" s="74" t="s">
        <v>211</v>
      </c>
      <c r="E279" s="57">
        <f t="shared" si="29"/>
        <v>71000</v>
      </c>
      <c r="F279" s="19">
        <f>F280</f>
        <v>71000</v>
      </c>
      <c r="G279" s="19">
        <f>G280</f>
        <v>0</v>
      </c>
      <c r="H279" s="19">
        <f>H280</f>
        <v>0</v>
      </c>
      <c r="I279" s="19">
        <f>I280</f>
        <v>0</v>
      </c>
      <c r="J279" s="57">
        <f t="shared" si="30"/>
        <v>0</v>
      </c>
      <c r="K279" s="19">
        <f>K280</f>
        <v>0</v>
      </c>
      <c r="L279" s="19">
        <f>L280</f>
        <v>0</v>
      </c>
      <c r="M279" s="19">
        <f>M280</f>
        <v>0</v>
      </c>
      <c r="N279" s="19">
        <f>N280</f>
        <v>0</v>
      </c>
      <c r="O279" s="19">
        <f>O280</f>
        <v>0</v>
      </c>
      <c r="P279" s="19">
        <f t="shared" si="27"/>
        <v>71000</v>
      </c>
      <c r="Q279" s="119"/>
    </row>
    <row r="280" spans="1:16" s="11" customFormat="1" ht="41.25">
      <c r="A280" s="22" t="s">
        <v>466</v>
      </c>
      <c r="B280" s="23" t="s">
        <v>213</v>
      </c>
      <c r="C280" s="24" t="s">
        <v>186</v>
      </c>
      <c r="D280" s="75" t="s">
        <v>214</v>
      </c>
      <c r="E280" s="59">
        <f t="shared" si="29"/>
        <v>71000</v>
      </c>
      <c r="F280" s="26">
        <f>55000+3000+13000</f>
        <v>71000</v>
      </c>
      <c r="G280" s="26">
        <v>0</v>
      </c>
      <c r="H280" s="26">
        <v>0</v>
      </c>
      <c r="I280" s="26">
        <v>0</v>
      </c>
      <c r="J280" s="59">
        <f t="shared" si="30"/>
        <v>0</v>
      </c>
      <c r="K280" s="26">
        <v>0</v>
      </c>
      <c r="L280" s="26">
        <v>0</v>
      </c>
      <c r="M280" s="26">
        <v>0</v>
      </c>
      <c r="N280" s="26">
        <v>0</v>
      </c>
      <c r="O280" s="26">
        <v>0</v>
      </c>
      <c r="P280" s="25">
        <f t="shared" si="27"/>
        <v>71000</v>
      </c>
    </row>
    <row r="281" spans="1:16" s="11" customFormat="1" ht="37.5" customHeight="1">
      <c r="A281" s="22"/>
      <c r="B281" s="23"/>
      <c r="C281" s="24"/>
      <c r="D281" s="77" t="s">
        <v>576</v>
      </c>
      <c r="E281" s="59">
        <f t="shared" si="29"/>
        <v>13000</v>
      </c>
      <c r="F281" s="26">
        <v>13000</v>
      </c>
      <c r="G281" s="26"/>
      <c r="H281" s="26"/>
      <c r="I281" s="26"/>
      <c r="J281" s="59"/>
      <c r="K281" s="26"/>
      <c r="L281" s="26"/>
      <c r="M281" s="26"/>
      <c r="N281" s="26"/>
      <c r="O281" s="26"/>
      <c r="P281" s="25"/>
    </row>
    <row r="282" spans="1:17" s="53" customFormat="1" ht="27">
      <c r="A282" s="3" t="s">
        <v>467</v>
      </c>
      <c r="B282" s="5" t="s">
        <v>219</v>
      </c>
      <c r="C282" s="4" t="s">
        <v>61</v>
      </c>
      <c r="D282" s="73" t="s">
        <v>220</v>
      </c>
      <c r="E282" s="58">
        <f t="shared" si="29"/>
        <v>21000</v>
      </c>
      <c r="F282" s="21">
        <v>21000</v>
      </c>
      <c r="G282" s="21">
        <v>0</v>
      </c>
      <c r="H282" s="21">
        <v>0</v>
      </c>
      <c r="I282" s="21">
        <v>0</v>
      </c>
      <c r="J282" s="58">
        <f t="shared" si="30"/>
        <v>0</v>
      </c>
      <c r="K282" s="21">
        <v>0</v>
      </c>
      <c r="L282" s="21">
        <v>0</v>
      </c>
      <c r="M282" s="21">
        <v>0</v>
      </c>
      <c r="N282" s="21">
        <v>0</v>
      </c>
      <c r="O282" s="21">
        <v>0</v>
      </c>
      <c r="P282" s="20">
        <f t="shared" si="27"/>
        <v>21000</v>
      </c>
      <c r="Q282" s="119"/>
    </row>
    <row r="283" spans="1:17" s="134" customFormat="1" ht="27">
      <c r="A283" s="16" t="s">
        <v>555</v>
      </c>
      <c r="B283" s="64">
        <v>6320</v>
      </c>
      <c r="C283" s="65" t="s">
        <v>226</v>
      </c>
      <c r="D283" s="74" t="s">
        <v>556</v>
      </c>
      <c r="E283" s="57">
        <f>F283+I283</f>
        <v>0</v>
      </c>
      <c r="F283" s="19">
        <v>0</v>
      </c>
      <c r="G283" s="19">
        <v>0</v>
      </c>
      <c r="H283" s="19">
        <v>0</v>
      </c>
      <c r="I283" s="19">
        <v>0</v>
      </c>
      <c r="J283" s="57">
        <f>K283+N283</f>
        <v>1142336</v>
      </c>
      <c r="K283" s="19">
        <v>0</v>
      </c>
      <c r="L283" s="19">
        <v>0</v>
      </c>
      <c r="M283" s="19">
        <v>0</v>
      </c>
      <c r="N283" s="19">
        <f>N284</f>
        <v>1142336</v>
      </c>
      <c r="O283" s="19">
        <f>O284</f>
        <v>1142336</v>
      </c>
      <c r="P283" s="19">
        <f>E283+J283</f>
        <v>1142336</v>
      </c>
      <c r="Q283" s="133"/>
    </row>
    <row r="284" spans="1:17" s="53" customFormat="1" ht="42" customHeight="1">
      <c r="A284" s="3" t="s">
        <v>557</v>
      </c>
      <c r="B284" s="5">
        <v>6324</v>
      </c>
      <c r="C284" s="4" t="s">
        <v>226</v>
      </c>
      <c r="D284" s="73" t="s">
        <v>558</v>
      </c>
      <c r="E284" s="58">
        <f>F284+I284</f>
        <v>0</v>
      </c>
      <c r="F284" s="21">
        <f>F285</f>
        <v>0</v>
      </c>
      <c r="G284" s="21">
        <f>G285</f>
        <v>0</v>
      </c>
      <c r="H284" s="21">
        <f>H285</f>
        <v>0</v>
      </c>
      <c r="I284" s="21">
        <f>I285</f>
        <v>0</v>
      </c>
      <c r="J284" s="58">
        <f>K284+N284</f>
        <v>1142336</v>
      </c>
      <c r="K284" s="21">
        <f>K285</f>
        <v>0</v>
      </c>
      <c r="L284" s="21">
        <f>L285</f>
        <v>0</v>
      </c>
      <c r="M284" s="21">
        <f>M285</f>
        <v>0</v>
      </c>
      <c r="N284" s="21">
        <f>N285</f>
        <v>1142336</v>
      </c>
      <c r="O284" s="21">
        <f>O285</f>
        <v>1142336</v>
      </c>
      <c r="P284" s="20">
        <f>E284+J284</f>
        <v>1142336</v>
      </c>
      <c r="Q284" s="119"/>
    </row>
    <row r="285" spans="1:17" s="47" customFormat="1" ht="248.25">
      <c r="A285" s="42"/>
      <c r="B285" s="43"/>
      <c r="C285" s="44"/>
      <c r="D285" s="113" t="s">
        <v>578</v>
      </c>
      <c r="E285" s="61">
        <f>F285+I285</f>
        <v>0</v>
      </c>
      <c r="F285" s="46"/>
      <c r="G285" s="46"/>
      <c r="H285" s="46"/>
      <c r="I285" s="46"/>
      <c r="J285" s="61">
        <f>K285+N285</f>
        <v>1142336</v>
      </c>
      <c r="K285" s="46"/>
      <c r="L285" s="46"/>
      <c r="M285" s="46"/>
      <c r="N285" s="46">
        <v>1142336</v>
      </c>
      <c r="O285" s="46">
        <f>0+1142336</f>
        <v>1142336</v>
      </c>
      <c r="P285" s="45">
        <f>E285+J285</f>
        <v>1142336</v>
      </c>
      <c r="Q285" s="129"/>
    </row>
    <row r="286" spans="1:16" s="100" customFormat="1" ht="41.25">
      <c r="A286" s="27" t="s">
        <v>435</v>
      </c>
      <c r="B286" s="28"/>
      <c r="C286" s="29"/>
      <c r="D286" s="78" t="s">
        <v>470</v>
      </c>
      <c r="E286" s="58">
        <f t="shared" si="29"/>
        <v>236920722.10000002</v>
      </c>
      <c r="F286" s="20">
        <f>F287+F288+F290+F302+F309+F328+F330+F332+F334+F335+F337</f>
        <v>236920722.10000002</v>
      </c>
      <c r="G286" s="20">
        <f>G287+G288+G290+G302+G309+G328+G330+G332+G334+G335+G337</f>
        <v>10222193</v>
      </c>
      <c r="H286" s="20">
        <f>H287+H288+H290+H302+H309+H328+H330+H332+H334+H335+H337</f>
        <v>537549</v>
      </c>
      <c r="I286" s="20">
        <f>I287+I288+I290+I302+I309+I328+I330+I332+I334+I335+I337</f>
        <v>0</v>
      </c>
      <c r="J286" s="58">
        <f t="shared" si="30"/>
        <v>55000</v>
      </c>
      <c r="K286" s="20">
        <f>K287+K288+K290+K302+K309+K328+K330+K332+K334+K335+K337</f>
        <v>55000</v>
      </c>
      <c r="L286" s="20">
        <f>L287+L288+L290+L302+L309+L328+L330+L332+L334+L335+L337</f>
        <v>38900</v>
      </c>
      <c r="M286" s="20">
        <f>M287+M288+M290+M302+M309+M328+M330+M332+M334+M335+M337</f>
        <v>0</v>
      </c>
      <c r="N286" s="20">
        <f>N287+N288+N290+N302+N309+N328+N330+N332+N334+N335+N337</f>
        <v>0</v>
      </c>
      <c r="O286" s="20">
        <f>O287+O288+O290+O302+O309+O328+O330+O332+O334+O335+O337</f>
        <v>0</v>
      </c>
      <c r="P286" s="20">
        <f t="shared" si="27"/>
        <v>236975722.10000002</v>
      </c>
    </row>
    <row r="287" spans="1:17" s="53" customFormat="1" ht="27">
      <c r="A287" s="3" t="s">
        <v>436</v>
      </c>
      <c r="B287" s="30" t="s">
        <v>35</v>
      </c>
      <c r="C287" s="30" t="s">
        <v>20</v>
      </c>
      <c r="D287" s="73" t="s">
        <v>535</v>
      </c>
      <c r="E287" s="58">
        <f t="shared" si="29"/>
        <v>7640898</v>
      </c>
      <c r="F287" s="21">
        <f>7062195+30000+109800+269016+169887</f>
        <v>7640898</v>
      </c>
      <c r="G287" s="21">
        <f>5516677+90000+206184+139252</f>
        <v>5952113</v>
      </c>
      <c r="H287" s="21">
        <v>170549</v>
      </c>
      <c r="I287" s="21">
        <v>0</v>
      </c>
      <c r="J287" s="58">
        <f t="shared" si="30"/>
        <v>0</v>
      </c>
      <c r="K287" s="21">
        <v>0</v>
      </c>
      <c r="L287" s="21">
        <v>0</v>
      </c>
      <c r="M287" s="21">
        <v>0</v>
      </c>
      <c r="N287" s="21">
        <v>0</v>
      </c>
      <c r="O287" s="21">
        <v>0</v>
      </c>
      <c r="P287" s="20">
        <f t="shared" si="27"/>
        <v>7640898</v>
      </c>
      <c r="Q287" s="119"/>
    </row>
    <row r="288" spans="1:17" s="53" customFormat="1" ht="82.5">
      <c r="A288" s="3" t="s">
        <v>438</v>
      </c>
      <c r="B288" s="5" t="s">
        <v>226</v>
      </c>
      <c r="C288" s="4" t="s">
        <v>48</v>
      </c>
      <c r="D288" s="73" t="s">
        <v>477</v>
      </c>
      <c r="E288" s="58">
        <f t="shared" si="29"/>
        <v>1725400</v>
      </c>
      <c r="F288" s="21">
        <f>1845400-120000</f>
        <v>1725400</v>
      </c>
      <c r="G288" s="21">
        <v>0</v>
      </c>
      <c r="H288" s="21">
        <v>0</v>
      </c>
      <c r="I288" s="21">
        <v>0</v>
      </c>
      <c r="J288" s="58">
        <f t="shared" si="30"/>
        <v>0</v>
      </c>
      <c r="K288" s="21">
        <v>0</v>
      </c>
      <c r="L288" s="21">
        <v>0</v>
      </c>
      <c r="M288" s="21">
        <v>0</v>
      </c>
      <c r="N288" s="21">
        <v>0</v>
      </c>
      <c r="O288" s="21">
        <v>0</v>
      </c>
      <c r="P288" s="20">
        <f t="shared" si="27"/>
        <v>1725400</v>
      </c>
      <c r="Q288" s="119"/>
    </row>
    <row r="289" spans="1:16" s="11" customFormat="1" ht="210" customHeight="1">
      <c r="A289" s="22"/>
      <c r="B289" s="23"/>
      <c r="C289" s="24"/>
      <c r="D289" s="77" t="s">
        <v>502</v>
      </c>
      <c r="E289" s="59">
        <f t="shared" si="29"/>
        <v>1725400</v>
      </c>
      <c r="F289" s="26">
        <f>F288</f>
        <v>1725400</v>
      </c>
      <c r="G289" s="26"/>
      <c r="H289" s="26"/>
      <c r="I289" s="26"/>
      <c r="J289" s="59">
        <f t="shared" si="30"/>
        <v>0</v>
      </c>
      <c r="K289" s="26"/>
      <c r="L289" s="26"/>
      <c r="M289" s="26"/>
      <c r="N289" s="26"/>
      <c r="O289" s="26"/>
      <c r="P289" s="25">
        <f t="shared" si="27"/>
        <v>1725400</v>
      </c>
    </row>
    <row r="290" spans="1:17" s="53" customFormat="1" ht="82.5">
      <c r="A290" s="16" t="s">
        <v>437</v>
      </c>
      <c r="B290" s="17"/>
      <c r="C290" s="18"/>
      <c r="D290" s="89" t="s">
        <v>484</v>
      </c>
      <c r="E290" s="57">
        <f t="shared" si="29"/>
        <v>135568928.83</v>
      </c>
      <c r="F290" s="19">
        <f>F291+F293+F296+F298+F300</f>
        <v>135568928.83</v>
      </c>
      <c r="G290" s="19">
        <f>G291+G293+G296+G298+G300</f>
        <v>0</v>
      </c>
      <c r="H290" s="19">
        <f>H291+H293+H296+H298+H300</f>
        <v>0</v>
      </c>
      <c r="I290" s="19">
        <f>I291+I293+I296+I298+I300</f>
        <v>0</v>
      </c>
      <c r="J290" s="57">
        <f t="shared" si="30"/>
        <v>0</v>
      </c>
      <c r="K290" s="19">
        <f>K291+K293+K296+K298+K300</f>
        <v>0</v>
      </c>
      <c r="L290" s="19">
        <f>L291+L293+L296+L298+L300</f>
        <v>0</v>
      </c>
      <c r="M290" s="19">
        <f>M291+M293+M296+M298+M300</f>
        <v>0</v>
      </c>
      <c r="N290" s="19">
        <f>N291+N293+N296+N298+N300</f>
        <v>0</v>
      </c>
      <c r="O290" s="19">
        <f>O291+O293+O296+O298+O300</f>
        <v>0</v>
      </c>
      <c r="P290" s="19">
        <f t="shared" si="27"/>
        <v>135568928.83</v>
      </c>
      <c r="Q290" s="119"/>
    </row>
    <row r="291" spans="1:16" s="11" customFormat="1" ht="234">
      <c r="A291" s="22" t="s">
        <v>439</v>
      </c>
      <c r="B291" s="23" t="s">
        <v>227</v>
      </c>
      <c r="C291" s="24" t="s">
        <v>186</v>
      </c>
      <c r="D291" s="90" t="s">
        <v>480</v>
      </c>
      <c r="E291" s="59">
        <f t="shared" si="29"/>
        <v>6534860.219999999</v>
      </c>
      <c r="F291" s="26">
        <f>8440000+115678.85-5028992.49+15712.02+213889.92+67871.64+132974.19-132974.19+2710700.28</f>
        <v>6534860.219999999</v>
      </c>
      <c r="G291" s="26">
        <v>0</v>
      </c>
      <c r="H291" s="26">
        <v>0</v>
      </c>
      <c r="I291" s="26">
        <v>0</v>
      </c>
      <c r="J291" s="59">
        <f t="shared" si="30"/>
        <v>0</v>
      </c>
      <c r="K291" s="26">
        <v>0</v>
      </c>
      <c r="L291" s="26">
        <v>0</v>
      </c>
      <c r="M291" s="26">
        <v>0</v>
      </c>
      <c r="N291" s="26">
        <v>0</v>
      </c>
      <c r="O291" s="26">
        <v>0</v>
      </c>
      <c r="P291" s="25">
        <f t="shared" si="27"/>
        <v>6534860.219999999</v>
      </c>
    </row>
    <row r="292" spans="1:16" s="11" customFormat="1" ht="123.75">
      <c r="A292" s="32"/>
      <c r="B292" s="33"/>
      <c r="C292" s="34"/>
      <c r="D292" s="90" t="s">
        <v>505</v>
      </c>
      <c r="E292" s="59">
        <f>F292+I292</f>
        <v>6534860.219999999</v>
      </c>
      <c r="F292" s="26">
        <f>F291</f>
        <v>6534860.219999999</v>
      </c>
      <c r="G292" s="26"/>
      <c r="H292" s="26"/>
      <c r="I292" s="26"/>
      <c r="J292" s="59">
        <f>K292+N292</f>
        <v>0</v>
      </c>
      <c r="K292" s="26"/>
      <c r="L292" s="26"/>
      <c r="M292" s="26"/>
      <c r="N292" s="26"/>
      <c r="O292" s="26"/>
      <c r="P292" s="25">
        <f t="shared" si="27"/>
        <v>6534860.219999999</v>
      </c>
    </row>
    <row r="293" spans="1:16" s="11" customFormat="1" ht="317.25">
      <c r="A293" s="182" t="s">
        <v>440</v>
      </c>
      <c r="B293" s="184" t="s">
        <v>228</v>
      </c>
      <c r="C293" s="187" t="s">
        <v>186</v>
      </c>
      <c r="D293" s="104" t="s">
        <v>481</v>
      </c>
      <c r="E293" s="181">
        <f>F293+I293</f>
        <v>552279.0299999999</v>
      </c>
      <c r="F293" s="190">
        <f>671000+10062.99-379093.58+2497.97+20546.77+6323.48+12396.77-12396.77+220941.4</f>
        <v>552279.0299999999</v>
      </c>
      <c r="G293" s="190">
        <v>0</v>
      </c>
      <c r="H293" s="190">
        <v>0</v>
      </c>
      <c r="I293" s="190">
        <v>0</v>
      </c>
      <c r="J293" s="181">
        <f>K293+N293</f>
        <v>0</v>
      </c>
      <c r="K293" s="190">
        <v>0</v>
      </c>
      <c r="L293" s="190">
        <v>0</v>
      </c>
      <c r="M293" s="190">
        <v>0</v>
      </c>
      <c r="N293" s="190">
        <v>0</v>
      </c>
      <c r="O293" s="190">
        <v>0</v>
      </c>
      <c r="P293" s="192">
        <f t="shared" si="27"/>
        <v>552279.0299999999</v>
      </c>
    </row>
    <row r="294" spans="1:16" s="11" customFormat="1" ht="372">
      <c r="A294" s="183"/>
      <c r="B294" s="185"/>
      <c r="C294" s="188"/>
      <c r="D294" s="107" t="s">
        <v>482</v>
      </c>
      <c r="E294" s="181"/>
      <c r="F294" s="190"/>
      <c r="G294" s="190"/>
      <c r="H294" s="190"/>
      <c r="I294" s="190"/>
      <c r="J294" s="181"/>
      <c r="K294" s="190"/>
      <c r="L294" s="190"/>
      <c r="M294" s="190"/>
      <c r="N294" s="190"/>
      <c r="O294" s="190"/>
      <c r="P294" s="192"/>
    </row>
    <row r="295" spans="1:16" s="11" customFormat="1" ht="123.75">
      <c r="A295" s="36"/>
      <c r="B295" s="37"/>
      <c r="C295" s="38"/>
      <c r="D295" s="90" t="s">
        <v>505</v>
      </c>
      <c r="E295" s="59">
        <f>F295+I295</f>
        <v>552279.0299999999</v>
      </c>
      <c r="F295" s="105">
        <f>F293</f>
        <v>552279.0299999999</v>
      </c>
      <c r="G295" s="105"/>
      <c r="H295" s="105"/>
      <c r="I295" s="105"/>
      <c r="J295" s="59">
        <f>K295+N295</f>
        <v>0</v>
      </c>
      <c r="K295" s="105"/>
      <c r="L295" s="105"/>
      <c r="M295" s="105"/>
      <c r="N295" s="105"/>
      <c r="O295" s="105"/>
      <c r="P295" s="106">
        <f>E295+J295</f>
        <v>552279.0299999999</v>
      </c>
    </row>
    <row r="296" spans="1:16" s="11" customFormat="1" ht="96">
      <c r="A296" s="22" t="s">
        <v>441</v>
      </c>
      <c r="B296" s="23" t="s">
        <v>229</v>
      </c>
      <c r="C296" s="24" t="s">
        <v>189</v>
      </c>
      <c r="D296" s="75" t="s">
        <v>230</v>
      </c>
      <c r="E296" s="59">
        <f aca="true" t="shared" si="31" ref="E296:E327">F296+I296</f>
        <v>618000.54</v>
      </c>
      <c r="F296" s="26">
        <f>716000+10858.39-366211.08+4628.64+23622.25+6723.49+11458.5-11458.5+222378.85</f>
        <v>618000.54</v>
      </c>
      <c r="G296" s="26">
        <v>0</v>
      </c>
      <c r="H296" s="26">
        <v>0</v>
      </c>
      <c r="I296" s="26">
        <v>0</v>
      </c>
      <c r="J296" s="59">
        <f aca="true" t="shared" si="32" ref="J296:J333">K296+N296</f>
        <v>0</v>
      </c>
      <c r="K296" s="26">
        <v>0</v>
      </c>
      <c r="L296" s="26">
        <v>0</v>
      </c>
      <c r="M296" s="26">
        <v>0</v>
      </c>
      <c r="N296" s="26">
        <v>0</v>
      </c>
      <c r="O296" s="26">
        <v>0</v>
      </c>
      <c r="P296" s="25">
        <f t="shared" si="27"/>
        <v>618000.54</v>
      </c>
    </row>
    <row r="297" spans="1:16" s="11" customFormat="1" ht="123.75">
      <c r="A297" s="22"/>
      <c r="B297" s="23"/>
      <c r="C297" s="24"/>
      <c r="D297" s="90" t="s">
        <v>505</v>
      </c>
      <c r="E297" s="59">
        <f t="shared" si="31"/>
        <v>618000.54</v>
      </c>
      <c r="F297" s="26">
        <f>F296</f>
        <v>618000.54</v>
      </c>
      <c r="G297" s="26"/>
      <c r="H297" s="26"/>
      <c r="I297" s="26"/>
      <c r="J297" s="59">
        <f t="shared" si="32"/>
        <v>0</v>
      </c>
      <c r="K297" s="26"/>
      <c r="L297" s="26"/>
      <c r="M297" s="26"/>
      <c r="N297" s="26"/>
      <c r="O297" s="26"/>
      <c r="P297" s="25">
        <f t="shared" si="27"/>
        <v>618000.54</v>
      </c>
    </row>
    <row r="298" spans="1:16" s="11" customFormat="1" ht="27">
      <c r="A298" s="22" t="s">
        <v>443</v>
      </c>
      <c r="B298" s="23" t="s">
        <v>232</v>
      </c>
      <c r="C298" s="24" t="s">
        <v>189</v>
      </c>
      <c r="D298" s="75" t="s">
        <v>233</v>
      </c>
      <c r="E298" s="59">
        <f t="shared" si="31"/>
        <v>421694.86</v>
      </c>
      <c r="F298" s="26">
        <f>510000+8169.96-277777.94+1567.67+11545.14+5208.44+11570.5-11570.5+162981.59</f>
        <v>421694.86</v>
      </c>
      <c r="G298" s="26">
        <v>0</v>
      </c>
      <c r="H298" s="26">
        <v>0</v>
      </c>
      <c r="I298" s="26">
        <v>0</v>
      </c>
      <c r="J298" s="59">
        <f t="shared" si="32"/>
        <v>0</v>
      </c>
      <c r="K298" s="26">
        <v>0</v>
      </c>
      <c r="L298" s="26">
        <v>0</v>
      </c>
      <c r="M298" s="26">
        <v>0</v>
      </c>
      <c r="N298" s="26">
        <v>0</v>
      </c>
      <c r="O298" s="26">
        <v>0</v>
      </c>
      <c r="P298" s="25">
        <f t="shared" si="27"/>
        <v>421694.86</v>
      </c>
    </row>
    <row r="299" spans="1:16" s="11" customFormat="1" ht="123.75">
      <c r="A299" s="22"/>
      <c r="B299" s="23"/>
      <c r="C299" s="24"/>
      <c r="D299" s="90" t="s">
        <v>505</v>
      </c>
      <c r="E299" s="59">
        <f t="shared" si="31"/>
        <v>421694.86</v>
      </c>
      <c r="F299" s="26">
        <f>F298</f>
        <v>421694.86</v>
      </c>
      <c r="G299" s="26"/>
      <c r="H299" s="26"/>
      <c r="I299" s="26"/>
      <c r="J299" s="59">
        <f t="shared" si="32"/>
        <v>0</v>
      </c>
      <c r="K299" s="26"/>
      <c r="L299" s="26"/>
      <c r="M299" s="26"/>
      <c r="N299" s="26"/>
      <c r="O299" s="26"/>
      <c r="P299" s="25">
        <f t="shared" si="27"/>
        <v>421694.86</v>
      </c>
    </row>
    <row r="300" spans="1:16" s="11" customFormat="1" ht="41.25">
      <c r="A300" s="22" t="s">
        <v>444</v>
      </c>
      <c r="B300" s="23" t="s">
        <v>234</v>
      </c>
      <c r="C300" s="24" t="s">
        <v>226</v>
      </c>
      <c r="D300" s="75" t="s">
        <v>235</v>
      </c>
      <c r="E300" s="59">
        <f t="shared" si="31"/>
        <v>127442094.18</v>
      </c>
      <c r="F300" s="26">
        <f>79171600-144770.19+8489138.19-24406.3-269604.08-2785530.3+161979.12-161979.12+45829454.64-2823787.78</f>
        <v>127442094.18</v>
      </c>
      <c r="G300" s="26">
        <v>0</v>
      </c>
      <c r="H300" s="26">
        <v>0</v>
      </c>
      <c r="I300" s="26">
        <v>0</v>
      </c>
      <c r="J300" s="59">
        <f t="shared" si="32"/>
        <v>0</v>
      </c>
      <c r="K300" s="26">
        <v>0</v>
      </c>
      <c r="L300" s="26">
        <v>0</v>
      </c>
      <c r="M300" s="26">
        <v>0</v>
      </c>
      <c r="N300" s="26">
        <v>0</v>
      </c>
      <c r="O300" s="26">
        <v>0</v>
      </c>
      <c r="P300" s="25">
        <f t="shared" si="27"/>
        <v>127442094.18</v>
      </c>
    </row>
    <row r="301" spans="1:16" s="11" customFormat="1" ht="123.75">
      <c r="A301" s="22"/>
      <c r="B301" s="23"/>
      <c r="C301" s="24"/>
      <c r="D301" s="90" t="s">
        <v>505</v>
      </c>
      <c r="E301" s="59">
        <f t="shared" si="31"/>
        <v>127442094.18</v>
      </c>
      <c r="F301" s="26">
        <f>F300</f>
        <v>127442094.18</v>
      </c>
      <c r="G301" s="26"/>
      <c r="H301" s="26"/>
      <c r="I301" s="26"/>
      <c r="J301" s="59">
        <f t="shared" si="32"/>
        <v>0</v>
      </c>
      <c r="K301" s="26"/>
      <c r="L301" s="26"/>
      <c r="M301" s="26"/>
      <c r="N301" s="26"/>
      <c r="O301" s="26"/>
      <c r="P301" s="25">
        <f t="shared" si="27"/>
        <v>127442094.18</v>
      </c>
    </row>
    <row r="302" spans="1:17" s="11" customFormat="1" ht="41.25">
      <c r="A302" s="16" t="s">
        <v>445</v>
      </c>
      <c r="B302" s="17"/>
      <c r="C302" s="18"/>
      <c r="D302" s="88" t="s">
        <v>236</v>
      </c>
      <c r="E302" s="57">
        <f>F302+I302</f>
        <v>118995.27</v>
      </c>
      <c r="F302" s="19">
        <f>F303+F305+F307</f>
        <v>118995.27</v>
      </c>
      <c r="G302" s="19">
        <f>G303+G305+G307</f>
        <v>0</v>
      </c>
      <c r="H302" s="19">
        <f>H303+H305+H307</f>
        <v>0</v>
      </c>
      <c r="I302" s="19">
        <f>I303+I305+I307</f>
        <v>0</v>
      </c>
      <c r="J302" s="57">
        <f>K302+N302</f>
        <v>0</v>
      </c>
      <c r="K302" s="19">
        <f>K303+K305+K307</f>
        <v>0</v>
      </c>
      <c r="L302" s="19">
        <f>L303+L305+L307</f>
        <v>0</v>
      </c>
      <c r="M302" s="19">
        <f>M303+M305+M307</f>
        <v>0</v>
      </c>
      <c r="N302" s="19">
        <f>N303+N305+N307</f>
        <v>0</v>
      </c>
      <c r="O302" s="19">
        <f>O303+O305+O307</f>
        <v>0</v>
      </c>
      <c r="P302" s="19">
        <f t="shared" si="27"/>
        <v>118995.27</v>
      </c>
      <c r="Q302" s="108"/>
    </row>
    <row r="303" spans="1:16" s="11" customFormat="1" ht="207">
      <c r="A303" s="22" t="s">
        <v>446</v>
      </c>
      <c r="B303" s="23" t="s">
        <v>237</v>
      </c>
      <c r="C303" s="24" t="s">
        <v>186</v>
      </c>
      <c r="D303" s="87" t="s">
        <v>486</v>
      </c>
      <c r="E303" s="59">
        <f t="shared" si="31"/>
        <v>7031.55</v>
      </c>
      <c r="F303" s="26">
        <f>8200-2718.25+1549.8</f>
        <v>7031.55</v>
      </c>
      <c r="G303" s="26">
        <v>0</v>
      </c>
      <c r="H303" s="26">
        <v>0</v>
      </c>
      <c r="I303" s="26">
        <v>0</v>
      </c>
      <c r="J303" s="59">
        <f t="shared" si="32"/>
        <v>0</v>
      </c>
      <c r="K303" s="26">
        <v>0</v>
      </c>
      <c r="L303" s="26">
        <v>0</v>
      </c>
      <c r="M303" s="26">
        <v>0</v>
      </c>
      <c r="N303" s="26">
        <v>0</v>
      </c>
      <c r="O303" s="26">
        <v>0</v>
      </c>
      <c r="P303" s="25">
        <f t="shared" si="27"/>
        <v>7031.55</v>
      </c>
    </row>
    <row r="304" spans="1:16" s="11" customFormat="1" ht="69">
      <c r="A304" s="22"/>
      <c r="B304" s="23"/>
      <c r="C304" s="24"/>
      <c r="D304" s="11" t="s">
        <v>504</v>
      </c>
      <c r="E304" s="59">
        <f t="shared" si="31"/>
        <v>7031.55</v>
      </c>
      <c r="F304" s="26">
        <f>F303</f>
        <v>7031.55</v>
      </c>
      <c r="G304" s="26"/>
      <c r="H304" s="26"/>
      <c r="I304" s="26"/>
      <c r="J304" s="59">
        <f t="shared" si="32"/>
        <v>0</v>
      </c>
      <c r="K304" s="26"/>
      <c r="L304" s="26"/>
      <c r="M304" s="26"/>
      <c r="N304" s="26"/>
      <c r="O304" s="26"/>
      <c r="P304" s="25">
        <f t="shared" si="27"/>
        <v>7031.55</v>
      </c>
    </row>
    <row r="305" spans="1:16" s="11" customFormat="1" ht="41.25">
      <c r="A305" s="22" t="s">
        <v>447</v>
      </c>
      <c r="B305" s="23" t="s">
        <v>238</v>
      </c>
      <c r="C305" s="24" t="s">
        <v>189</v>
      </c>
      <c r="D305" s="87" t="s">
        <v>239</v>
      </c>
      <c r="E305" s="59">
        <f t="shared" si="31"/>
        <v>1223.2</v>
      </c>
      <c r="F305" s="26">
        <f>1800-576.8</f>
        <v>1223.2</v>
      </c>
      <c r="G305" s="26">
        <v>0</v>
      </c>
      <c r="H305" s="26">
        <v>0</v>
      </c>
      <c r="I305" s="26">
        <v>0</v>
      </c>
      <c r="J305" s="59">
        <f t="shared" si="32"/>
        <v>0</v>
      </c>
      <c r="K305" s="26">
        <v>0</v>
      </c>
      <c r="L305" s="26">
        <v>0</v>
      </c>
      <c r="M305" s="26">
        <v>0</v>
      </c>
      <c r="N305" s="26">
        <v>0</v>
      </c>
      <c r="O305" s="26">
        <v>0</v>
      </c>
      <c r="P305" s="25">
        <f t="shared" si="27"/>
        <v>1223.2</v>
      </c>
    </row>
    <row r="306" spans="1:16" s="11" customFormat="1" ht="69">
      <c r="A306" s="22"/>
      <c r="B306" s="23"/>
      <c r="C306" s="24"/>
      <c r="D306" s="11" t="s">
        <v>504</v>
      </c>
      <c r="E306" s="59">
        <f t="shared" si="31"/>
        <v>1223.2</v>
      </c>
      <c r="F306" s="26">
        <f>F305</f>
        <v>1223.2</v>
      </c>
      <c r="G306" s="26"/>
      <c r="H306" s="26"/>
      <c r="I306" s="26"/>
      <c r="J306" s="59">
        <f t="shared" si="32"/>
        <v>0</v>
      </c>
      <c r="K306" s="26"/>
      <c r="L306" s="26"/>
      <c r="M306" s="26"/>
      <c r="N306" s="26"/>
      <c r="O306" s="26"/>
      <c r="P306" s="25">
        <f t="shared" si="27"/>
        <v>1223.2</v>
      </c>
    </row>
    <row r="307" spans="1:16" s="11" customFormat="1" ht="54.75">
      <c r="A307" s="22" t="s">
        <v>448</v>
      </c>
      <c r="B307" s="23" t="s">
        <v>240</v>
      </c>
      <c r="C307" s="24" t="s">
        <v>226</v>
      </c>
      <c r="D307" s="87" t="s">
        <v>241</v>
      </c>
      <c r="E307" s="59">
        <f t="shared" si="31"/>
        <v>110740.52</v>
      </c>
      <c r="F307" s="26">
        <f>70100+10000+19813.52+11800-973</f>
        <v>110740.52</v>
      </c>
      <c r="G307" s="26">
        <v>0</v>
      </c>
      <c r="H307" s="26">
        <v>0</v>
      </c>
      <c r="I307" s="26">
        <v>0</v>
      </c>
      <c r="J307" s="59">
        <f t="shared" si="32"/>
        <v>0</v>
      </c>
      <c r="K307" s="26">
        <v>0</v>
      </c>
      <c r="L307" s="26">
        <v>0</v>
      </c>
      <c r="M307" s="26">
        <v>0</v>
      </c>
      <c r="N307" s="26">
        <v>0</v>
      </c>
      <c r="O307" s="26">
        <v>0</v>
      </c>
      <c r="P307" s="25">
        <f t="shared" si="27"/>
        <v>110740.52</v>
      </c>
    </row>
    <row r="308" spans="1:16" s="11" customFormat="1" ht="69">
      <c r="A308" s="22"/>
      <c r="B308" s="23"/>
      <c r="C308" s="24"/>
      <c r="D308" s="11" t="s">
        <v>504</v>
      </c>
      <c r="E308" s="59">
        <f t="shared" si="31"/>
        <v>110740.52</v>
      </c>
      <c r="F308" s="26">
        <f>F307</f>
        <v>110740.52</v>
      </c>
      <c r="G308" s="26"/>
      <c r="H308" s="26"/>
      <c r="I308" s="26"/>
      <c r="J308" s="59">
        <f t="shared" si="32"/>
        <v>0</v>
      </c>
      <c r="K308" s="26"/>
      <c r="L308" s="26"/>
      <c r="M308" s="26"/>
      <c r="N308" s="26"/>
      <c r="O308" s="26"/>
      <c r="P308" s="25">
        <f t="shared" si="27"/>
        <v>110740.52</v>
      </c>
    </row>
    <row r="309" spans="1:17" s="11" customFormat="1" ht="54.75">
      <c r="A309" s="16" t="s">
        <v>449</v>
      </c>
      <c r="B309" s="17"/>
      <c r="C309" s="18"/>
      <c r="D309" s="88" t="s">
        <v>242</v>
      </c>
      <c r="E309" s="57">
        <f>F309+I309</f>
        <v>81460900</v>
      </c>
      <c r="F309" s="19">
        <f>F310+F312+F314+F316+F318+F320+F322+F324+F326</f>
        <v>81460900</v>
      </c>
      <c r="G309" s="19">
        <f>G310+G312+G314+G316+G318+G320+G322+G324+G326</f>
        <v>0</v>
      </c>
      <c r="H309" s="19">
        <f>H310+H312+H314+H316+H318+H320+H322+H324+H326</f>
        <v>0</v>
      </c>
      <c r="I309" s="19">
        <f>I310+I312+I314+I316+I318+I320+I322+I324+I326</f>
        <v>0</v>
      </c>
      <c r="J309" s="57">
        <f>K309+N309</f>
        <v>0</v>
      </c>
      <c r="K309" s="19">
        <f>K310+K312+K314+K316+K318+K320+K322+K324+K326</f>
        <v>0</v>
      </c>
      <c r="L309" s="19">
        <f>L310+L312+L314+L316+L318+L320+L322+L324+L326</f>
        <v>0</v>
      </c>
      <c r="M309" s="19">
        <f>M310+M312+M314+M316+M318+M320+M322+M324+M326</f>
        <v>0</v>
      </c>
      <c r="N309" s="19">
        <f>N310+N312+N314+N316+N318+N320+N322+N324+N326</f>
        <v>0</v>
      </c>
      <c r="O309" s="19">
        <f>O310+O312+O314+O316+O318+O320+O322+O324+O326</f>
        <v>0</v>
      </c>
      <c r="P309" s="19">
        <f t="shared" si="27"/>
        <v>81460900</v>
      </c>
      <c r="Q309" s="108"/>
    </row>
    <row r="310" spans="1:16" s="11" customFormat="1" ht="27">
      <c r="A310" s="22" t="s">
        <v>450</v>
      </c>
      <c r="B310" s="23" t="s">
        <v>243</v>
      </c>
      <c r="C310" s="24" t="s">
        <v>57</v>
      </c>
      <c r="D310" s="87" t="s">
        <v>244</v>
      </c>
      <c r="E310" s="59">
        <f t="shared" si="31"/>
        <v>788100</v>
      </c>
      <c r="F310" s="26">
        <f>1288100-500000</f>
        <v>788100</v>
      </c>
      <c r="G310" s="26">
        <v>0</v>
      </c>
      <c r="H310" s="26">
        <v>0</v>
      </c>
      <c r="I310" s="26">
        <v>0</v>
      </c>
      <c r="J310" s="59">
        <f t="shared" si="32"/>
        <v>0</v>
      </c>
      <c r="K310" s="26">
        <v>0</v>
      </c>
      <c r="L310" s="26">
        <v>0</v>
      </c>
      <c r="M310" s="26">
        <v>0</v>
      </c>
      <c r="N310" s="26">
        <v>0</v>
      </c>
      <c r="O310" s="26">
        <v>0</v>
      </c>
      <c r="P310" s="25">
        <f t="shared" si="27"/>
        <v>788100</v>
      </c>
    </row>
    <row r="311" spans="1:16" s="11" customFormat="1" ht="110.25" customHeight="1">
      <c r="A311" s="22"/>
      <c r="B311" s="23"/>
      <c r="C311" s="24"/>
      <c r="D311" s="11" t="s">
        <v>503</v>
      </c>
      <c r="E311" s="59">
        <f t="shared" si="31"/>
        <v>788100</v>
      </c>
      <c r="F311" s="26">
        <f>F310</f>
        <v>788100</v>
      </c>
      <c r="G311" s="26"/>
      <c r="H311" s="26"/>
      <c r="I311" s="26"/>
      <c r="J311" s="59">
        <f t="shared" si="32"/>
        <v>0</v>
      </c>
      <c r="K311" s="26"/>
      <c r="L311" s="26"/>
      <c r="M311" s="26"/>
      <c r="N311" s="26"/>
      <c r="O311" s="26"/>
      <c r="P311" s="25">
        <f t="shared" si="27"/>
        <v>788100</v>
      </c>
    </row>
    <row r="312" spans="1:16" s="11" customFormat="1" ht="27">
      <c r="A312" s="22" t="s">
        <v>451</v>
      </c>
      <c r="B312" s="23" t="s">
        <v>245</v>
      </c>
      <c r="C312" s="24" t="s">
        <v>57</v>
      </c>
      <c r="D312" s="87" t="s">
        <v>530</v>
      </c>
      <c r="E312" s="59">
        <f t="shared" si="31"/>
        <v>88900</v>
      </c>
      <c r="F312" s="26">
        <f>528900-440000</f>
        <v>88900</v>
      </c>
      <c r="G312" s="26">
        <v>0</v>
      </c>
      <c r="H312" s="26">
        <v>0</v>
      </c>
      <c r="I312" s="26">
        <v>0</v>
      </c>
      <c r="J312" s="59">
        <f t="shared" si="32"/>
        <v>0</v>
      </c>
      <c r="K312" s="26">
        <v>0</v>
      </c>
      <c r="L312" s="26">
        <v>0</v>
      </c>
      <c r="M312" s="26">
        <v>0</v>
      </c>
      <c r="N312" s="26">
        <v>0</v>
      </c>
      <c r="O312" s="26">
        <v>0</v>
      </c>
      <c r="P312" s="25">
        <f t="shared" si="27"/>
        <v>88900</v>
      </c>
    </row>
    <row r="313" spans="1:16" s="11" customFormat="1" ht="117" customHeight="1">
      <c r="A313" s="22"/>
      <c r="B313" s="23"/>
      <c r="C313" s="24"/>
      <c r="D313" s="11" t="s">
        <v>503</v>
      </c>
      <c r="E313" s="59">
        <f t="shared" si="31"/>
        <v>88900</v>
      </c>
      <c r="F313" s="26">
        <f>F312</f>
        <v>88900</v>
      </c>
      <c r="G313" s="26"/>
      <c r="H313" s="26"/>
      <c r="I313" s="26"/>
      <c r="J313" s="59">
        <f t="shared" si="32"/>
        <v>0</v>
      </c>
      <c r="K313" s="26"/>
      <c r="L313" s="26"/>
      <c r="M313" s="26"/>
      <c r="N313" s="26"/>
      <c r="O313" s="26"/>
      <c r="P313" s="25">
        <f t="shared" si="27"/>
        <v>88900</v>
      </c>
    </row>
    <row r="314" spans="1:16" s="11" customFormat="1" ht="13.5">
      <c r="A314" s="22" t="s">
        <v>452</v>
      </c>
      <c r="B314" s="23" t="s">
        <v>246</v>
      </c>
      <c r="C314" s="24" t="s">
        <v>57</v>
      </c>
      <c r="D314" s="87" t="s">
        <v>247</v>
      </c>
      <c r="E314" s="59">
        <f t="shared" si="31"/>
        <v>40104150</v>
      </c>
      <c r="F314" s="26">
        <f>41404150-1300000</f>
        <v>40104150</v>
      </c>
      <c r="G314" s="26">
        <v>0</v>
      </c>
      <c r="H314" s="26">
        <v>0</v>
      </c>
      <c r="I314" s="26">
        <v>0</v>
      </c>
      <c r="J314" s="59">
        <f t="shared" si="32"/>
        <v>0</v>
      </c>
      <c r="K314" s="26">
        <v>0</v>
      </c>
      <c r="L314" s="26">
        <v>0</v>
      </c>
      <c r="M314" s="26">
        <v>0</v>
      </c>
      <c r="N314" s="26">
        <v>0</v>
      </c>
      <c r="O314" s="26">
        <v>0</v>
      </c>
      <c r="P314" s="25">
        <f t="shared" si="27"/>
        <v>40104150</v>
      </c>
    </row>
    <row r="315" spans="1:16" s="11" customFormat="1" ht="111.75" customHeight="1">
      <c r="A315" s="22"/>
      <c r="B315" s="23"/>
      <c r="C315" s="24"/>
      <c r="D315" s="11" t="s">
        <v>503</v>
      </c>
      <c r="E315" s="59">
        <f t="shared" si="31"/>
        <v>40104150</v>
      </c>
      <c r="F315" s="26">
        <f>F314</f>
        <v>40104150</v>
      </c>
      <c r="G315" s="26"/>
      <c r="H315" s="26"/>
      <c r="I315" s="26"/>
      <c r="J315" s="59">
        <f t="shared" si="32"/>
        <v>0</v>
      </c>
      <c r="K315" s="26"/>
      <c r="L315" s="26"/>
      <c r="M315" s="26"/>
      <c r="N315" s="26"/>
      <c r="O315" s="26"/>
      <c r="P315" s="25">
        <f t="shared" si="27"/>
        <v>40104150</v>
      </c>
    </row>
    <row r="316" spans="1:16" s="11" customFormat="1" ht="27">
      <c r="A316" s="22" t="s">
        <v>453</v>
      </c>
      <c r="B316" s="23" t="s">
        <v>248</v>
      </c>
      <c r="C316" s="24" t="s">
        <v>57</v>
      </c>
      <c r="D316" s="87" t="s">
        <v>249</v>
      </c>
      <c r="E316" s="59">
        <f t="shared" si="31"/>
        <v>5500100</v>
      </c>
      <c r="F316" s="26">
        <f>5000100+500000</f>
        <v>5500100</v>
      </c>
      <c r="G316" s="26">
        <v>0</v>
      </c>
      <c r="H316" s="26">
        <v>0</v>
      </c>
      <c r="I316" s="26">
        <v>0</v>
      </c>
      <c r="J316" s="59">
        <f t="shared" si="32"/>
        <v>0</v>
      </c>
      <c r="K316" s="26">
        <v>0</v>
      </c>
      <c r="L316" s="26">
        <v>0</v>
      </c>
      <c r="M316" s="26">
        <v>0</v>
      </c>
      <c r="N316" s="26">
        <v>0</v>
      </c>
      <c r="O316" s="26">
        <v>0</v>
      </c>
      <c r="P316" s="25">
        <f t="shared" si="27"/>
        <v>5500100</v>
      </c>
    </row>
    <row r="317" spans="1:16" s="11" customFormat="1" ht="96">
      <c r="A317" s="22"/>
      <c r="B317" s="23"/>
      <c r="C317" s="24"/>
      <c r="D317" s="11" t="s">
        <v>503</v>
      </c>
      <c r="E317" s="59">
        <f t="shared" si="31"/>
        <v>5500100</v>
      </c>
      <c r="F317" s="26">
        <f>F316</f>
        <v>5500100</v>
      </c>
      <c r="G317" s="26"/>
      <c r="H317" s="26"/>
      <c r="I317" s="26"/>
      <c r="J317" s="59">
        <f t="shared" si="32"/>
        <v>0</v>
      </c>
      <c r="K317" s="26"/>
      <c r="L317" s="26"/>
      <c r="M317" s="26"/>
      <c r="N317" s="26"/>
      <c r="O317" s="26"/>
      <c r="P317" s="25">
        <f t="shared" si="27"/>
        <v>5500100</v>
      </c>
    </row>
    <row r="318" spans="1:16" s="11" customFormat="1" ht="27">
      <c r="A318" s="22" t="s">
        <v>454</v>
      </c>
      <c r="B318" s="23" t="s">
        <v>250</v>
      </c>
      <c r="C318" s="24" t="s">
        <v>57</v>
      </c>
      <c r="D318" s="87" t="s">
        <v>251</v>
      </c>
      <c r="E318" s="59">
        <f t="shared" si="31"/>
        <v>13741500</v>
      </c>
      <c r="F318" s="26">
        <f>12001500+1740000</f>
        <v>13741500</v>
      </c>
      <c r="G318" s="26">
        <v>0</v>
      </c>
      <c r="H318" s="26">
        <v>0</v>
      </c>
      <c r="I318" s="26">
        <v>0</v>
      </c>
      <c r="J318" s="59">
        <f t="shared" si="32"/>
        <v>0</v>
      </c>
      <c r="K318" s="26">
        <v>0</v>
      </c>
      <c r="L318" s="26">
        <v>0</v>
      </c>
      <c r="M318" s="26">
        <v>0</v>
      </c>
      <c r="N318" s="26">
        <v>0</v>
      </c>
      <c r="O318" s="26">
        <v>0</v>
      </c>
      <c r="P318" s="25">
        <f t="shared" si="27"/>
        <v>13741500</v>
      </c>
    </row>
    <row r="319" spans="1:16" s="11" customFormat="1" ht="96">
      <c r="A319" s="22"/>
      <c r="B319" s="23"/>
      <c r="C319" s="24"/>
      <c r="D319" s="11" t="s">
        <v>503</v>
      </c>
      <c r="E319" s="59">
        <f t="shared" si="31"/>
        <v>13741500</v>
      </c>
      <c r="F319" s="26">
        <f>F318</f>
        <v>13741500</v>
      </c>
      <c r="G319" s="26"/>
      <c r="H319" s="26"/>
      <c r="I319" s="26"/>
      <c r="J319" s="59">
        <f t="shared" si="32"/>
        <v>0</v>
      </c>
      <c r="K319" s="26"/>
      <c r="L319" s="26"/>
      <c r="M319" s="26"/>
      <c r="N319" s="26"/>
      <c r="O319" s="26"/>
      <c r="P319" s="25">
        <f t="shared" si="27"/>
        <v>13741500</v>
      </c>
    </row>
    <row r="320" spans="1:16" s="11" customFormat="1" ht="27">
      <c r="A320" s="22" t="s">
        <v>455</v>
      </c>
      <c r="B320" s="23" t="s">
        <v>252</v>
      </c>
      <c r="C320" s="24" t="s">
        <v>57</v>
      </c>
      <c r="D320" s="87" t="s">
        <v>253</v>
      </c>
      <c r="E320" s="59">
        <f t="shared" si="31"/>
        <v>501000</v>
      </c>
      <c r="F320" s="26">
        <v>501000</v>
      </c>
      <c r="G320" s="26">
        <v>0</v>
      </c>
      <c r="H320" s="26">
        <v>0</v>
      </c>
      <c r="I320" s="26">
        <v>0</v>
      </c>
      <c r="J320" s="59">
        <f t="shared" si="32"/>
        <v>0</v>
      </c>
      <c r="K320" s="26">
        <v>0</v>
      </c>
      <c r="L320" s="26">
        <v>0</v>
      </c>
      <c r="M320" s="26">
        <v>0</v>
      </c>
      <c r="N320" s="26">
        <v>0</v>
      </c>
      <c r="O320" s="26">
        <v>0</v>
      </c>
      <c r="P320" s="25">
        <f t="shared" si="27"/>
        <v>501000</v>
      </c>
    </row>
    <row r="321" spans="1:16" s="11" customFormat="1" ht="96">
      <c r="A321" s="22"/>
      <c r="B321" s="23"/>
      <c r="C321" s="24"/>
      <c r="D321" s="11" t="s">
        <v>503</v>
      </c>
      <c r="E321" s="59">
        <f t="shared" si="31"/>
        <v>501000</v>
      </c>
      <c r="F321" s="26">
        <f>F320</f>
        <v>501000</v>
      </c>
      <c r="G321" s="26"/>
      <c r="H321" s="26"/>
      <c r="I321" s="26"/>
      <c r="J321" s="59">
        <f t="shared" si="32"/>
        <v>0</v>
      </c>
      <c r="K321" s="26"/>
      <c r="L321" s="26"/>
      <c r="M321" s="26"/>
      <c r="N321" s="26"/>
      <c r="O321" s="26"/>
      <c r="P321" s="25">
        <f t="shared" si="27"/>
        <v>501000</v>
      </c>
    </row>
    <row r="322" spans="1:16" s="11" customFormat="1" ht="13.5">
      <c r="A322" s="22" t="s">
        <v>456</v>
      </c>
      <c r="B322" s="23" t="s">
        <v>254</v>
      </c>
      <c r="C322" s="24" t="s">
        <v>57</v>
      </c>
      <c r="D322" s="87" t="s">
        <v>255</v>
      </c>
      <c r="E322" s="59">
        <f t="shared" si="31"/>
        <v>220100</v>
      </c>
      <c r="F322" s="26">
        <v>220100</v>
      </c>
      <c r="G322" s="26">
        <v>0</v>
      </c>
      <c r="H322" s="26">
        <v>0</v>
      </c>
      <c r="I322" s="26">
        <v>0</v>
      </c>
      <c r="J322" s="59">
        <f t="shared" si="32"/>
        <v>0</v>
      </c>
      <c r="K322" s="26">
        <v>0</v>
      </c>
      <c r="L322" s="26">
        <v>0</v>
      </c>
      <c r="M322" s="26">
        <v>0</v>
      </c>
      <c r="N322" s="26">
        <v>0</v>
      </c>
      <c r="O322" s="26">
        <v>0</v>
      </c>
      <c r="P322" s="25">
        <f t="shared" si="27"/>
        <v>220100</v>
      </c>
    </row>
    <row r="323" spans="1:16" s="11" customFormat="1" ht="96">
      <c r="A323" s="22"/>
      <c r="B323" s="23"/>
      <c r="C323" s="24"/>
      <c r="D323" s="11" t="s">
        <v>503</v>
      </c>
      <c r="E323" s="59">
        <f t="shared" si="31"/>
        <v>220100</v>
      </c>
      <c r="F323" s="26">
        <f>F322</f>
        <v>220100</v>
      </c>
      <c r="G323" s="26"/>
      <c r="H323" s="26"/>
      <c r="I323" s="26"/>
      <c r="J323" s="59">
        <f t="shared" si="32"/>
        <v>0</v>
      </c>
      <c r="K323" s="26"/>
      <c r="L323" s="26"/>
      <c r="M323" s="26"/>
      <c r="N323" s="26"/>
      <c r="O323" s="26"/>
      <c r="P323" s="25">
        <f t="shared" si="27"/>
        <v>220100</v>
      </c>
    </row>
    <row r="324" spans="1:16" s="11" customFormat="1" ht="27">
      <c r="A324" s="22" t="s">
        <v>457</v>
      </c>
      <c r="B324" s="23" t="s">
        <v>256</v>
      </c>
      <c r="C324" s="24" t="s">
        <v>57</v>
      </c>
      <c r="D324" s="87" t="s">
        <v>257</v>
      </c>
      <c r="E324" s="59">
        <f t="shared" si="31"/>
        <v>7500200</v>
      </c>
      <c r="F324" s="26">
        <v>7500200</v>
      </c>
      <c r="G324" s="26">
        <v>0</v>
      </c>
      <c r="H324" s="26">
        <v>0</v>
      </c>
      <c r="I324" s="26">
        <v>0</v>
      </c>
      <c r="J324" s="59">
        <f t="shared" si="32"/>
        <v>0</v>
      </c>
      <c r="K324" s="26">
        <v>0</v>
      </c>
      <c r="L324" s="26">
        <v>0</v>
      </c>
      <c r="M324" s="26">
        <v>0</v>
      </c>
      <c r="N324" s="26">
        <v>0</v>
      </c>
      <c r="O324" s="26">
        <v>0</v>
      </c>
      <c r="P324" s="25">
        <f t="shared" si="27"/>
        <v>7500200</v>
      </c>
    </row>
    <row r="325" spans="1:16" s="11" customFormat="1" ht="96">
      <c r="A325" s="22"/>
      <c r="B325" s="23"/>
      <c r="C325" s="24"/>
      <c r="D325" s="11" t="s">
        <v>503</v>
      </c>
      <c r="E325" s="59">
        <f t="shared" si="31"/>
        <v>7500200</v>
      </c>
      <c r="F325" s="26">
        <f>F324</f>
        <v>7500200</v>
      </c>
      <c r="G325" s="26"/>
      <c r="H325" s="26"/>
      <c r="I325" s="26"/>
      <c r="J325" s="59">
        <f t="shared" si="32"/>
        <v>0</v>
      </c>
      <c r="K325" s="26"/>
      <c r="L325" s="26"/>
      <c r="M325" s="26"/>
      <c r="N325" s="26"/>
      <c r="O325" s="26"/>
      <c r="P325" s="25">
        <f t="shared" si="27"/>
        <v>7500200</v>
      </c>
    </row>
    <row r="326" spans="1:16" s="11" customFormat="1" ht="27">
      <c r="A326" s="22" t="s">
        <v>458</v>
      </c>
      <c r="B326" s="23" t="s">
        <v>258</v>
      </c>
      <c r="C326" s="24" t="s">
        <v>49</v>
      </c>
      <c r="D326" s="87" t="s">
        <v>259</v>
      </c>
      <c r="E326" s="59">
        <f t="shared" si="31"/>
        <v>13016850</v>
      </c>
      <c r="F326" s="26">
        <v>13016850</v>
      </c>
      <c r="G326" s="26">
        <v>0</v>
      </c>
      <c r="H326" s="26">
        <v>0</v>
      </c>
      <c r="I326" s="26">
        <v>0</v>
      </c>
      <c r="J326" s="59">
        <f t="shared" si="32"/>
        <v>0</v>
      </c>
      <c r="K326" s="26">
        <v>0</v>
      </c>
      <c r="L326" s="26">
        <v>0</v>
      </c>
      <c r="M326" s="26">
        <v>0</v>
      </c>
      <c r="N326" s="26">
        <v>0</v>
      </c>
      <c r="O326" s="26">
        <v>0</v>
      </c>
      <c r="P326" s="25">
        <f t="shared" si="27"/>
        <v>13016850</v>
      </c>
    </row>
    <row r="327" spans="1:16" s="11" customFormat="1" ht="96">
      <c r="A327" s="22"/>
      <c r="B327" s="23"/>
      <c r="C327" s="24"/>
      <c r="D327" s="11" t="s">
        <v>503</v>
      </c>
      <c r="E327" s="59">
        <f t="shared" si="31"/>
        <v>13016850</v>
      </c>
      <c r="F327" s="26">
        <f>F326</f>
        <v>13016850</v>
      </c>
      <c r="G327" s="26"/>
      <c r="H327" s="26"/>
      <c r="I327" s="26"/>
      <c r="J327" s="59">
        <f t="shared" si="32"/>
        <v>0</v>
      </c>
      <c r="K327" s="26"/>
      <c r="L327" s="26"/>
      <c r="M327" s="26"/>
      <c r="N327" s="26"/>
      <c r="O327" s="26"/>
      <c r="P327" s="25">
        <f t="shared" si="27"/>
        <v>13016850</v>
      </c>
    </row>
    <row r="328" spans="1:16" s="11" customFormat="1" ht="41.25">
      <c r="A328" s="3" t="s">
        <v>459</v>
      </c>
      <c r="B328" s="5" t="s">
        <v>260</v>
      </c>
      <c r="C328" s="4" t="s">
        <v>49</v>
      </c>
      <c r="D328" s="73" t="s">
        <v>531</v>
      </c>
      <c r="E328" s="58">
        <f aca="true" t="shared" si="33" ref="E328:E333">F328+I328</f>
        <v>4008000</v>
      </c>
      <c r="F328" s="21">
        <v>4008000</v>
      </c>
      <c r="G328" s="21">
        <v>0</v>
      </c>
      <c r="H328" s="21">
        <v>0</v>
      </c>
      <c r="I328" s="21">
        <v>0</v>
      </c>
      <c r="J328" s="58">
        <f t="shared" si="32"/>
        <v>0</v>
      </c>
      <c r="K328" s="21">
        <v>0</v>
      </c>
      <c r="L328" s="21">
        <v>0</v>
      </c>
      <c r="M328" s="21">
        <v>0</v>
      </c>
      <c r="N328" s="21">
        <v>0</v>
      </c>
      <c r="O328" s="21">
        <v>0</v>
      </c>
      <c r="P328" s="20">
        <f t="shared" si="27"/>
        <v>4008000</v>
      </c>
    </row>
    <row r="329" spans="1:16" s="11" customFormat="1" ht="96">
      <c r="A329" s="22"/>
      <c r="B329" s="23"/>
      <c r="C329" s="24"/>
      <c r="D329" s="11" t="s">
        <v>503</v>
      </c>
      <c r="E329" s="59">
        <f t="shared" si="33"/>
        <v>4008000</v>
      </c>
      <c r="F329" s="26">
        <f>F328</f>
        <v>4008000</v>
      </c>
      <c r="G329" s="26"/>
      <c r="H329" s="26"/>
      <c r="I329" s="26"/>
      <c r="J329" s="59">
        <f t="shared" si="32"/>
        <v>0</v>
      </c>
      <c r="K329" s="26"/>
      <c r="L329" s="26"/>
      <c r="M329" s="26"/>
      <c r="N329" s="26"/>
      <c r="O329" s="26"/>
      <c r="P329" s="25">
        <f t="shared" si="27"/>
        <v>4008000</v>
      </c>
    </row>
    <row r="330" spans="1:17" s="11" customFormat="1" ht="48.75" customHeight="1">
      <c r="A330" s="16" t="s">
        <v>460</v>
      </c>
      <c r="B330" s="17"/>
      <c r="C330" s="18"/>
      <c r="D330" s="74" t="s">
        <v>261</v>
      </c>
      <c r="E330" s="57">
        <f t="shared" si="33"/>
        <v>5778500</v>
      </c>
      <c r="F330" s="19">
        <f>F331</f>
        <v>5778500</v>
      </c>
      <c r="G330" s="19">
        <f>G331</f>
        <v>4270080</v>
      </c>
      <c r="H330" s="19">
        <f>H331</f>
        <v>367000</v>
      </c>
      <c r="I330" s="19">
        <f>I331</f>
        <v>0</v>
      </c>
      <c r="J330" s="57">
        <f t="shared" si="32"/>
        <v>55000</v>
      </c>
      <c r="K330" s="19">
        <f>K331</f>
        <v>55000</v>
      </c>
      <c r="L330" s="19">
        <f>L331</f>
        <v>38900</v>
      </c>
      <c r="M330" s="19">
        <f>M331</f>
        <v>0</v>
      </c>
      <c r="N330" s="19">
        <f>N331</f>
        <v>0</v>
      </c>
      <c r="O330" s="19">
        <f>O331</f>
        <v>0</v>
      </c>
      <c r="P330" s="19">
        <f t="shared" si="27"/>
        <v>5833500</v>
      </c>
      <c r="Q330" s="108"/>
    </row>
    <row r="331" spans="1:16" s="11" customFormat="1" ht="61.5" customHeight="1">
      <c r="A331" s="22" t="s">
        <v>461</v>
      </c>
      <c r="B331" s="23" t="s">
        <v>262</v>
      </c>
      <c r="C331" s="24" t="s">
        <v>53</v>
      </c>
      <c r="D331" s="75" t="s">
        <v>263</v>
      </c>
      <c r="E331" s="59">
        <f t="shared" si="33"/>
        <v>5778500</v>
      </c>
      <c r="F331" s="26">
        <v>5778500</v>
      </c>
      <c r="G331" s="26">
        <v>4270080</v>
      </c>
      <c r="H331" s="26">
        <v>367000</v>
      </c>
      <c r="I331" s="26">
        <v>0</v>
      </c>
      <c r="J331" s="59">
        <f t="shared" si="32"/>
        <v>55000</v>
      </c>
      <c r="K331" s="26">
        <v>55000</v>
      </c>
      <c r="L331" s="26">
        <v>38900</v>
      </c>
      <c r="M331" s="26">
        <v>0</v>
      </c>
      <c r="N331" s="26">
        <v>0</v>
      </c>
      <c r="O331" s="26">
        <v>0</v>
      </c>
      <c r="P331" s="25">
        <f t="shared" si="27"/>
        <v>5833500</v>
      </c>
    </row>
    <row r="332" spans="1:17" s="11" customFormat="1" ht="69">
      <c r="A332" s="16" t="s">
        <v>462</v>
      </c>
      <c r="B332" s="17"/>
      <c r="C332" s="18"/>
      <c r="D332" s="74" t="s">
        <v>264</v>
      </c>
      <c r="E332" s="57">
        <f t="shared" si="33"/>
        <v>322700</v>
      </c>
      <c r="F332" s="19">
        <f>F333</f>
        <v>322700</v>
      </c>
      <c r="G332" s="19">
        <f>G333</f>
        <v>0</v>
      </c>
      <c r="H332" s="19">
        <f>H333</f>
        <v>0</v>
      </c>
      <c r="I332" s="19">
        <f>I333</f>
        <v>0</v>
      </c>
      <c r="J332" s="57">
        <f t="shared" si="32"/>
        <v>0</v>
      </c>
      <c r="K332" s="19">
        <f>K333</f>
        <v>0</v>
      </c>
      <c r="L332" s="19">
        <f>L333</f>
        <v>0</v>
      </c>
      <c r="M332" s="19">
        <f>M333</f>
        <v>0</v>
      </c>
      <c r="N332" s="19">
        <f>N333</f>
        <v>0</v>
      </c>
      <c r="O332" s="19">
        <f>O333</f>
        <v>0</v>
      </c>
      <c r="P332" s="19">
        <f t="shared" si="27"/>
        <v>322700</v>
      </c>
      <c r="Q332" s="108"/>
    </row>
    <row r="333" spans="1:16" s="11" customFormat="1" ht="84.75" customHeight="1">
      <c r="A333" s="22" t="s">
        <v>463</v>
      </c>
      <c r="B333" s="23" t="s">
        <v>265</v>
      </c>
      <c r="C333" s="24" t="s">
        <v>49</v>
      </c>
      <c r="D333" s="75" t="s">
        <v>266</v>
      </c>
      <c r="E333" s="59">
        <f t="shared" si="33"/>
        <v>322700</v>
      </c>
      <c r="F333" s="26">
        <v>322700</v>
      </c>
      <c r="G333" s="26">
        <v>0</v>
      </c>
      <c r="H333" s="26">
        <v>0</v>
      </c>
      <c r="I333" s="26">
        <v>0</v>
      </c>
      <c r="J333" s="59">
        <f t="shared" si="32"/>
        <v>0</v>
      </c>
      <c r="K333" s="26">
        <v>0</v>
      </c>
      <c r="L333" s="26">
        <v>0</v>
      </c>
      <c r="M333" s="26">
        <v>0</v>
      </c>
      <c r="N333" s="26">
        <v>0</v>
      </c>
      <c r="O333" s="26">
        <v>0</v>
      </c>
      <c r="P333" s="25">
        <f t="shared" si="27"/>
        <v>322700</v>
      </c>
    </row>
    <row r="334" spans="1:17" s="11" customFormat="1" ht="96" customHeight="1">
      <c r="A334" s="3" t="s">
        <v>464</v>
      </c>
      <c r="B334" s="5" t="s">
        <v>267</v>
      </c>
      <c r="C334" s="4" t="s">
        <v>226</v>
      </c>
      <c r="D334" s="73" t="s">
        <v>268</v>
      </c>
      <c r="E334" s="58">
        <f aca="true" t="shared" si="34" ref="E334:E343">F334+I334</f>
        <v>224600</v>
      </c>
      <c r="F334" s="21">
        <f>609600-385000</f>
        <v>224600</v>
      </c>
      <c r="G334" s="21">
        <v>0</v>
      </c>
      <c r="H334" s="21">
        <v>0</v>
      </c>
      <c r="I334" s="21">
        <v>0</v>
      </c>
      <c r="J334" s="58">
        <f aca="true" t="shared" si="35" ref="J334:J343">K334+N334</f>
        <v>0</v>
      </c>
      <c r="K334" s="21">
        <v>0</v>
      </c>
      <c r="L334" s="21">
        <v>0</v>
      </c>
      <c r="M334" s="21">
        <v>0</v>
      </c>
      <c r="N334" s="21">
        <v>0</v>
      </c>
      <c r="O334" s="21">
        <v>0</v>
      </c>
      <c r="P334" s="20">
        <f t="shared" si="27"/>
        <v>224600</v>
      </c>
      <c r="Q334" s="108"/>
    </row>
    <row r="335" spans="1:17" s="11" customFormat="1" ht="27">
      <c r="A335" s="16" t="s">
        <v>465</v>
      </c>
      <c r="B335" s="17"/>
      <c r="C335" s="18"/>
      <c r="D335" s="74" t="s">
        <v>211</v>
      </c>
      <c r="E335" s="57">
        <f t="shared" si="34"/>
        <v>56000</v>
      </c>
      <c r="F335" s="19">
        <f>F336</f>
        <v>56000</v>
      </c>
      <c r="G335" s="19">
        <f>G336</f>
        <v>0</v>
      </c>
      <c r="H335" s="19">
        <f>H336</f>
        <v>0</v>
      </c>
      <c r="I335" s="19">
        <f>I336</f>
        <v>0</v>
      </c>
      <c r="J335" s="57">
        <f t="shared" si="35"/>
        <v>0</v>
      </c>
      <c r="K335" s="19">
        <f>K336</f>
        <v>0</v>
      </c>
      <c r="L335" s="19">
        <f>L336</f>
        <v>0</v>
      </c>
      <c r="M335" s="19">
        <f>M336</f>
        <v>0</v>
      </c>
      <c r="N335" s="19">
        <f>N336</f>
        <v>0</v>
      </c>
      <c r="O335" s="19">
        <f>O336</f>
        <v>0</v>
      </c>
      <c r="P335" s="19">
        <f t="shared" si="27"/>
        <v>56000</v>
      </c>
      <c r="Q335" s="108"/>
    </row>
    <row r="336" spans="1:16" s="11" customFormat="1" ht="41.25">
      <c r="A336" s="22" t="s">
        <v>466</v>
      </c>
      <c r="B336" s="23" t="s">
        <v>213</v>
      </c>
      <c r="C336" s="24" t="s">
        <v>186</v>
      </c>
      <c r="D336" s="75" t="s">
        <v>214</v>
      </c>
      <c r="E336" s="59">
        <f t="shared" si="34"/>
        <v>56000</v>
      </c>
      <c r="F336" s="26">
        <f>55000+1000</f>
        <v>56000</v>
      </c>
      <c r="G336" s="26">
        <v>0</v>
      </c>
      <c r="H336" s="26">
        <v>0</v>
      </c>
      <c r="I336" s="26">
        <v>0</v>
      </c>
      <c r="J336" s="59">
        <f t="shared" si="35"/>
        <v>0</v>
      </c>
      <c r="K336" s="26">
        <v>0</v>
      </c>
      <c r="L336" s="26">
        <v>0</v>
      </c>
      <c r="M336" s="26">
        <v>0</v>
      </c>
      <c r="N336" s="26">
        <v>0</v>
      </c>
      <c r="O336" s="26">
        <v>0</v>
      </c>
      <c r="P336" s="25">
        <f t="shared" si="27"/>
        <v>56000</v>
      </c>
    </row>
    <row r="337" spans="1:17" s="11" customFormat="1" ht="27">
      <c r="A337" s="3" t="s">
        <v>467</v>
      </c>
      <c r="B337" s="5" t="s">
        <v>219</v>
      </c>
      <c r="C337" s="4" t="s">
        <v>61</v>
      </c>
      <c r="D337" s="73" t="s">
        <v>220</v>
      </c>
      <c r="E337" s="58">
        <f t="shared" si="34"/>
        <v>15800</v>
      </c>
      <c r="F337" s="21">
        <v>15800</v>
      </c>
      <c r="G337" s="21">
        <v>0</v>
      </c>
      <c r="H337" s="21">
        <v>0</v>
      </c>
      <c r="I337" s="21">
        <v>0</v>
      </c>
      <c r="J337" s="58">
        <f t="shared" si="35"/>
        <v>0</v>
      </c>
      <c r="K337" s="21">
        <v>0</v>
      </c>
      <c r="L337" s="21">
        <v>0</v>
      </c>
      <c r="M337" s="21">
        <v>0</v>
      </c>
      <c r="N337" s="21">
        <v>0</v>
      </c>
      <c r="O337" s="21">
        <v>0</v>
      </c>
      <c r="P337" s="20">
        <f t="shared" si="27"/>
        <v>15800</v>
      </c>
      <c r="Q337" s="108"/>
    </row>
    <row r="338" spans="1:17" s="98" customFormat="1" ht="28.5" customHeight="1">
      <c r="A338" s="66" t="s">
        <v>269</v>
      </c>
      <c r="B338" s="67"/>
      <c r="C338" s="68"/>
      <c r="D338" s="72" t="s">
        <v>270</v>
      </c>
      <c r="E338" s="69">
        <f t="shared" si="34"/>
        <v>7493867</v>
      </c>
      <c r="F338" s="70">
        <f>F339+F346+F350+F354</f>
        <v>7493867</v>
      </c>
      <c r="G338" s="70">
        <f>G339+G346+G350+G354</f>
        <v>4824907</v>
      </c>
      <c r="H338" s="70">
        <f>H339+H346+H350+H354</f>
        <v>497707</v>
      </c>
      <c r="I338" s="70">
        <f>I339+I346+I350+I354</f>
        <v>0</v>
      </c>
      <c r="J338" s="69">
        <f t="shared" si="35"/>
        <v>500000</v>
      </c>
      <c r="K338" s="70">
        <v>0</v>
      </c>
      <c r="L338" s="70">
        <v>0</v>
      </c>
      <c r="M338" s="70">
        <v>0</v>
      </c>
      <c r="N338" s="70">
        <f>N339</f>
        <v>500000</v>
      </c>
      <c r="O338" s="70">
        <v>500000</v>
      </c>
      <c r="P338" s="70">
        <f>E338+J338</f>
        <v>7993867</v>
      </c>
      <c r="Q338" s="118"/>
    </row>
    <row r="339" spans="1:16" s="99" customFormat="1" ht="13.5">
      <c r="A339" s="27" t="s">
        <v>271</v>
      </c>
      <c r="B339" s="28"/>
      <c r="C339" s="29"/>
      <c r="D339" s="78" t="s">
        <v>471</v>
      </c>
      <c r="E339" s="58">
        <f t="shared" si="34"/>
        <v>4783887</v>
      </c>
      <c r="F339" s="20">
        <f>F340+F342+F345</f>
        <v>4783887</v>
      </c>
      <c r="G339" s="20">
        <f>G340+G342+G345</f>
        <v>2778040</v>
      </c>
      <c r="H339" s="20">
        <f>H340+H342+H345</f>
        <v>395230</v>
      </c>
      <c r="I339" s="20">
        <f>I340+I342+I345</f>
        <v>0</v>
      </c>
      <c r="J339" s="58">
        <f>K339+N339</f>
        <v>500000</v>
      </c>
      <c r="K339" s="20">
        <v>0</v>
      </c>
      <c r="L339" s="20">
        <v>0</v>
      </c>
      <c r="M339" s="20">
        <v>0</v>
      </c>
      <c r="N339" s="20">
        <f>N341</f>
        <v>500000</v>
      </c>
      <c r="O339" s="20">
        <f>O341</f>
        <v>500000</v>
      </c>
      <c r="P339" s="20">
        <f>E339+J339</f>
        <v>5283887</v>
      </c>
    </row>
    <row r="340" spans="1:17" s="11" customFormat="1" ht="27">
      <c r="A340" s="3" t="s">
        <v>272</v>
      </c>
      <c r="B340" s="30" t="s">
        <v>35</v>
      </c>
      <c r="C340" s="30" t="s">
        <v>20</v>
      </c>
      <c r="D340" s="73" t="s">
        <v>535</v>
      </c>
      <c r="E340" s="58">
        <f t="shared" si="34"/>
        <v>1016987</v>
      </c>
      <c r="F340" s="21">
        <f>823560+50900+119924+22603</f>
        <v>1016987</v>
      </c>
      <c r="G340" s="21">
        <f>581199+41700+97924+18527</f>
        <v>739350</v>
      </c>
      <c r="H340" s="21">
        <v>51630</v>
      </c>
      <c r="I340" s="21">
        <v>0</v>
      </c>
      <c r="J340" s="58">
        <f t="shared" si="35"/>
        <v>0</v>
      </c>
      <c r="K340" s="21">
        <v>0</v>
      </c>
      <c r="L340" s="21">
        <v>0</v>
      </c>
      <c r="M340" s="21">
        <v>0</v>
      </c>
      <c r="N340" s="21">
        <v>0</v>
      </c>
      <c r="O340" s="21">
        <v>0</v>
      </c>
      <c r="P340" s="20">
        <f t="shared" si="27"/>
        <v>1016987</v>
      </c>
      <c r="Q340" s="108"/>
    </row>
    <row r="341" spans="1:17" s="11" customFormat="1" ht="88.5" customHeight="1">
      <c r="A341" s="3">
        <v>2011060</v>
      </c>
      <c r="B341" s="5" t="s">
        <v>226</v>
      </c>
      <c r="C341" s="4" t="s">
        <v>48</v>
      </c>
      <c r="D341" s="73" t="s">
        <v>477</v>
      </c>
      <c r="E341" s="58">
        <f t="shared" si="34"/>
        <v>0</v>
      </c>
      <c r="F341" s="21"/>
      <c r="G341" s="21"/>
      <c r="H341" s="21"/>
      <c r="I341" s="21"/>
      <c r="J341" s="58">
        <f t="shared" si="35"/>
        <v>500000</v>
      </c>
      <c r="K341" s="21"/>
      <c r="L341" s="21"/>
      <c r="M341" s="21"/>
      <c r="N341" s="21">
        <v>500000</v>
      </c>
      <c r="O341" s="21">
        <v>500000</v>
      </c>
      <c r="P341" s="20">
        <f t="shared" si="27"/>
        <v>500000</v>
      </c>
      <c r="Q341" s="108"/>
    </row>
    <row r="342" spans="1:17" s="11" customFormat="1" ht="27">
      <c r="A342" s="16" t="s">
        <v>273</v>
      </c>
      <c r="B342" s="17"/>
      <c r="C342" s="18"/>
      <c r="D342" s="74" t="s">
        <v>274</v>
      </c>
      <c r="E342" s="57">
        <f t="shared" si="34"/>
        <v>3721900</v>
      </c>
      <c r="F342" s="19">
        <f>F343+F344</f>
        <v>3721900</v>
      </c>
      <c r="G342" s="19">
        <f>G343+G344</f>
        <v>2038690</v>
      </c>
      <c r="H342" s="19">
        <f>H343+H344</f>
        <v>343600</v>
      </c>
      <c r="I342" s="19">
        <f>I343+I344</f>
        <v>0</v>
      </c>
      <c r="J342" s="57">
        <f t="shared" si="35"/>
        <v>0</v>
      </c>
      <c r="K342" s="19">
        <f>K343+K344</f>
        <v>0</v>
      </c>
      <c r="L342" s="19">
        <f>L343+L344</f>
        <v>0</v>
      </c>
      <c r="M342" s="19">
        <f>M343+M344</f>
        <v>0</v>
      </c>
      <c r="N342" s="19">
        <f>N343+N344</f>
        <v>0</v>
      </c>
      <c r="O342" s="19">
        <f>O343+O344</f>
        <v>0</v>
      </c>
      <c r="P342" s="19">
        <f t="shared" si="27"/>
        <v>3721900</v>
      </c>
      <c r="Q342" s="108"/>
    </row>
    <row r="343" spans="1:16" s="11" customFormat="1" ht="41.25">
      <c r="A343" s="22" t="s">
        <v>275</v>
      </c>
      <c r="B343" s="23" t="s">
        <v>276</v>
      </c>
      <c r="C343" s="24" t="s">
        <v>57</v>
      </c>
      <c r="D343" s="75" t="s">
        <v>277</v>
      </c>
      <c r="E343" s="59">
        <f t="shared" si="34"/>
        <v>3624100</v>
      </c>
      <c r="F343" s="26">
        <v>3624100</v>
      </c>
      <c r="G343" s="26">
        <v>2038690</v>
      </c>
      <c r="H343" s="26">
        <v>343600</v>
      </c>
      <c r="I343" s="26">
        <v>0</v>
      </c>
      <c r="J343" s="59">
        <f t="shared" si="35"/>
        <v>0</v>
      </c>
      <c r="K343" s="26">
        <v>0</v>
      </c>
      <c r="L343" s="26">
        <v>0</v>
      </c>
      <c r="M343" s="26">
        <v>0</v>
      </c>
      <c r="N343" s="26">
        <v>0</v>
      </c>
      <c r="O343" s="26">
        <v>0</v>
      </c>
      <c r="P343" s="25">
        <f t="shared" si="27"/>
        <v>3624100</v>
      </c>
    </row>
    <row r="344" spans="1:16" s="11" customFormat="1" ht="27">
      <c r="A344" s="22" t="s">
        <v>278</v>
      </c>
      <c r="B344" s="23" t="s">
        <v>279</v>
      </c>
      <c r="C344" s="24" t="s">
        <v>57</v>
      </c>
      <c r="D344" s="75" t="s">
        <v>280</v>
      </c>
      <c r="E344" s="59">
        <f aca="true" t="shared" si="36" ref="E344:E353">F344+I344</f>
        <v>97800</v>
      </c>
      <c r="F344" s="26">
        <v>97800</v>
      </c>
      <c r="G344" s="26">
        <v>0</v>
      </c>
      <c r="H344" s="26">
        <v>0</v>
      </c>
      <c r="I344" s="26">
        <v>0</v>
      </c>
      <c r="J344" s="59">
        <f aca="true" t="shared" si="37" ref="J344:J363">K344+N344</f>
        <v>0</v>
      </c>
      <c r="K344" s="26">
        <v>0</v>
      </c>
      <c r="L344" s="26">
        <v>0</v>
      </c>
      <c r="M344" s="26">
        <v>0</v>
      </c>
      <c r="N344" s="26">
        <v>0</v>
      </c>
      <c r="O344" s="26">
        <v>0</v>
      </c>
      <c r="P344" s="25">
        <f t="shared" si="27"/>
        <v>97800</v>
      </c>
    </row>
    <row r="345" spans="1:17" s="53" customFormat="1" ht="13.5">
      <c r="A345" s="3" t="s">
        <v>281</v>
      </c>
      <c r="B345" s="5" t="s">
        <v>84</v>
      </c>
      <c r="C345" s="4" t="s">
        <v>57</v>
      </c>
      <c r="D345" s="73" t="s">
        <v>33</v>
      </c>
      <c r="E345" s="58">
        <f t="shared" si="36"/>
        <v>45000</v>
      </c>
      <c r="F345" s="21">
        <v>45000</v>
      </c>
      <c r="G345" s="21">
        <v>0</v>
      </c>
      <c r="H345" s="21">
        <v>0</v>
      </c>
      <c r="I345" s="21">
        <v>0</v>
      </c>
      <c r="J345" s="58">
        <f t="shared" si="37"/>
        <v>0</v>
      </c>
      <c r="K345" s="21">
        <v>0</v>
      </c>
      <c r="L345" s="21">
        <v>0</v>
      </c>
      <c r="M345" s="21">
        <v>0</v>
      </c>
      <c r="N345" s="21">
        <v>0</v>
      </c>
      <c r="O345" s="21">
        <v>0</v>
      </c>
      <c r="P345" s="20">
        <f t="shared" si="27"/>
        <v>45000</v>
      </c>
      <c r="Q345" s="119"/>
    </row>
    <row r="346" spans="1:17" s="100" customFormat="1" ht="27">
      <c r="A346" s="27" t="s">
        <v>271</v>
      </c>
      <c r="B346" s="28"/>
      <c r="C346" s="29"/>
      <c r="D346" s="78" t="s">
        <v>472</v>
      </c>
      <c r="E346" s="58">
        <f t="shared" si="36"/>
        <v>865824</v>
      </c>
      <c r="F346" s="20">
        <f>F347+F348</f>
        <v>865824</v>
      </c>
      <c r="G346" s="20">
        <f>G347+G348</f>
        <v>661120</v>
      </c>
      <c r="H346" s="20">
        <f>H347+H348</f>
        <v>20251</v>
      </c>
      <c r="I346" s="20">
        <f>I347+I348</f>
        <v>0</v>
      </c>
      <c r="J346" s="58">
        <f t="shared" si="37"/>
        <v>0</v>
      </c>
      <c r="K346" s="20">
        <f>K347+K348</f>
        <v>0</v>
      </c>
      <c r="L346" s="20">
        <f>L347+L348</f>
        <v>0</v>
      </c>
      <c r="M346" s="20">
        <f>M347+M348</f>
        <v>0</v>
      </c>
      <c r="N346" s="20">
        <f>N347+N348</f>
        <v>0</v>
      </c>
      <c r="O346" s="20">
        <f>O347+O348</f>
        <v>0</v>
      </c>
      <c r="P346" s="20">
        <f t="shared" si="27"/>
        <v>865824</v>
      </c>
      <c r="Q346" s="121"/>
    </row>
    <row r="347" spans="1:17" s="53" customFormat="1" ht="27">
      <c r="A347" s="3" t="s">
        <v>272</v>
      </c>
      <c r="B347" s="30" t="s">
        <v>35</v>
      </c>
      <c r="C347" s="30" t="s">
        <v>20</v>
      </c>
      <c r="D347" s="73" t="s">
        <v>535</v>
      </c>
      <c r="E347" s="58">
        <f t="shared" si="36"/>
        <v>846924</v>
      </c>
      <c r="F347" s="21">
        <f>693079+52000+80202+21643</f>
        <v>846924</v>
      </c>
      <c r="G347" s="21">
        <f>535041+42600+65739+17740</f>
        <v>661120</v>
      </c>
      <c r="H347" s="21">
        <v>20251</v>
      </c>
      <c r="I347" s="21">
        <v>0</v>
      </c>
      <c r="J347" s="58">
        <f t="shared" si="37"/>
        <v>0</v>
      </c>
      <c r="K347" s="21">
        <v>0</v>
      </c>
      <c r="L347" s="21">
        <v>0</v>
      </c>
      <c r="M347" s="21">
        <v>0</v>
      </c>
      <c r="N347" s="21">
        <v>0</v>
      </c>
      <c r="O347" s="21">
        <v>0</v>
      </c>
      <c r="P347" s="20">
        <f aca="true" t="shared" si="38" ref="P347:P363">E347+J347</f>
        <v>846924</v>
      </c>
      <c r="Q347" s="119"/>
    </row>
    <row r="348" spans="1:17" s="53" customFormat="1" ht="27">
      <c r="A348" s="16" t="s">
        <v>273</v>
      </c>
      <c r="B348" s="17"/>
      <c r="C348" s="18"/>
      <c r="D348" s="74" t="s">
        <v>274</v>
      </c>
      <c r="E348" s="57">
        <f t="shared" si="36"/>
        <v>18900</v>
      </c>
      <c r="F348" s="19">
        <f>F349</f>
        <v>18900</v>
      </c>
      <c r="G348" s="19">
        <f>G349</f>
        <v>0</v>
      </c>
      <c r="H348" s="19">
        <f>H349</f>
        <v>0</v>
      </c>
      <c r="I348" s="19">
        <f>I349</f>
        <v>0</v>
      </c>
      <c r="J348" s="57">
        <f t="shared" si="37"/>
        <v>0</v>
      </c>
      <c r="K348" s="19">
        <f>K349</f>
        <v>0</v>
      </c>
      <c r="L348" s="19">
        <f>L349</f>
        <v>0</v>
      </c>
      <c r="M348" s="19">
        <f>M349</f>
        <v>0</v>
      </c>
      <c r="N348" s="19">
        <f>N349</f>
        <v>0</v>
      </c>
      <c r="O348" s="19">
        <v>0</v>
      </c>
      <c r="P348" s="19">
        <f t="shared" si="38"/>
        <v>18900</v>
      </c>
      <c r="Q348" s="119"/>
    </row>
    <row r="349" spans="1:16" s="11" customFormat="1" ht="27">
      <c r="A349" s="22" t="s">
        <v>278</v>
      </c>
      <c r="B349" s="23" t="s">
        <v>279</v>
      </c>
      <c r="C349" s="24" t="s">
        <v>57</v>
      </c>
      <c r="D349" s="75" t="s">
        <v>280</v>
      </c>
      <c r="E349" s="59">
        <f t="shared" si="36"/>
        <v>18900</v>
      </c>
      <c r="F349" s="26">
        <v>18900</v>
      </c>
      <c r="G349" s="26">
        <v>0</v>
      </c>
      <c r="H349" s="26">
        <v>0</v>
      </c>
      <c r="I349" s="26">
        <v>0</v>
      </c>
      <c r="J349" s="59">
        <f t="shared" si="37"/>
        <v>0</v>
      </c>
      <c r="K349" s="26">
        <v>0</v>
      </c>
      <c r="L349" s="26">
        <v>0</v>
      </c>
      <c r="M349" s="26">
        <v>0</v>
      </c>
      <c r="N349" s="26">
        <v>0</v>
      </c>
      <c r="O349" s="26">
        <v>0</v>
      </c>
      <c r="P349" s="25">
        <f t="shared" si="38"/>
        <v>18900</v>
      </c>
    </row>
    <row r="350" spans="1:17" s="100" customFormat="1" ht="27">
      <c r="A350" s="27" t="s">
        <v>271</v>
      </c>
      <c r="B350" s="28"/>
      <c r="C350" s="29"/>
      <c r="D350" s="78" t="s">
        <v>473</v>
      </c>
      <c r="E350" s="58">
        <f t="shared" si="36"/>
        <v>929597</v>
      </c>
      <c r="F350" s="20">
        <f>F351+F352</f>
        <v>929597</v>
      </c>
      <c r="G350" s="20">
        <f>G351+G352</f>
        <v>689189</v>
      </c>
      <c r="H350" s="20">
        <f>H351+H352</f>
        <v>50295</v>
      </c>
      <c r="I350" s="20">
        <f>I351+I352</f>
        <v>0</v>
      </c>
      <c r="J350" s="58">
        <f t="shared" si="37"/>
        <v>0</v>
      </c>
      <c r="K350" s="20">
        <f>K351+K352</f>
        <v>0</v>
      </c>
      <c r="L350" s="20">
        <f>L351+L352</f>
        <v>0</v>
      </c>
      <c r="M350" s="20">
        <f>M351+M352</f>
        <v>0</v>
      </c>
      <c r="N350" s="20">
        <f>N351+N352</f>
        <v>0</v>
      </c>
      <c r="O350" s="20">
        <f>O351+O352</f>
        <v>0</v>
      </c>
      <c r="P350" s="20">
        <f t="shared" si="38"/>
        <v>929597</v>
      </c>
      <c r="Q350" s="121"/>
    </row>
    <row r="351" spans="1:17" s="53" customFormat="1" ht="27">
      <c r="A351" s="3" t="s">
        <v>272</v>
      </c>
      <c r="B351" s="30" t="s">
        <v>35</v>
      </c>
      <c r="C351" s="30" t="s">
        <v>20</v>
      </c>
      <c r="D351" s="73" t="s">
        <v>535</v>
      </c>
      <c r="E351" s="58">
        <f t="shared" si="36"/>
        <v>919597</v>
      </c>
      <c r="F351" s="21">
        <f>719412+52000+127217+20968</f>
        <v>919597</v>
      </c>
      <c r="G351" s="21">
        <f>526325+42600+103077+17187</f>
        <v>689189</v>
      </c>
      <c r="H351" s="21">
        <v>50295</v>
      </c>
      <c r="I351" s="21">
        <v>0</v>
      </c>
      <c r="J351" s="58">
        <f t="shared" si="37"/>
        <v>0</v>
      </c>
      <c r="K351" s="21">
        <v>0</v>
      </c>
      <c r="L351" s="21">
        <v>0</v>
      </c>
      <c r="M351" s="21">
        <v>0</v>
      </c>
      <c r="N351" s="21">
        <v>0</v>
      </c>
      <c r="O351" s="21">
        <v>0</v>
      </c>
      <c r="P351" s="20">
        <f t="shared" si="38"/>
        <v>919597</v>
      </c>
      <c r="Q351" s="119"/>
    </row>
    <row r="352" spans="1:16" s="53" customFormat="1" ht="27">
      <c r="A352" s="16" t="s">
        <v>273</v>
      </c>
      <c r="B352" s="17"/>
      <c r="C352" s="18"/>
      <c r="D352" s="74" t="s">
        <v>274</v>
      </c>
      <c r="E352" s="57">
        <f t="shared" si="36"/>
        <v>10000</v>
      </c>
      <c r="F352" s="19">
        <f>F353</f>
        <v>10000</v>
      </c>
      <c r="G352" s="19">
        <f>G353</f>
        <v>0</v>
      </c>
      <c r="H352" s="19">
        <f>H353</f>
        <v>0</v>
      </c>
      <c r="I352" s="19">
        <f>I353</f>
        <v>0</v>
      </c>
      <c r="J352" s="57">
        <f t="shared" si="37"/>
        <v>0</v>
      </c>
      <c r="K352" s="19">
        <f>K353</f>
        <v>0</v>
      </c>
      <c r="L352" s="19">
        <f>L353</f>
        <v>0</v>
      </c>
      <c r="M352" s="19">
        <f>M353</f>
        <v>0</v>
      </c>
      <c r="N352" s="19">
        <f>N353</f>
        <v>0</v>
      </c>
      <c r="O352" s="19">
        <f>O353</f>
        <v>0</v>
      </c>
      <c r="P352" s="19">
        <f t="shared" si="38"/>
        <v>10000</v>
      </c>
    </row>
    <row r="353" spans="1:16" s="11" customFormat="1" ht="27">
      <c r="A353" s="22" t="s">
        <v>278</v>
      </c>
      <c r="B353" s="23" t="s">
        <v>279</v>
      </c>
      <c r="C353" s="24" t="s">
        <v>57</v>
      </c>
      <c r="D353" s="75" t="s">
        <v>280</v>
      </c>
      <c r="E353" s="59">
        <f t="shared" si="36"/>
        <v>10000</v>
      </c>
      <c r="F353" s="26">
        <v>10000</v>
      </c>
      <c r="G353" s="26">
        <v>0</v>
      </c>
      <c r="H353" s="26">
        <v>0</v>
      </c>
      <c r="I353" s="26">
        <v>0</v>
      </c>
      <c r="J353" s="59">
        <f t="shared" si="37"/>
        <v>0</v>
      </c>
      <c r="K353" s="26">
        <v>0</v>
      </c>
      <c r="L353" s="26">
        <v>0</v>
      </c>
      <c r="M353" s="26">
        <v>0</v>
      </c>
      <c r="N353" s="26">
        <v>0</v>
      </c>
      <c r="O353" s="26">
        <v>0</v>
      </c>
      <c r="P353" s="25">
        <f t="shared" si="38"/>
        <v>10000</v>
      </c>
    </row>
    <row r="354" spans="1:17" s="99" customFormat="1" ht="27">
      <c r="A354" s="27" t="s">
        <v>271</v>
      </c>
      <c r="B354" s="28"/>
      <c r="C354" s="29"/>
      <c r="D354" s="78" t="s">
        <v>474</v>
      </c>
      <c r="E354" s="58">
        <f aca="true" t="shared" si="39" ref="E354:E363">F354+I354</f>
        <v>914559</v>
      </c>
      <c r="F354" s="20">
        <f>F355+F356</f>
        <v>914559</v>
      </c>
      <c r="G354" s="20">
        <f>G355+G356</f>
        <v>696558</v>
      </c>
      <c r="H354" s="20">
        <f>H355+H356</f>
        <v>31931</v>
      </c>
      <c r="I354" s="20">
        <f>I355+I356</f>
        <v>0</v>
      </c>
      <c r="J354" s="58">
        <f t="shared" si="37"/>
        <v>0</v>
      </c>
      <c r="K354" s="20">
        <v>0</v>
      </c>
      <c r="L354" s="20">
        <v>0</v>
      </c>
      <c r="M354" s="20">
        <v>0</v>
      </c>
      <c r="N354" s="20">
        <v>0</v>
      </c>
      <c r="O354" s="20">
        <v>0</v>
      </c>
      <c r="P354" s="20">
        <f t="shared" si="38"/>
        <v>914559</v>
      </c>
      <c r="Q354" s="122"/>
    </row>
    <row r="355" spans="1:17" s="11" customFormat="1" ht="27">
      <c r="A355" s="3" t="s">
        <v>272</v>
      </c>
      <c r="B355" s="30" t="s">
        <v>35</v>
      </c>
      <c r="C355" s="30" t="s">
        <v>20</v>
      </c>
      <c r="D355" s="73" t="s">
        <v>535</v>
      </c>
      <c r="E355" s="58">
        <f t="shared" si="39"/>
        <v>899559</v>
      </c>
      <c r="F355" s="21">
        <f>696509+52000+129759+21291</f>
        <v>899559</v>
      </c>
      <c r="G355" s="21">
        <f>533015+42600+103491+17452</f>
        <v>696558</v>
      </c>
      <c r="H355" s="21">
        <v>31931</v>
      </c>
      <c r="I355" s="21">
        <v>0</v>
      </c>
      <c r="J355" s="58">
        <f t="shared" si="37"/>
        <v>0</v>
      </c>
      <c r="K355" s="21">
        <v>0</v>
      </c>
      <c r="L355" s="21">
        <v>0</v>
      </c>
      <c r="M355" s="21">
        <v>0</v>
      </c>
      <c r="N355" s="21">
        <v>0</v>
      </c>
      <c r="O355" s="21">
        <v>0</v>
      </c>
      <c r="P355" s="20">
        <f t="shared" si="38"/>
        <v>899559</v>
      </c>
      <c r="Q355" s="108"/>
    </row>
    <row r="356" spans="1:16" s="11" customFormat="1" ht="27">
      <c r="A356" s="16" t="s">
        <v>273</v>
      </c>
      <c r="B356" s="17"/>
      <c r="C356" s="18"/>
      <c r="D356" s="74" t="s">
        <v>274</v>
      </c>
      <c r="E356" s="57">
        <f t="shared" si="39"/>
        <v>15000</v>
      </c>
      <c r="F356" s="19">
        <f>F357</f>
        <v>15000</v>
      </c>
      <c r="G356" s="19">
        <f>G357</f>
        <v>0</v>
      </c>
      <c r="H356" s="19">
        <f>H357</f>
        <v>0</v>
      </c>
      <c r="I356" s="19">
        <f>I357</f>
        <v>0</v>
      </c>
      <c r="J356" s="57">
        <f t="shared" si="37"/>
        <v>0</v>
      </c>
      <c r="K356" s="19">
        <f>K357</f>
        <v>0</v>
      </c>
      <c r="L356" s="19">
        <f>L357</f>
        <v>0</v>
      </c>
      <c r="M356" s="19">
        <f>M357</f>
        <v>0</v>
      </c>
      <c r="N356" s="19">
        <f>N357</f>
        <v>0</v>
      </c>
      <c r="O356" s="19">
        <f>O357</f>
        <v>0</v>
      </c>
      <c r="P356" s="19">
        <f t="shared" si="38"/>
        <v>15000</v>
      </c>
    </row>
    <row r="357" spans="1:16" s="11" customFormat="1" ht="27">
      <c r="A357" s="22" t="s">
        <v>278</v>
      </c>
      <c r="B357" s="23" t="s">
        <v>279</v>
      </c>
      <c r="C357" s="24" t="s">
        <v>57</v>
      </c>
      <c r="D357" s="75" t="s">
        <v>280</v>
      </c>
      <c r="E357" s="59">
        <f t="shared" si="39"/>
        <v>15000</v>
      </c>
      <c r="F357" s="26">
        <v>15000</v>
      </c>
      <c r="G357" s="26">
        <v>0</v>
      </c>
      <c r="H357" s="26">
        <v>0</v>
      </c>
      <c r="I357" s="26">
        <v>0</v>
      </c>
      <c r="J357" s="59">
        <f t="shared" si="37"/>
        <v>0</v>
      </c>
      <c r="K357" s="26">
        <v>0</v>
      </c>
      <c r="L357" s="26">
        <v>0</v>
      </c>
      <c r="M357" s="26">
        <v>0</v>
      </c>
      <c r="N357" s="26">
        <v>0</v>
      </c>
      <c r="O357" s="26">
        <v>0</v>
      </c>
      <c r="P357" s="25">
        <f t="shared" si="38"/>
        <v>15000</v>
      </c>
    </row>
    <row r="358" spans="1:17" s="98" customFormat="1" ht="24" customHeight="1">
      <c r="A358" s="66" t="s">
        <v>282</v>
      </c>
      <c r="B358" s="67"/>
      <c r="C358" s="68"/>
      <c r="D358" s="72" t="s">
        <v>283</v>
      </c>
      <c r="E358" s="69">
        <f t="shared" si="39"/>
        <v>1173930</v>
      </c>
      <c r="F358" s="70">
        <f>F359</f>
        <v>1173930</v>
      </c>
      <c r="G358" s="70">
        <f aca="true" t="shared" si="40" ref="G358:I359">G359</f>
        <v>766233</v>
      </c>
      <c r="H358" s="70">
        <f t="shared" si="40"/>
        <v>207301</v>
      </c>
      <c r="I358" s="70">
        <f t="shared" si="40"/>
        <v>0</v>
      </c>
      <c r="J358" s="69">
        <f t="shared" si="37"/>
        <v>10000</v>
      </c>
      <c r="K358" s="70">
        <f aca="true" t="shared" si="41" ref="K358:O359">K359</f>
        <v>10000</v>
      </c>
      <c r="L358" s="70">
        <f t="shared" si="41"/>
        <v>0</v>
      </c>
      <c r="M358" s="70">
        <f t="shared" si="41"/>
        <v>0</v>
      </c>
      <c r="N358" s="70">
        <f t="shared" si="41"/>
        <v>0</v>
      </c>
      <c r="O358" s="70">
        <f t="shared" si="41"/>
        <v>0</v>
      </c>
      <c r="P358" s="70">
        <f t="shared" si="38"/>
        <v>1183930</v>
      </c>
      <c r="Q358" s="118"/>
    </row>
    <row r="359" spans="1:16" s="99" customFormat="1" ht="13.5">
      <c r="A359" s="27" t="s">
        <v>284</v>
      </c>
      <c r="B359" s="28"/>
      <c r="C359" s="29"/>
      <c r="D359" s="96" t="s">
        <v>475</v>
      </c>
      <c r="E359" s="58">
        <f t="shared" si="39"/>
        <v>1173930</v>
      </c>
      <c r="F359" s="20">
        <f>F360</f>
        <v>1173930</v>
      </c>
      <c r="G359" s="20">
        <f t="shared" si="40"/>
        <v>766233</v>
      </c>
      <c r="H359" s="20">
        <f t="shared" si="40"/>
        <v>207301</v>
      </c>
      <c r="I359" s="20">
        <f t="shared" si="40"/>
        <v>0</v>
      </c>
      <c r="J359" s="58">
        <f t="shared" si="37"/>
        <v>10000</v>
      </c>
      <c r="K359" s="20">
        <f t="shared" si="41"/>
        <v>10000</v>
      </c>
      <c r="L359" s="20">
        <f t="shared" si="41"/>
        <v>0</v>
      </c>
      <c r="M359" s="20">
        <f t="shared" si="41"/>
        <v>0</v>
      </c>
      <c r="N359" s="20">
        <f t="shared" si="41"/>
        <v>0</v>
      </c>
      <c r="O359" s="20">
        <f t="shared" si="41"/>
        <v>0</v>
      </c>
      <c r="P359" s="20">
        <f t="shared" si="38"/>
        <v>1183930</v>
      </c>
    </row>
    <row r="360" spans="1:17" s="11" customFormat="1" ht="27">
      <c r="A360" s="3" t="s">
        <v>285</v>
      </c>
      <c r="B360" s="30" t="s">
        <v>35</v>
      </c>
      <c r="C360" s="30" t="s">
        <v>20</v>
      </c>
      <c r="D360" s="73" t="s">
        <v>535</v>
      </c>
      <c r="E360" s="58">
        <f t="shared" si="39"/>
        <v>1173930</v>
      </c>
      <c r="F360" s="21">
        <f>1040631+33900+78750+20649</f>
        <v>1173930</v>
      </c>
      <c r="G360" s="21">
        <f>656958+27800+64550+16925</f>
        <v>766233</v>
      </c>
      <c r="H360" s="21">
        <v>207301</v>
      </c>
      <c r="I360" s="21">
        <v>0</v>
      </c>
      <c r="J360" s="58">
        <f t="shared" si="37"/>
        <v>10000</v>
      </c>
      <c r="K360" s="21">
        <v>10000</v>
      </c>
      <c r="L360" s="21">
        <v>0</v>
      </c>
      <c r="M360" s="21">
        <v>0</v>
      </c>
      <c r="N360" s="21">
        <v>0</v>
      </c>
      <c r="O360" s="21">
        <v>0</v>
      </c>
      <c r="P360" s="20">
        <f t="shared" si="38"/>
        <v>1183930</v>
      </c>
      <c r="Q360" s="108"/>
    </row>
    <row r="361" spans="1:17" s="98" customFormat="1" ht="28.5" customHeight="1">
      <c r="A361" s="66" t="s">
        <v>286</v>
      </c>
      <c r="B361" s="67"/>
      <c r="C361" s="68"/>
      <c r="D361" s="72" t="s">
        <v>287</v>
      </c>
      <c r="E361" s="69">
        <f t="shared" si="39"/>
        <v>576301</v>
      </c>
      <c r="F361" s="70">
        <f>F362</f>
        <v>576301</v>
      </c>
      <c r="G361" s="70">
        <f>G362</f>
        <v>257435</v>
      </c>
      <c r="H361" s="70">
        <f>H362</f>
        <v>24800</v>
      </c>
      <c r="I361" s="70">
        <f>I362</f>
        <v>0</v>
      </c>
      <c r="J361" s="69">
        <f t="shared" si="37"/>
        <v>0</v>
      </c>
      <c r="K361" s="70">
        <f>K362</f>
        <v>0</v>
      </c>
      <c r="L361" s="70">
        <f>L362</f>
        <v>0</v>
      </c>
      <c r="M361" s="70">
        <f>M362</f>
        <v>0</v>
      </c>
      <c r="N361" s="70">
        <f>N362</f>
        <v>0</v>
      </c>
      <c r="O361" s="70">
        <f>O362</f>
        <v>0</v>
      </c>
      <c r="P361" s="70">
        <f t="shared" si="38"/>
        <v>576301</v>
      </c>
      <c r="Q361" s="118"/>
    </row>
    <row r="362" spans="1:16" s="99" customFormat="1" ht="13.5">
      <c r="A362" s="27" t="s">
        <v>288</v>
      </c>
      <c r="B362" s="28"/>
      <c r="C362" s="29"/>
      <c r="D362" s="78" t="s">
        <v>289</v>
      </c>
      <c r="E362" s="58">
        <f t="shared" si="39"/>
        <v>576301</v>
      </c>
      <c r="F362" s="20">
        <f>F363+F364</f>
        <v>576301</v>
      </c>
      <c r="G362" s="20">
        <f>G363+G364</f>
        <v>257435</v>
      </c>
      <c r="H362" s="20">
        <f>H363+H364</f>
        <v>24800</v>
      </c>
      <c r="I362" s="20">
        <f>I363+I364</f>
        <v>0</v>
      </c>
      <c r="J362" s="58">
        <f t="shared" si="37"/>
        <v>0</v>
      </c>
      <c r="K362" s="20">
        <f>K363+K364</f>
        <v>0</v>
      </c>
      <c r="L362" s="20">
        <f>L363+L364</f>
        <v>0</v>
      </c>
      <c r="M362" s="20">
        <f>M363+M364</f>
        <v>0</v>
      </c>
      <c r="N362" s="20">
        <f>N363+N364</f>
        <v>0</v>
      </c>
      <c r="O362" s="20">
        <f>O363+O364</f>
        <v>0</v>
      </c>
      <c r="P362" s="20">
        <f t="shared" si="38"/>
        <v>576301</v>
      </c>
    </row>
    <row r="363" spans="1:17" s="11" customFormat="1" ht="27">
      <c r="A363" s="3" t="s">
        <v>290</v>
      </c>
      <c r="B363" s="30" t="s">
        <v>35</v>
      </c>
      <c r="C363" s="30" t="s">
        <v>20</v>
      </c>
      <c r="D363" s="73" t="s">
        <v>535</v>
      </c>
      <c r="E363" s="58">
        <f t="shared" si="39"/>
        <v>429385</v>
      </c>
      <c r="F363" s="21">
        <f>387698+10100+23180+8407</f>
        <v>429385</v>
      </c>
      <c r="G363" s="21">
        <f>223244+8300+19000+6891</f>
        <v>257435</v>
      </c>
      <c r="H363" s="21">
        <v>24800</v>
      </c>
      <c r="I363" s="21">
        <v>0</v>
      </c>
      <c r="J363" s="58">
        <f t="shared" si="37"/>
        <v>0</v>
      </c>
      <c r="K363" s="21">
        <v>0</v>
      </c>
      <c r="L363" s="21">
        <v>0</v>
      </c>
      <c r="M363" s="21">
        <v>0</v>
      </c>
      <c r="N363" s="21">
        <v>0</v>
      </c>
      <c r="O363" s="21">
        <v>0</v>
      </c>
      <c r="P363" s="20">
        <f t="shared" si="38"/>
        <v>429385</v>
      </c>
      <c r="Q363" s="108"/>
    </row>
    <row r="364" spans="1:17" s="11" customFormat="1" ht="13.5">
      <c r="A364" s="17" t="s">
        <v>512</v>
      </c>
      <c r="B364" s="17" t="s">
        <v>32</v>
      </c>
      <c r="C364" s="17" t="s">
        <v>31</v>
      </c>
      <c r="D364" s="76" t="s">
        <v>510</v>
      </c>
      <c r="E364" s="57">
        <f>F364+I364</f>
        <v>146916</v>
      </c>
      <c r="F364" s="19">
        <f>SUM(F366+F365)</f>
        <v>146916</v>
      </c>
      <c r="G364" s="19">
        <f>SUM(G366+G365)</f>
        <v>0</v>
      </c>
      <c r="H364" s="19">
        <f>SUM(H366+H365)</f>
        <v>0</v>
      </c>
      <c r="I364" s="19">
        <f>SUM(I366+I365)</f>
        <v>0</v>
      </c>
      <c r="J364" s="57">
        <f>K364+N364</f>
        <v>0</v>
      </c>
      <c r="K364" s="19">
        <f>SUM(K366+K365)</f>
        <v>0</v>
      </c>
      <c r="L364" s="19">
        <f>SUM(L366+L365)</f>
        <v>0</v>
      </c>
      <c r="M364" s="19">
        <f>SUM(M366+M365)</f>
        <v>0</v>
      </c>
      <c r="N364" s="19">
        <f>SUM(N366+N365)</f>
        <v>0</v>
      </c>
      <c r="O364" s="19">
        <f>SUM(O366+O365)</f>
        <v>0</v>
      </c>
      <c r="P364" s="19">
        <f>E364+J364</f>
        <v>146916</v>
      </c>
      <c r="Q364" s="108"/>
    </row>
    <row r="365" spans="1:16" s="47" customFormat="1" ht="32.25" customHeight="1">
      <c r="A365" s="42"/>
      <c r="B365" s="43"/>
      <c r="C365" s="44"/>
      <c r="D365" s="113" t="s">
        <v>494</v>
      </c>
      <c r="E365" s="61">
        <f aca="true" t="shared" si="42" ref="E365:E373">F365+I365</f>
        <v>46916</v>
      </c>
      <c r="F365" s="46">
        <f>46916+50000-50000</f>
        <v>46916</v>
      </c>
      <c r="G365" s="46">
        <v>0</v>
      </c>
      <c r="H365" s="46">
        <v>0</v>
      </c>
      <c r="I365" s="46">
        <v>0</v>
      </c>
      <c r="J365" s="61">
        <f aca="true" t="shared" si="43" ref="J365:J373">K365+N365</f>
        <v>0</v>
      </c>
      <c r="K365" s="46">
        <v>0</v>
      </c>
      <c r="L365" s="46">
        <v>0</v>
      </c>
      <c r="M365" s="46">
        <v>0</v>
      </c>
      <c r="N365" s="46">
        <v>0</v>
      </c>
      <c r="O365" s="46">
        <v>0</v>
      </c>
      <c r="P365" s="45">
        <f>E365+J365</f>
        <v>46916</v>
      </c>
    </row>
    <row r="366" spans="1:16" s="47" customFormat="1" ht="77.25" customHeight="1">
      <c r="A366" s="42"/>
      <c r="B366" s="126"/>
      <c r="C366" s="126"/>
      <c r="D366" s="113" t="s">
        <v>540</v>
      </c>
      <c r="E366" s="61">
        <f t="shared" si="42"/>
        <v>100000</v>
      </c>
      <c r="F366" s="46">
        <f>50000+50000</f>
        <v>100000</v>
      </c>
      <c r="G366" s="46"/>
      <c r="H366" s="46"/>
      <c r="I366" s="46">
        <v>0</v>
      </c>
      <c r="J366" s="61">
        <f t="shared" si="43"/>
        <v>0</v>
      </c>
      <c r="K366" s="46"/>
      <c r="L366" s="46"/>
      <c r="M366" s="46"/>
      <c r="N366" s="46"/>
      <c r="O366" s="46"/>
      <c r="P366" s="45">
        <f>E366+J366</f>
        <v>100000</v>
      </c>
    </row>
    <row r="367" spans="1:17" s="98" customFormat="1" ht="38.25" customHeight="1">
      <c r="A367" s="66" t="s">
        <v>291</v>
      </c>
      <c r="B367" s="67"/>
      <c r="C367" s="68"/>
      <c r="D367" s="72" t="s">
        <v>292</v>
      </c>
      <c r="E367" s="69">
        <f t="shared" si="42"/>
        <v>5933723</v>
      </c>
      <c r="F367" s="70">
        <f>F368</f>
        <v>5933723</v>
      </c>
      <c r="G367" s="70">
        <f>G368</f>
        <v>3707010</v>
      </c>
      <c r="H367" s="70">
        <f>H368</f>
        <v>252060</v>
      </c>
      <c r="I367" s="70">
        <f>I368</f>
        <v>0</v>
      </c>
      <c r="J367" s="69">
        <f t="shared" si="43"/>
        <v>823520</v>
      </c>
      <c r="K367" s="70">
        <f>K368</f>
        <v>23000</v>
      </c>
      <c r="L367" s="70">
        <f>L368</f>
        <v>0</v>
      </c>
      <c r="M367" s="70">
        <f>M368</f>
        <v>0</v>
      </c>
      <c r="N367" s="70">
        <f>N368</f>
        <v>800520</v>
      </c>
      <c r="O367" s="70">
        <f>O368</f>
        <v>800520</v>
      </c>
      <c r="P367" s="70">
        <f>E367+J367</f>
        <v>6757243</v>
      </c>
      <c r="Q367" s="118"/>
    </row>
    <row r="368" spans="1:17" s="99" customFormat="1" ht="30.75" customHeight="1">
      <c r="A368" s="27" t="s">
        <v>293</v>
      </c>
      <c r="B368" s="28"/>
      <c r="C368" s="29"/>
      <c r="D368" s="78" t="s">
        <v>294</v>
      </c>
      <c r="E368" s="58">
        <f t="shared" si="42"/>
        <v>5933723</v>
      </c>
      <c r="F368" s="20">
        <f>F369+F370+F371+F372</f>
        <v>5933723</v>
      </c>
      <c r="G368" s="20">
        <f>G369+G370+G371+G372</f>
        <v>3707010</v>
      </c>
      <c r="H368" s="20">
        <f>H369+H370+H371+H372</f>
        <v>252060</v>
      </c>
      <c r="I368" s="20">
        <f>I369+I370+I371+I372</f>
        <v>0</v>
      </c>
      <c r="J368" s="58">
        <f t="shared" si="43"/>
        <v>823520</v>
      </c>
      <c r="K368" s="20">
        <f>K369+K370+K371+K372</f>
        <v>23000</v>
      </c>
      <c r="L368" s="20">
        <f>L369+L370+L371+L372</f>
        <v>0</v>
      </c>
      <c r="M368" s="20">
        <f>M369+M370+M371+M372</f>
        <v>0</v>
      </c>
      <c r="N368" s="20">
        <f>N369+N370+N371+N372</f>
        <v>800520</v>
      </c>
      <c r="O368" s="20">
        <f>O369+O370+O371+O372</f>
        <v>800520</v>
      </c>
      <c r="P368" s="20">
        <f>P369+P370</f>
        <v>6360723</v>
      </c>
      <c r="Q368" s="122"/>
    </row>
    <row r="369" spans="1:17" s="11" customFormat="1" ht="36" customHeight="1">
      <c r="A369" s="3" t="s">
        <v>295</v>
      </c>
      <c r="B369" s="30" t="s">
        <v>35</v>
      </c>
      <c r="C369" s="30" t="s">
        <v>20</v>
      </c>
      <c r="D369" s="73" t="s">
        <v>535</v>
      </c>
      <c r="E369" s="58">
        <f t="shared" si="42"/>
        <v>5923723</v>
      </c>
      <c r="F369" s="21">
        <f>4885066+100000+131600+248700+445783+112574</f>
        <v>5923723</v>
      </c>
      <c r="G369" s="21">
        <f>3045540+203800+365396+92274</f>
        <v>3707010</v>
      </c>
      <c r="H369" s="21">
        <v>252060</v>
      </c>
      <c r="I369" s="21">
        <v>0</v>
      </c>
      <c r="J369" s="58">
        <f t="shared" si="43"/>
        <v>427000</v>
      </c>
      <c r="K369" s="21">
        <v>23000</v>
      </c>
      <c r="L369" s="21">
        <v>0</v>
      </c>
      <c r="M369" s="21">
        <v>0</v>
      </c>
      <c r="N369" s="21">
        <f>50000+354000</f>
        <v>404000</v>
      </c>
      <c r="O369" s="21">
        <f>50000+354000</f>
        <v>404000</v>
      </c>
      <c r="P369" s="20">
        <f aca="true" t="shared" si="44" ref="P369:P378">E369+J369</f>
        <v>6350723</v>
      </c>
      <c r="Q369" s="108"/>
    </row>
    <row r="370" spans="1:17" s="11" customFormat="1" ht="35.25" customHeight="1">
      <c r="A370" s="3" t="s">
        <v>296</v>
      </c>
      <c r="B370" s="5" t="s">
        <v>298</v>
      </c>
      <c r="C370" s="4" t="s">
        <v>297</v>
      </c>
      <c r="D370" s="73" t="s">
        <v>299</v>
      </c>
      <c r="E370" s="58">
        <f t="shared" si="42"/>
        <v>10000</v>
      </c>
      <c r="F370" s="21">
        <f>10000-10000+10000</f>
        <v>10000</v>
      </c>
      <c r="G370" s="21">
        <v>0</v>
      </c>
      <c r="H370" s="21">
        <v>0</v>
      </c>
      <c r="I370" s="21">
        <v>0</v>
      </c>
      <c r="J370" s="58">
        <f t="shared" si="43"/>
        <v>0</v>
      </c>
      <c r="K370" s="21">
        <v>0</v>
      </c>
      <c r="L370" s="21">
        <v>0</v>
      </c>
      <c r="M370" s="21">
        <v>0</v>
      </c>
      <c r="N370" s="21">
        <v>0</v>
      </c>
      <c r="O370" s="21">
        <v>0</v>
      </c>
      <c r="P370" s="20">
        <f t="shared" si="44"/>
        <v>10000</v>
      </c>
      <c r="Q370" s="108"/>
    </row>
    <row r="371" spans="1:18" s="114" customFormat="1" ht="39" customHeight="1">
      <c r="A371" s="3" t="s">
        <v>547</v>
      </c>
      <c r="B371" s="5" t="s">
        <v>222</v>
      </c>
      <c r="C371" s="4" t="s">
        <v>147</v>
      </c>
      <c r="D371" s="73" t="s">
        <v>223</v>
      </c>
      <c r="E371" s="58">
        <f t="shared" si="42"/>
        <v>0</v>
      </c>
      <c r="F371" s="21">
        <v>0</v>
      </c>
      <c r="G371" s="21">
        <v>0</v>
      </c>
      <c r="H371" s="21">
        <v>0</v>
      </c>
      <c r="I371" s="21">
        <v>0</v>
      </c>
      <c r="J371" s="58">
        <f t="shared" si="43"/>
        <v>0</v>
      </c>
      <c r="K371" s="21">
        <v>0</v>
      </c>
      <c r="L371" s="21">
        <v>0</v>
      </c>
      <c r="M371" s="21">
        <v>0</v>
      </c>
      <c r="N371" s="21">
        <f>0+338405+100000-438405</f>
        <v>0</v>
      </c>
      <c r="O371" s="21">
        <f>0+338405+100000-438405</f>
        <v>0</v>
      </c>
      <c r="P371" s="20">
        <f t="shared" si="44"/>
        <v>0</v>
      </c>
      <c r="Q371" s="108"/>
      <c r="R371" s="11"/>
    </row>
    <row r="372" spans="1:18" s="114" customFormat="1" ht="27">
      <c r="A372" s="3" t="s">
        <v>545</v>
      </c>
      <c r="B372" s="5" t="s">
        <v>148</v>
      </c>
      <c r="C372" s="4" t="s">
        <v>147</v>
      </c>
      <c r="D372" s="73" t="s">
        <v>149</v>
      </c>
      <c r="E372" s="58">
        <f t="shared" si="42"/>
        <v>0</v>
      </c>
      <c r="F372" s="21">
        <v>0</v>
      </c>
      <c r="G372" s="21">
        <v>0</v>
      </c>
      <c r="H372" s="21">
        <v>0</v>
      </c>
      <c r="I372" s="21">
        <v>0</v>
      </c>
      <c r="J372" s="58">
        <f t="shared" si="43"/>
        <v>396520</v>
      </c>
      <c r="K372" s="21">
        <v>0</v>
      </c>
      <c r="L372" s="21">
        <v>0</v>
      </c>
      <c r="M372" s="21">
        <v>0</v>
      </c>
      <c r="N372" s="21">
        <v>396520</v>
      </c>
      <c r="O372" s="21">
        <v>396520</v>
      </c>
      <c r="P372" s="20">
        <f t="shared" si="44"/>
        <v>396520</v>
      </c>
      <c r="Q372" s="108"/>
      <c r="R372" s="11"/>
    </row>
    <row r="373" spans="1:17" s="98" customFormat="1" ht="30.75">
      <c r="A373" s="66" t="s">
        <v>300</v>
      </c>
      <c r="B373" s="67"/>
      <c r="C373" s="68"/>
      <c r="D373" s="72" t="s">
        <v>301</v>
      </c>
      <c r="E373" s="69">
        <f t="shared" si="42"/>
        <v>6402557</v>
      </c>
      <c r="F373" s="70">
        <f aca="true" t="shared" si="45" ref="F373:O373">F374</f>
        <v>6302557</v>
      </c>
      <c r="G373" s="70">
        <f t="shared" si="45"/>
        <v>3658715</v>
      </c>
      <c r="H373" s="70">
        <f t="shared" si="45"/>
        <v>225392</v>
      </c>
      <c r="I373" s="70">
        <f t="shared" si="45"/>
        <v>100000</v>
      </c>
      <c r="J373" s="69">
        <f t="shared" si="43"/>
        <v>240000</v>
      </c>
      <c r="K373" s="70">
        <f>K374</f>
        <v>0</v>
      </c>
      <c r="L373" s="70">
        <f t="shared" si="45"/>
        <v>0</v>
      </c>
      <c r="M373" s="70">
        <f t="shared" si="45"/>
        <v>0</v>
      </c>
      <c r="N373" s="70">
        <f t="shared" si="45"/>
        <v>240000</v>
      </c>
      <c r="O373" s="70">
        <f t="shared" si="45"/>
        <v>240000</v>
      </c>
      <c r="P373" s="70">
        <f t="shared" si="44"/>
        <v>6642557</v>
      </c>
      <c r="Q373" s="118"/>
    </row>
    <row r="374" spans="1:16" s="99" customFormat="1" ht="52.5" customHeight="1">
      <c r="A374" s="27" t="s">
        <v>302</v>
      </c>
      <c r="B374" s="28"/>
      <c r="C374" s="29"/>
      <c r="D374" s="78" t="s">
        <v>303</v>
      </c>
      <c r="E374" s="58">
        <f>F374+I374</f>
        <v>6402557</v>
      </c>
      <c r="F374" s="20">
        <f>F375+F376+F378</f>
        <v>6302557</v>
      </c>
      <c r="G374" s="20">
        <f>G375+G376+G377+G378</f>
        <v>3658715</v>
      </c>
      <c r="H374" s="20">
        <f>H375+H376+H377+H378</f>
        <v>225392</v>
      </c>
      <c r="I374" s="20">
        <f>I375+I376+I377+I378</f>
        <v>100000</v>
      </c>
      <c r="J374" s="58">
        <f>K374+N374</f>
        <v>240000</v>
      </c>
      <c r="K374" s="20">
        <f>K375+K376+K377+K378</f>
        <v>0</v>
      </c>
      <c r="L374" s="20">
        <f>L375+L376+L377+L378</f>
        <v>0</v>
      </c>
      <c r="M374" s="20">
        <f>M375+M376+M377+M378</f>
        <v>0</v>
      </c>
      <c r="N374" s="20">
        <f>N375+N376+N377+N378</f>
        <v>240000</v>
      </c>
      <c r="O374" s="20">
        <f>O375+O376+O377+O378</f>
        <v>240000</v>
      </c>
      <c r="P374" s="20">
        <f>E374+J374</f>
        <v>6642557</v>
      </c>
    </row>
    <row r="375" spans="1:17" s="11" customFormat="1" ht="27">
      <c r="A375" s="3" t="s">
        <v>304</v>
      </c>
      <c r="B375" s="30" t="s">
        <v>35</v>
      </c>
      <c r="C375" s="30" t="s">
        <v>20</v>
      </c>
      <c r="D375" s="73" t="s">
        <v>535</v>
      </c>
      <c r="E375" s="58">
        <f>F375+I375</f>
        <v>5082557</v>
      </c>
      <c r="F375" s="21">
        <f>4308002+224000+433699+116856</f>
        <v>5082557</v>
      </c>
      <c r="G375" s="21">
        <f>3023840+183600+355491+95784</f>
        <v>3658715</v>
      </c>
      <c r="H375" s="21">
        <v>225392</v>
      </c>
      <c r="I375" s="21">
        <v>0</v>
      </c>
      <c r="J375" s="58">
        <f>K375+N375</f>
        <v>0</v>
      </c>
      <c r="K375" s="21">
        <v>0</v>
      </c>
      <c r="L375" s="21">
        <v>0</v>
      </c>
      <c r="M375" s="21">
        <v>0</v>
      </c>
      <c r="N375" s="21">
        <v>0</v>
      </c>
      <c r="O375" s="21">
        <v>0</v>
      </c>
      <c r="P375" s="20">
        <f t="shared" si="44"/>
        <v>5082557</v>
      </c>
      <c r="Q375" s="108"/>
    </row>
    <row r="376" spans="1:16" s="11" customFormat="1" ht="13.5">
      <c r="A376" s="3" t="s">
        <v>305</v>
      </c>
      <c r="B376" s="5" t="s">
        <v>307</v>
      </c>
      <c r="C376" s="4" t="s">
        <v>306</v>
      </c>
      <c r="D376" s="73" t="s">
        <v>308</v>
      </c>
      <c r="E376" s="58">
        <f>F376+I376</f>
        <v>100000</v>
      </c>
      <c r="F376" s="21">
        <v>0</v>
      </c>
      <c r="G376" s="21">
        <v>0</v>
      </c>
      <c r="H376" s="21">
        <v>0</v>
      </c>
      <c r="I376" s="21">
        <f>1550000-150000-500000-800000</f>
        <v>100000</v>
      </c>
      <c r="J376" s="58">
        <f>K376+N376</f>
        <v>90000</v>
      </c>
      <c r="K376" s="21">
        <v>0</v>
      </c>
      <c r="L376" s="21">
        <v>0</v>
      </c>
      <c r="M376" s="21">
        <v>0</v>
      </c>
      <c r="N376" s="21">
        <v>90000</v>
      </c>
      <c r="O376" s="21">
        <v>90000</v>
      </c>
      <c r="P376" s="20">
        <f t="shared" si="44"/>
        <v>190000</v>
      </c>
    </row>
    <row r="377" spans="1:16" s="11" customFormat="1" ht="75" customHeight="1">
      <c r="A377" s="3">
        <v>4518070</v>
      </c>
      <c r="B377" s="30" t="s">
        <v>536</v>
      </c>
      <c r="C377" s="4" t="s">
        <v>147</v>
      </c>
      <c r="D377" s="73" t="s">
        <v>537</v>
      </c>
      <c r="E377" s="58">
        <f>F377+I377</f>
        <v>0</v>
      </c>
      <c r="F377" s="21">
        <v>0</v>
      </c>
      <c r="G377" s="21">
        <v>0</v>
      </c>
      <c r="H377" s="21">
        <v>0</v>
      </c>
      <c r="I377" s="21">
        <v>0</v>
      </c>
      <c r="J377" s="58">
        <f>K377+N377</f>
        <v>150000</v>
      </c>
      <c r="K377" s="21">
        <v>0</v>
      </c>
      <c r="L377" s="21">
        <v>0</v>
      </c>
      <c r="M377" s="21">
        <v>0</v>
      </c>
      <c r="N377" s="21">
        <f>150000</f>
        <v>150000</v>
      </c>
      <c r="O377" s="21">
        <f>150000</f>
        <v>150000</v>
      </c>
      <c r="P377" s="20">
        <f t="shared" si="44"/>
        <v>150000</v>
      </c>
    </row>
    <row r="378" spans="1:16" s="11" customFormat="1" ht="13.5">
      <c r="A378" s="16" t="s">
        <v>478</v>
      </c>
      <c r="B378" s="64" t="s">
        <v>32</v>
      </c>
      <c r="C378" s="65" t="s">
        <v>31</v>
      </c>
      <c r="D378" s="74" t="s">
        <v>33</v>
      </c>
      <c r="E378" s="57">
        <f>F378+I378</f>
        <v>1220000</v>
      </c>
      <c r="F378" s="19">
        <f>F380+F381</f>
        <v>1220000</v>
      </c>
      <c r="G378" s="19">
        <f>G380+G381</f>
        <v>0</v>
      </c>
      <c r="H378" s="19">
        <f>H380+H381</f>
        <v>0</v>
      </c>
      <c r="I378" s="19">
        <f>I380+I381</f>
        <v>0</v>
      </c>
      <c r="J378" s="57">
        <f>K378+N378</f>
        <v>0</v>
      </c>
      <c r="K378" s="19">
        <f>K380+K381</f>
        <v>0</v>
      </c>
      <c r="L378" s="19">
        <f>L380+L381</f>
        <v>0</v>
      </c>
      <c r="M378" s="19">
        <f>M380+M381</f>
        <v>0</v>
      </c>
      <c r="N378" s="19">
        <f>N380+N381</f>
        <v>0</v>
      </c>
      <c r="O378" s="19">
        <f>O380+O381</f>
        <v>0</v>
      </c>
      <c r="P378" s="19">
        <f t="shared" si="44"/>
        <v>1220000</v>
      </c>
    </row>
    <row r="379" spans="1:16" s="47" customFormat="1" ht="13.5">
      <c r="A379" s="42"/>
      <c r="B379" s="43"/>
      <c r="C379" s="44"/>
      <c r="D379" s="94" t="s">
        <v>487</v>
      </c>
      <c r="E379" s="61"/>
      <c r="F379" s="46"/>
      <c r="G379" s="46"/>
      <c r="H379" s="46"/>
      <c r="I379" s="46"/>
      <c r="J379" s="61"/>
      <c r="K379" s="46"/>
      <c r="L379" s="46"/>
      <c r="M379" s="46"/>
      <c r="N379" s="46"/>
      <c r="O379" s="46"/>
      <c r="P379" s="45"/>
    </row>
    <row r="380" spans="1:16" s="47" customFormat="1" ht="75" customHeight="1">
      <c r="A380" s="42"/>
      <c r="B380" s="43"/>
      <c r="C380" s="44"/>
      <c r="D380" s="113" t="s">
        <v>493</v>
      </c>
      <c r="E380" s="61">
        <f>F380+I380</f>
        <v>200000</v>
      </c>
      <c r="F380" s="46">
        <v>200000</v>
      </c>
      <c r="G380" s="46">
        <v>0</v>
      </c>
      <c r="H380" s="46">
        <v>0</v>
      </c>
      <c r="I380" s="46">
        <v>0</v>
      </c>
      <c r="J380" s="61">
        <f>K380+N380</f>
        <v>0</v>
      </c>
      <c r="K380" s="46">
        <v>0</v>
      </c>
      <c r="L380" s="46">
        <v>0</v>
      </c>
      <c r="M380" s="46">
        <v>0</v>
      </c>
      <c r="N380" s="46">
        <v>0</v>
      </c>
      <c r="O380" s="46">
        <v>0</v>
      </c>
      <c r="P380" s="45">
        <f>E380+J380</f>
        <v>200000</v>
      </c>
    </row>
    <row r="381" spans="1:16" s="47" customFormat="1" ht="61.5" customHeight="1">
      <c r="A381" s="42"/>
      <c r="B381" s="43"/>
      <c r="C381" s="44"/>
      <c r="D381" s="113" t="s">
        <v>521</v>
      </c>
      <c r="E381" s="61">
        <f>F381+I381</f>
        <v>1020000</v>
      </c>
      <c r="F381" s="46">
        <f>1000000+20000</f>
        <v>1020000</v>
      </c>
      <c r="G381" s="46">
        <v>0</v>
      </c>
      <c r="H381" s="46">
        <v>0</v>
      </c>
      <c r="I381" s="46">
        <v>0</v>
      </c>
      <c r="J381" s="61">
        <f>K381+N381</f>
        <v>0</v>
      </c>
      <c r="K381" s="46">
        <v>0</v>
      </c>
      <c r="L381" s="46">
        <v>0</v>
      </c>
      <c r="M381" s="46">
        <v>0</v>
      </c>
      <c r="N381" s="46">
        <v>0</v>
      </c>
      <c r="O381" s="46">
        <v>0</v>
      </c>
      <c r="P381" s="45">
        <f>E381+J381</f>
        <v>1020000</v>
      </c>
    </row>
    <row r="382" spans="1:17" s="98" customFormat="1" ht="18.75" customHeight="1">
      <c r="A382" s="66" t="s">
        <v>309</v>
      </c>
      <c r="B382" s="67"/>
      <c r="C382" s="68"/>
      <c r="D382" s="72" t="s">
        <v>310</v>
      </c>
      <c r="E382" s="69">
        <f>F382+I382</f>
        <v>172104699.82999998</v>
      </c>
      <c r="F382" s="70">
        <f aca="true" t="shared" si="46" ref="F382:O382">F383</f>
        <v>172104699.82999998</v>
      </c>
      <c r="G382" s="70">
        <f t="shared" si="46"/>
        <v>3986311</v>
      </c>
      <c r="H382" s="70">
        <f t="shared" si="46"/>
        <v>11607475</v>
      </c>
      <c r="I382" s="70">
        <f t="shared" si="46"/>
        <v>0</v>
      </c>
      <c r="J382" s="69">
        <f>K382+N382</f>
        <v>179373996.69</v>
      </c>
      <c r="K382" s="70">
        <f t="shared" si="46"/>
        <v>492700</v>
      </c>
      <c r="L382" s="70">
        <f t="shared" si="46"/>
        <v>0</v>
      </c>
      <c r="M382" s="70">
        <f t="shared" si="46"/>
        <v>50000</v>
      </c>
      <c r="N382" s="70">
        <f t="shared" si="46"/>
        <v>178881296.69</v>
      </c>
      <c r="O382" s="70">
        <f t="shared" si="46"/>
        <v>178596296.69</v>
      </c>
      <c r="P382" s="70">
        <f>E382+J382</f>
        <v>351478696.52</v>
      </c>
      <c r="Q382" s="118"/>
    </row>
    <row r="383" spans="1:16" s="99" customFormat="1" ht="45" customHeight="1">
      <c r="A383" s="27" t="s">
        <v>311</v>
      </c>
      <c r="B383" s="28"/>
      <c r="C383" s="29"/>
      <c r="D383" s="78" t="s">
        <v>312</v>
      </c>
      <c r="E383" s="58">
        <f>F383+I383</f>
        <v>172104699.82999998</v>
      </c>
      <c r="F383" s="20">
        <f>F384+F385+F386+F387+F390+F392+F394+F395+F397+F398+F399+F400+F401+F402+F404+F409+F412</f>
        <v>172104699.82999998</v>
      </c>
      <c r="G383" s="20">
        <f>G384+G385+G386+G387+G390+G392+G394+G395+G397+G398+G399+G400+G401+G402+G404+G409+G412</f>
        <v>3986311</v>
      </c>
      <c r="H383" s="20">
        <f>H384+H385+H386+H387+H390+H392+H394+H395+H397+H398+H399+H400+H401+H402+H404+H409+H412</f>
        <v>11607475</v>
      </c>
      <c r="I383" s="20">
        <f>I384+I385+I386+I387+I390+I392+I394+I395+I397+I398+I399+I400+I401+I402+I404+I409+I412</f>
        <v>0</v>
      </c>
      <c r="J383" s="58">
        <f>K383+N383</f>
        <v>179373996.69</v>
      </c>
      <c r="K383" s="20">
        <f>K384+K385+K386+K387+K390+K392+K394+K395+K397+K398+K399+K400+K401+K402+K404+K409+K412</f>
        <v>492700</v>
      </c>
      <c r="L383" s="20">
        <f>L384+L385+L386+L387+L390+L392+L394+L395+L397+L398+L399+L400+L401+L402+L404+L409+L412</f>
        <v>0</v>
      </c>
      <c r="M383" s="20">
        <f>M384+M385+M386+M387+M390+M392+M394+M395+M397+M398+M399+M400+M401+M402+M404+M409+M412</f>
        <v>50000</v>
      </c>
      <c r="N383" s="20">
        <f>N384+N385+N386+N387+N390+N392+N394+N395+N397+N398+N399+N400+N401+N402+N404+N409+N412</f>
        <v>178881296.69</v>
      </c>
      <c r="O383" s="20">
        <f>O384+O385+O386+O387+O390+O392+O394+O395+O397+O398+O399+O400+O401+O402+O404+O409+O412</f>
        <v>178596296.69</v>
      </c>
      <c r="P383" s="20">
        <f>E383+J383</f>
        <v>351478696.52</v>
      </c>
    </row>
    <row r="384" spans="1:17" s="11" customFormat="1" ht="27">
      <c r="A384" s="3" t="s">
        <v>313</v>
      </c>
      <c r="B384" s="30" t="s">
        <v>35</v>
      </c>
      <c r="C384" s="30" t="s">
        <v>20</v>
      </c>
      <c r="D384" s="73" t="s">
        <v>535</v>
      </c>
      <c r="E384" s="58">
        <f>F384+I384</f>
        <v>6345974</v>
      </c>
      <c r="F384" s="21">
        <f>4735359+430620+123000+329200+600883+126912</f>
        <v>6345974</v>
      </c>
      <c r="G384" s="21">
        <f>3109300+269800+509740+97471</f>
        <v>3986311</v>
      </c>
      <c r="H384" s="21">
        <v>309475</v>
      </c>
      <c r="I384" s="21">
        <v>0</v>
      </c>
      <c r="J384" s="58">
        <f>K384+N384</f>
        <v>130700</v>
      </c>
      <c r="K384" s="21">
        <v>92700</v>
      </c>
      <c r="L384" s="21">
        <v>0</v>
      </c>
      <c r="M384" s="21">
        <v>50000</v>
      </c>
      <c r="N384" s="21">
        <v>38000</v>
      </c>
      <c r="O384" s="21">
        <v>38000</v>
      </c>
      <c r="P384" s="20">
        <f>E384+J384</f>
        <v>6476674</v>
      </c>
      <c r="Q384" s="108"/>
    </row>
    <row r="385" spans="1:17" s="11" customFormat="1" ht="27">
      <c r="A385" s="3" t="s">
        <v>314</v>
      </c>
      <c r="B385" s="5" t="s">
        <v>37</v>
      </c>
      <c r="C385" s="4" t="s">
        <v>36</v>
      </c>
      <c r="D385" s="73" t="s">
        <v>38</v>
      </c>
      <c r="E385" s="58">
        <f aca="true" t="shared" si="47" ref="E385:E412">F385+I385</f>
        <v>400000</v>
      </c>
      <c r="F385" s="21">
        <v>400000</v>
      </c>
      <c r="G385" s="21">
        <v>0</v>
      </c>
      <c r="H385" s="21">
        <v>0</v>
      </c>
      <c r="I385" s="21">
        <v>0</v>
      </c>
      <c r="J385" s="58">
        <f aca="true" t="shared" si="48" ref="J385:J412">K385+N385</f>
        <v>0</v>
      </c>
      <c r="K385" s="21">
        <v>0</v>
      </c>
      <c r="L385" s="21">
        <v>0</v>
      </c>
      <c r="M385" s="21">
        <v>0</v>
      </c>
      <c r="N385" s="21">
        <v>0</v>
      </c>
      <c r="O385" s="21">
        <v>0</v>
      </c>
      <c r="P385" s="20">
        <f aca="true" t="shared" si="49" ref="P385:P411">E385+J385</f>
        <v>400000</v>
      </c>
      <c r="Q385" s="108"/>
    </row>
    <row r="386" spans="1:17" s="11" customFormat="1" ht="41.25">
      <c r="A386" s="3" t="s">
        <v>315</v>
      </c>
      <c r="B386" s="5" t="s">
        <v>317</v>
      </c>
      <c r="C386" s="4" t="s">
        <v>316</v>
      </c>
      <c r="D386" s="73" t="s">
        <v>318</v>
      </c>
      <c r="E386" s="58">
        <f t="shared" si="47"/>
        <v>27107950.290000003</v>
      </c>
      <c r="F386" s="21">
        <f>28200000-430620-450000+75200+6000+73521.57-59756+26500+7000+1950+7800-250000-196000+150000-22206.32+61318.21-150000-855000+106318.21-198000+94500+52019.8+423904.82+101000-100000+41000+391500</f>
        <v>27107950.290000003</v>
      </c>
      <c r="G386" s="21">
        <v>0</v>
      </c>
      <c r="H386" s="21">
        <v>0</v>
      </c>
      <c r="I386" s="21">
        <v>0</v>
      </c>
      <c r="J386" s="58">
        <f t="shared" si="48"/>
        <v>1331600</v>
      </c>
      <c r="K386" s="21">
        <v>0</v>
      </c>
      <c r="L386" s="21">
        <v>0</v>
      </c>
      <c r="M386" s="21">
        <v>0</v>
      </c>
      <c r="N386" s="21">
        <f>1200000-50000-200000+50000+41500+28600+115520-75520+214500+30000-23000</f>
        <v>1331600</v>
      </c>
      <c r="O386" s="21">
        <f>1200000-50000-200000+50000+41500+28600+115520-75520+214500+30000-23000</f>
        <v>1331600</v>
      </c>
      <c r="P386" s="20">
        <f t="shared" si="49"/>
        <v>28439550.290000003</v>
      </c>
      <c r="Q386" s="108"/>
    </row>
    <row r="387" spans="1:17" s="11" customFormat="1" ht="27">
      <c r="A387" s="16" t="s">
        <v>319</v>
      </c>
      <c r="B387" s="17"/>
      <c r="C387" s="18"/>
      <c r="D387" s="74" t="s">
        <v>320</v>
      </c>
      <c r="E387" s="57">
        <f>F387+I387</f>
        <v>0</v>
      </c>
      <c r="F387" s="19">
        <f>F388</f>
        <v>0</v>
      </c>
      <c r="G387" s="19">
        <f>G388</f>
        <v>0</v>
      </c>
      <c r="H387" s="19">
        <f>H388</f>
        <v>0</v>
      </c>
      <c r="I387" s="19">
        <f>I388</f>
        <v>0</v>
      </c>
      <c r="J387" s="57">
        <f>K387+N387</f>
        <v>21482188</v>
      </c>
      <c r="K387" s="19">
        <f>K388</f>
        <v>0</v>
      </c>
      <c r="L387" s="19">
        <f>L388</f>
        <v>0</v>
      </c>
      <c r="M387" s="19">
        <f>M388</f>
        <v>0</v>
      </c>
      <c r="N387" s="19">
        <f>N388</f>
        <v>21482188</v>
      </c>
      <c r="O387" s="19">
        <f>O388</f>
        <v>21197188</v>
      </c>
      <c r="P387" s="19">
        <f t="shared" si="49"/>
        <v>21482188</v>
      </c>
      <c r="Q387" s="108"/>
    </row>
    <row r="388" spans="1:16" s="11" customFormat="1" ht="13.5">
      <c r="A388" s="22" t="s">
        <v>321</v>
      </c>
      <c r="B388" s="23" t="s">
        <v>322</v>
      </c>
      <c r="C388" s="24" t="s">
        <v>316</v>
      </c>
      <c r="D388" s="75" t="s">
        <v>323</v>
      </c>
      <c r="E388" s="59">
        <f t="shared" si="47"/>
        <v>0</v>
      </c>
      <c r="F388" s="26">
        <v>0</v>
      </c>
      <c r="G388" s="26">
        <v>0</v>
      </c>
      <c r="H388" s="26">
        <v>0</v>
      </c>
      <c r="I388" s="26">
        <v>0</v>
      </c>
      <c r="J388" s="59">
        <f t="shared" si="48"/>
        <v>21482188</v>
      </c>
      <c r="K388" s="26">
        <v>0</v>
      </c>
      <c r="L388" s="26">
        <v>0</v>
      </c>
      <c r="M388" s="26">
        <v>0</v>
      </c>
      <c r="N388" s="26">
        <f>3385000+7352436-190000+7642060+764213-60000+2694000+269400-58000-288112-28809</f>
        <v>21482188</v>
      </c>
      <c r="O388" s="26">
        <f>3100000+7352436-190000+7642060+764213-60000+2694000+269400-58000-288112-28809</f>
        <v>21197188</v>
      </c>
      <c r="P388" s="25">
        <f t="shared" si="49"/>
        <v>21482188</v>
      </c>
    </row>
    <row r="389" spans="1:16" s="47" customFormat="1" ht="72.75" customHeight="1">
      <c r="A389" s="42"/>
      <c r="B389" s="43"/>
      <c r="C389" s="44"/>
      <c r="D389" s="113" t="s">
        <v>552</v>
      </c>
      <c r="E389" s="61">
        <f t="shared" si="47"/>
        <v>0</v>
      </c>
      <c r="F389" s="46">
        <v>0</v>
      </c>
      <c r="G389" s="46">
        <v>0</v>
      </c>
      <c r="H389" s="46">
        <v>0</v>
      </c>
      <c r="I389" s="46">
        <v>0</v>
      </c>
      <c r="J389" s="61">
        <f t="shared" si="48"/>
        <v>10047948</v>
      </c>
      <c r="K389" s="46">
        <v>0</v>
      </c>
      <c r="L389" s="46">
        <v>0</v>
      </c>
      <c r="M389" s="46">
        <v>0</v>
      </c>
      <c r="N389" s="46">
        <f>7642060+2694000-288112</f>
        <v>10047948</v>
      </c>
      <c r="O389" s="46">
        <f>7642060+2694000-288112</f>
        <v>10047948</v>
      </c>
      <c r="P389" s="45">
        <f t="shared" si="49"/>
        <v>10047948</v>
      </c>
    </row>
    <row r="390" spans="1:17" s="11" customFormat="1" ht="27">
      <c r="A390" s="3" t="s">
        <v>324</v>
      </c>
      <c r="B390" s="30"/>
      <c r="C390" s="31"/>
      <c r="D390" s="73" t="s">
        <v>325</v>
      </c>
      <c r="E390" s="58">
        <f t="shared" si="47"/>
        <v>0</v>
      </c>
      <c r="F390" s="21">
        <f>F391</f>
        <v>0</v>
      </c>
      <c r="G390" s="21">
        <f>G391</f>
        <v>0</v>
      </c>
      <c r="H390" s="21">
        <f>H391</f>
        <v>0</v>
      </c>
      <c r="I390" s="21">
        <f>I391</f>
        <v>0</v>
      </c>
      <c r="J390" s="58">
        <f t="shared" si="48"/>
        <v>0</v>
      </c>
      <c r="K390" s="21">
        <f>K391</f>
        <v>0</v>
      </c>
      <c r="L390" s="21">
        <f>L391</f>
        <v>0</v>
      </c>
      <c r="M390" s="21">
        <f>M391</f>
        <v>0</v>
      </c>
      <c r="N390" s="21">
        <f>N391</f>
        <v>0</v>
      </c>
      <c r="O390" s="21">
        <f>O391</f>
        <v>0</v>
      </c>
      <c r="P390" s="20">
        <f t="shared" si="49"/>
        <v>0</v>
      </c>
      <c r="Q390" s="108"/>
    </row>
    <row r="391" spans="1:16" s="11" customFormat="1" ht="27">
      <c r="A391" s="22" t="s">
        <v>326</v>
      </c>
      <c r="B391" s="23" t="s">
        <v>327</v>
      </c>
      <c r="C391" s="24" t="s">
        <v>39</v>
      </c>
      <c r="D391" s="75" t="s">
        <v>328</v>
      </c>
      <c r="E391" s="59">
        <f t="shared" si="47"/>
        <v>0</v>
      </c>
      <c r="F391" s="26">
        <v>0</v>
      </c>
      <c r="G391" s="26">
        <v>0</v>
      </c>
      <c r="H391" s="26">
        <v>0</v>
      </c>
      <c r="I391" s="26">
        <v>0</v>
      </c>
      <c r="J391" s="59">
        <f t="shared" si="48"/>
        <v>0</v>
      </c>
      <c r="K391" s="26">
        <v>0</v>
      </c>
      <c r="L391" s="26">
        <v>0</v>
      </c>
      <c r="M391" s="26">
        <v>0</v>
      </c>
      <c r="N391" s="26">
        <f>5000000-4000000-1000000</f>
        <v>0</v>
      </c>
      <c r="O391" s="26">
        <f>5000000-4000000-1000000</f>
        <v>0</v>
      </c>
      <c r="P391" s="25">
        <f t="shared" si="49"/>
        <v>0</v>
      </c>
    </row>
    <row r="392" spans="1:17" s="11" customFormat="1" ht="13.5">
      <c r="A392" s="3" t="s">
        <v>329</v>
      </c>
      <c r="B392" s="5" t="s">
        <v>40</v>
      </c>
      <c r="C392" s="4" t="s">
        <v>39</v>
      </c>
      <c r="D392" s="73" t="s">
        <v>41</v>
      </c>
      <c r="E392" s="58">
        <f t="shared" si="47"/>
        <v>84132148.53999999</v>
      </c>
      <c r="F392" s="21">
        <f>72200000+1000000-1858857+903035+100000-1500000+357700.8+102901.25-473801.97-106000-50000+26400+8145418-1453950+1500000-815000-199000+39714.89-500000+198000-67000+33653.5-25500-488000+33887.85+31051.22+550000+725000+27995+1630500+4064000</f>
        <v>84132148.53999999</v>
      </c>
      <c r="G392" s="21">
        <v>0</v>
      </c>
      <c r="H392" s="21">
        <f>7200000+3000000+98000+1000000</f>
        <v>11298000</v>
      </c>
      <c r="I392" s="21">
        <v>0</v>
      </c>
      <c r="J392" s="58">
        <f t="shared" si="48"/>
        <v>12688694.2</v>
      </c>
      <c r="K392" s="21">
        <v>0</v>
      </c>
      <c r="L392" s="21">
        <v>0</v>
      </c>
      <c r="M392" s="21">
        <v>0</v>
      </c>
      <c r="N392" s="21">
        <f>9500000+500000+955822+18982.2-873610+84000+120000+1675000+750000+199000-95500+28000-910000-550000-660000+127000+1820000</f>
        <v>12688694.2</v>
      </c>
      <c r="O392" s="21">
        <f>9500000+500000+955822+18982.2-873610+84000+120000+1675000+750000+199000-95500+28000-910000-550000-660000+127000+1820000</f>
        <v>12688694.2</v>
      </c>
      <c r="P392" s="20">
        <f t="shared" si="49"/>
        <v>96820842.74</v>
      </c>
      <c r="Q392" s="108"/>
    </row>
    <row r="393" spans="1:16" s="11" customFormat="1" ht="39" customHeight="1">
      <c r="A393" s="3"/>
      <c r="B393" s="5"/>
      <c r="C393" s="4"/>
      <c r="D393" s="159" t="s">
        <v>576</v>
      </c>
      <c r="E393" s="62">
        <f t="shared" si="47"/>
        <v>0</v>
      </c>
      <c r="F393" s="51">
        <v>0</v>
      </c>
      <c r="G393" s="51">
        <v>0</v>
      </c>
      <c r="H393" s="51">
        <v>0</v>
      </c>
      <c r="I393" s="51">
        <v>0</v>
      </c>
      <c r="J393" s="62">
        <f t="shared" si="48"/>
        <v>28000</v>
      </c>
      <c r="K393" s="51">
        <v>0</v>
      </c>
      <c r="L393" s="51">
        <v>0</v>
      </c>
      <c r="M393" s="51">
        <v>0</v>
      </c>
      <c r="N393" s="46">
        <v>28000</v>
      </c>
      <c r="O393" s="46">
        <v>28000</v>
      </c>
      <c r="P393" s="52">
        <f t="shared" si="49"/>
        <v>28000</v>
      </c>
    </row>
    <row r="394" spans="1:17" s="11" customFormat="1" ht="82.5" customHeight="1">
      <c r="A394" s="3" t="s">
        <v>330</v>
      </c>
      <c r="B394" s="5" t="s">
        <v>331</v>
      </c>
      <c r="C394" s="4" t="s">
        <v>39</v>
      </c>
      <c r="D394" s="73" t="s">
        <v>332</v>
      </c>
      <c r="E394" s="58">
        <f t="shared" si="47"/>
        <v>2700000</v>
      </c>
      <c r="F394" s="21">
        <f>2000000+500000+200000-65000+65000</f>
        <v>2700000</v>
      </c>
      <c r="G394" s="21">
        <v>0</v>
      </c>
      <c r="H394" s="21">
        <v>0</v>
      </c>
      <c r="I394" s="21">
        <v>0</v>
      </c>
      <c r="J394" s="58">
        <f t="shared" si="48"/>
        <v>0</v>
      </c>
      <c r="K394" s="21">
        <v>0</v>
      </c>
      <c r="L394" s="21">
        <v>0</v>
      </c>
      <c r="M394" s="21">
        <v>0</v>
      </c>
      <c r="N394" s="21">
        <v>0</v>
      </c>
      <c r="O394" s="21">
        <v>0</v>
      </c>
      <c r="P394" s="20">
        <f t="shared" si="49"/>
        <v>2700000</v>
      </c>
      <c r="Q394" s="108"/>
    </row>
    <row r="395" spans="1:17" s="11" customFormat="1" ht="34.5" customHeight="1">
      <c r="A395" s="3" t="s">
        <v>333</v>
      </c>
      <c r="B395" s="5" t="s">
        <v>222</v>
      </c>
      <c r="C395" s="4" t="s">
        <v>147</v>
      </c>
      <c r="D395" s="73" t="s">
        <v>223</v>
      </c>
      <c r="E395" s="58">
        <f t="shared" si="47"/>
        <v>0</v>
      </c>
      <c r="F395" s="21">
        <v>0</v>
      </c>
      <c r="G395" s="21">
        <v>0</v>
      </c>
      <c r="H395" s="21">
        <v>0</v>
      </c>
      <c r="I395" s="21">
        <v>0</v>
      </c>
      <c r="J395" s="58">
        <f t="shared" si="48"/>
        <v>9138144</v>
      </c>
      <c r="K395" s="21">
        <v>0</v>
      </c>
      <c r="L395" s="21">
        <v>0</v>
      </c>
      <c r="M395" s="21">
        <v>0</v>
      </c>
      <c r="N395" s="21">
        <f>12260000+300000+150000-1500000-3792926+1000000+400000+388405-764213-4835787+40000+1991538+100000+1996786+117600+1286741</f>
        <v>9138144</v>
      </c>
      <c r="O395" s="21">
        <f>12260000+300000+150000-1500000-3792926+1000000+400000+388405-764213-4835787+40000+1991538+100000+1996786+117600+1286741</f>
        <v>9138144</v>
      </c>
      <c r="P395" s="20">
        <f t="shared" si="49"/>
        <v>9138144</v>
      </c>
      <c r="Q395" s="108"/>
    </row>
    <row r="396" spans="1:16" s="47" customFormat="1" ht="72.75" customHeight="1">
      <c r="A396" s="42"/>
      <c r="B396" s="43"/>
      <c r="C396" s="44"/>
      <c r="D396" s="113" t="s">
        <v>552</v>
      </c>
      <c r="E396" s="61">
        <f>F396+I396</f>
        <v>0</v>
      </c>
      <c r="F396" s="46">
        <v>0</v>
      </c>
      <c r="G396" s="46">
        <v>0</v>
      </c>
      <c r="H396" s="46">
        <v>0</v>
      </c>
      <c r="I396" s="46">
        <v>0</v>
      </c>
      <c r="J396" s="61">
        <f>K396+N396</f>
        <v>1918260</v>
      </c>
      <c r="K396" s="46">
        <v>0</v>
      </c>
      <c r="L396" s="46">
        <v>0</v>
      </c>
      <c r="M396" s="46">
        <v>0</v>
      </c>
      <c r="N396" s="46">
        <f>1815260+103000</f>
        <v>1918260</v>
      </c>
      <c r="O396" s="46">
        <f>1815260+103000</f>
        <v>1918260</v>
      </c>
      <c r="P396" s="45">
        <f>E396+J396</f>
        <v>1918260</v>
      </c>
    </row>
    <row r="397" spans="1:17" s="11" customFormat="1" ht="59.25" customHeight="1">
      <c r="A397" s="3" t="s">
        <v>334</v>
      </c>
      <c r="B397" s="5" t="s">
        <v>335</v>
      </c>
      <c r="C397" s="4" t="s">
        <v>60</v>
      </c>
      <c r="D397" s="73" t="s">
        <v>336</v>
      </c>
      <c r="E397" s="58">
        <f t="shared" si="47"/>
        <v>0</v>
      </c>
      <c r="F397" s="21">
        <v>0</v>
      </c>
      <c r="G397" s="21">
        <v>0</v>
      </c>
      <c r="H397" s="21">
        <v>0</v>
      </c>
      <c r="I397" s="21">
        <v>0</v>
      </c>
      <c r="J397" s="58">
        <f t="shared" si="48"/>
        <v>0</v>
      </c>
      <c r="K397" s="21">
        <v>0</v>
      </c>
      <c r="L397" s="21">
        <v>0</v>
      </c>
      <c r="M397" s="21">
        <v>0</v>
      </c>
      <c r="N397" s="21">
        <f>500000-500000</f>
        <v>0</v>
      </c>
      <c r="O397" s="21">
        <f>500000-500000</f>
        <v>0</v>
      </c>
      <c r="P397" s="20">
        <f t="shared" si="49"/>
        <v>0</v>
      </c>
      <c r="Q397" s="108"/>
    </row>
    <row r="398" spans="1:17" s="11" customFormat="1" ht="59.25" customHeight="1">
      <c r="A398" s="3" t="s">
        <v>549</v>
      </c>
      <c r="B398" s="5" t="s">
        <v>550</v>
      </c>
      <c r="C398" s="4" t="s">
        <v>52</v>
      </c>
      <c r="D398" s="73" t="s">
        <v>551</v>
      </c>
      <c r="E398" s="58">
        <f>F398+I398</f>
        <v>0</v>
      </c>
      <c r="F398" s="21">
        <v>0</v>
      </c>
      <c r="G398" s="21">
        <v>0</v>
      </c>
      <c r="H398" s="21">
        <v>0</v>
      </c>
      <c r="I398" s="21">
        <v>0</v>
      </c>
      <c r="J398" s="58">
        <f>K398+N398</f>
        <v>300000</v>
      </c>
      <c r="K398" s="21">
        <v>0</v>
      </c>
      <c r="L398" s="21">
        <v>0</v>
      </c>
      <c r="M398" s="21">
        <v>0</v>
      </c>
      <c r="N398" s="21">
        <f>288000+312000-300000</f>
        <v>300000</v>
      </c>
      <c r="O398" s="21">
        <f>288000+312000-300000</f>
        <v>300000</v>
      </c>
      <c r="P398" s="20">
        <f>E398+J398</f>
        <v>300000</v>
      </c>
      <c r="Q398" s="108"/>
    </row>
    <row r="399" spans="1:17" s="11" customFormat="1" ht="54.75">
      <c r="A399" s="3" t="s">
        <v>516</v>
      </c>
      <c r="B399" s="5" t="s">
        <v>517</v>
      </c>
      <c r="C399" s="4" t="s">
        <v>158</v>
      </c>
      <c r="D399" s="95" t="s">
        <v>509</v>
      </c>
      <c r="E399" s="58">
        <f>F399+I399</f>
        <v>0</v>
      </c>
      <c r="F399" s="21">
        <v>0</v>
      </c>
      <c r="G399" s="21">
        <v>0</v>
      </c>
      <c r="H399" s="21">
        <v>0</v>
      </c>
      <c r="I399" s="21">
        <v>0</v>
      </c>
      <c r="J399" s="58">
        <f>K399+N399</f>
        <v>983400</v>
      </c>
      <c r="K399" s="21">
        <v>0</v>
      </c>
      <c r="L399" s="21">
        <v>0</v>
      </c>
      <c r="M399" s="21">
        <v>0</v>
      </c>
      <c r="N399" s="21">
        <f>1146000-162600</f>
        <v>983400</v>
      </c>
      <c r="O399" s="21">
        <f>1146000-162600</f>
        <v>983400</v>
      </c>
      <c r="P399" s="20">
        <f>E399+J399</f>
        <v>983400</v>
      </c>
      <c r="Q399" s="108"/>
    </row>
    <row r="400" spans="1:17" s="53" customFormat="1" ht="54.75" hidden="1">
      <c r="A400" s="3">
        <v>4716360</v>
      </c>
      <c r="B400" s="5">
        <v>6360</v>
      </c>
      <c r="C400" s="4" t="s">
        <v>158</v>
      </c>
      <c r="D400" s="73" t="s">
        <v>509</v>
      </c>
      <c r="E400" s="58">
        <f>F400+I400</f>
        <v>0</v>
      </c>
      <c r="F400" s="21"/>
      <c r="G400" s="21"/>
      <c r="H400" s="21"/>
      <c r="I400" s="21"/>
      <c r="J400" s="58">
        <f>K400+N400</f>
        <v>0</v>
      </c>
      <c r="K400" s="21"/>
      <c r="L400" s="21"/>
      <c r="M400" s="21"/>
      <c r="N400" s="21">
        <v>0</v>
      </c>
      <c r="O400" s="21">
        <v>0</v>
      </c>
      <c r="P400" s="20">
        <f>E400+J400</f>
        <v>0</v>
      </c>
      <c r="Q400" s="119"/>
    </row>
    <row r="401" spans="1:17" s="11" customFormat="1" ht="27">
      <c r="A401" s="3" t="s">
        <v>337</v>
      </c>
      <c r="B401" s="5" t="s">
        <v>339</v>
      </c>
      <c r="C401" s="4" t="s">
        <v>338</v>
      </c>
      <c r="D401" s="73" t="s">
        <v>340</v>
      </c>
      <c r="E401" s="58">
        <f t="shared" si="47"/>
        <v>49801960</v>
      </c>
      <c r="F401" s="21">
        <f>30600000+8000000+199960-600000+10000000+196000+1670000-95000-40000-106000-23000</f>
        <v>49801960</v>
      </c>
      <c r="G401" s="21">
        <v>0</v>
      </c>
      <c r="H401" s="21">
        <v>0</v>
      </c>
      <c r="I401" s="21">
        <v>0</v>
      </c>
      <c r="J401" s="58">
        <f t="shared" si="48"/>
        <v>50000</v>
      </c>
      <c r="K401" s="21">
        <v>0</v>
      </c>
      <c r="L401" s="21">
        <v>0</v>
      </c>
      <c r="M401" s="21">
        <v>0</v>
      </c>
      <c r="N401" s="21">
        <f>0+50000+190000-50000-94500-45500</f>
        <v>50000</v>
      </c>
      <c r="O401" s="21">
        <f>0+50000+190000-50000-94500-45500</f>
        <v>50000</v>
      </c>
      <c r="P401" s="20">
        <f t="shared" si="49"/>
        <v>49851960</v>
      </c>
      <c r="Q401" s="108"/>
    </row>
    <row r="402" spans="1:17" s="11" customFormat="1" ht="34.5" customHeight="1">
      <c r="A402" s="3" t="s">
        <v>341</v>
      </c>
      <c r="B402" s="5" t="s">
        <v>148</v>
      </c>
      <c r="C402" s="4" t="s">
        <v>147</v>
      </c>
      <c r="D402" s="73" t="s">
        <v>149</v>
      </c>
      <c r="E402" s="58">
        <f t="shared" si="47"/>
        <v>0</v>
      </c>
      <c r="F402" s="21">
        <v>0</v>
      </c>
      <c r="G402" s="21">
        <v>0</v>
      </c>
      <c r="H402" s="21">
        <v>0</v>
      </c>
      <c r="I402" s="21">
        <v>0</v>
      </c>
      <c r="J402" s="58">
        <f t="shared" si="48"/>
        <v>92369270.49000001</v>
      </c>
      <c r="K402" s="21">
        <v>0</v>
      </c>
      <c r="L402" s="21">
        <v>0</v>
      </c>
      <c r="M402" s="21">
        <v>0</v>
      </c>
      <c r="N402" s="21">
        <f>73790000+2200000-5000000+1500000+500000-1298104+47050+83602.67+900000+1000000+100000+50000+56000+183582+77387.94+3000000+36000+150000+8063.76-1000000+250000-183000+11350+16957.5-2000000+4500000+178200-1000000-4000000+12045787-11088+41481.62+7000000-4000000-2000000-3000000+8136000</f>
        <v>92369270.49000001</v>
      </c>
      <c r="O402" s="21">
        <f>73790000+2200000-5000000+1500000+500000-1298104+47050+83602.67+900000+1000000+100000+50000+56000+183582+77387.94+3000000+36000+150000+8063.76-1000000+250000-183000+11350+16957.5-2000000+4500000+178200-1000000-4000000+12045787-11088+41481.62+7000000-4000000-2000000-3000000+8136000</f>
        <v>92369270.49000001</v>
      </c>
      <c r="P402" s="20">
        <f t="shared" si="49"/>
        <v>92369270.49000001</v>
      </c>
      <c r="Q402" s="108"/>
    </row>
    <row r="403" spans="1:16" s="47" customFormat="1" ht="42" customHeight="1">
      <c r="A403" s="48"/>
      <c r="B403" s="49"/>
      <c r="C403" s="50"/>
      <c r="D403" s="159" t="s">
        <v>576</v>
      </c>
      <c r="E403" s="62">
        <f>F403+I403</f>
        <v>0</v>
      </c>
      <c r="F403" s="51">
        <v>0</v>
      </c>
      <c r="G403" s="51">
        <v>0</v>
      </c>
      <c r="H403" s="51">
        <v>0</v>
      </c>
      <c r="I403" s="51">
        <v>0</v>
      </c>
      <c r="J403" s="62">
        <f>K403+N403</f>
        <v>10500</v>
      </c>
      <c r="K403" s="51">
        <v>0</v>
      </c>
      <c r="L403" s="51">
        <v>0</v>
      </c>
      <c r="M403" s="51">
        <v>0</v>
      </c>
      <c r="N403" s="51">
        <v>10500</v>
      </c>
      <c r="O403" s="51">
        <v>10500</v>
      </c>
      <c r="P403" s="52">
        <f>E403+J403</f>
        <v>10500</v>
      </c>
    </row>
    <row r="404" spans="1:17" s="11" customFormat="1" ht="13.5">
      <c r="A404" s="16" t="s">
        <v>342</v>
      </c>
      <c r="B404" s="64" t="s">
        <v>32</v>
      </c>
      <c r="C404" s="65" t="s">
        <v>31</v>
      </c>
      <c r="D404" s="74" t="s">
        <v>33</v>
      </c>
      <c r="E404" s="57">
        <f t="shared" si="47"/>
        <v>1616667</v>
      </c>
      <c r="F404" s="19">
        <f>F406+F407+F408</f>
        <v>1616667</v>
      </c>
      <c r="G404" s="19">
        <f>G406+G407+G408</f>
        <v>0</v>
      </c>
      <c r="H404" s="19">
        <f>H406+H407+H408</f>
        <v>0</v>
      </c>
      <c r="I404" s="19">
        <f>I406+I407+I408</f>
        <v>0</v>
      </c>
      <c r="J404" s="57">
        <f t="shared" si="48"/>
        <v>0</v>
      </c>
      <c r="K404" s="19">
        <f>K406+K407+K408</f>
        <v>0</v>
      </c>
      <c r="L404" s="19">
        <f>L406+L407+L408</f>
        <v>0</v>
      </c>
      <c r="M404" s="19">
        <f>M406+M407+M408</f>
        <v>0</v>
      </c>
      <c r="N404" s="19">
        <f>N406+N407+N408</f>
        <v>0</v>
      </c>
      <c r="O404" s="19">
        <f>O406+O407+O408</f>
        <v>0</v>
      </c>
      <c r="P404" s="19">
        <f t="shared" si="49"/>
        <v>1616667</v>
      </c>
      <c r="Q404" s="108"/>
    </row>
    <row r="405" spans="1:16" s="47" customFormat="1" ht="13.5">
      <c r="A405" s="42"/>
      <c r="B405" s="43"/>
      <c r="C405" s="44"/>
      <c r="D405" s="94" t="s">
        <v>487</v>
      </c>
      <c r="E405" s="58"/>
      <c r="F405" s="46"/>
      <c r="G405" s="46"/>
      <c r="H405" s="46"/>
      <c r="I405" s="46"/>
      <c r="J405" s="58"/>
      <c r="K405" s="46"/>
      <c r="L405" s="46"/>
      <c r="M405" s="46"/>
      <c r="N405" s="46"/>
      <c r="O405" s="46"/>
      <c r="P405" s="20"/>
    </row>
    <row r="406" spans="1:16" s="47" customFormat="1" ht="45" customHeight="1">
      <c r="A406" s="42"/>
      <c r="B406" s="43"/>
      <c r="C406" s="44"/>
      <c r="D406" s="113" t="s">
        <v>490</v>
      </c>
      <c r="E406" s="61">
        <f t="shared" si="47"/>
        <v>100000</v>
      </c>
      <c r="F406" s="46">
        <f>200000-100000</f>
        <v>100000</v>
      </c>
      <c r="G406" s="46">
        <v>0</v>
      </c>
      <c r="H406" s="46">
        <v>0</v>
      </c>
      <c r="I406" s="46">
        <v>0</v>
      </c>
      <c r="J406" s="61">
        <f t="shared" si="48"/>
        <v>0</v>
      </c>
      <c r="K406" s="46">
        <v>0</v>
      </c>
      <c r="L406" s="46">
        <v>0</v>
      </c>
      <c r="M406" s="46">
        <v>0</v>
      </c>
      <c r="N406" s="46">
        <v>0</v>
      </c>
      <c r="O406" s="46">
        <v>0</v>
      </c>
      <c r="P406" s="45">
        <f t="shared" si="49"/>
        <v>100000</v>
      </c>
    </row>
    <row r="407" spans="1:16" s="47" customFormat="1" ht="52.5" customHeight="1">
      <c r="A407" s="42"/>
      <c r="B407" s="43"/>
      <c r="C407" s="126"/>
      <c r="D407" s="113" t="s">
        <v>491</v>
      </c>
      <c r="E407" s="61">
        <f t="shared" si="47"/>
        <v>1516667</v>
      </c>
      <c r="F407" s="46">
        <f>1300000+216667</f>
        <v>1516667</v>
      </c>
      <c r="G407" s="46"/>
      <c r="H407" s="46"/>
      <c r="I407" s="46"/>
      <c r="J407" s="61">
        <f t="shared" si="48"/>
        <v>0</v>
      </c>
      <c r="K407" s="46"/>
      <c r="L407" s="46"/>
      <c r="M407" s="46"/>
      <c r="N407" s="46"/>
      <c r="O407" s="46"/>
      <c r="P407" s="45">
        <f t="shared" si="49"/>
        <v>1516667</v>
      </c>
    </row>
    <row r="408" spans="1:16" s="47" customFormat="1" ht="55.5" customHeight="1">
      <c r="A408" s="42"/>
      <c r="B408" s="43"/>
      <c r="C408" s="126"/>
      <c r="D408" s="113" t="s">
        <v>492</v>
      </c>
      <c r="E408" s="61">
        <f t="shared" si="47"/>
        <v>0</v>
      </c>
      <c r="F408" s="46">
        <f>1010000-1010000</f>
        <v>0</v>
      </c>
      <c r="G408" s="46"/>
      <c r="H408" s="46"/>
      <c r="I408" s="46"/>
      <c r="J408" s="61">
        <f t="shared" si="48"/>
        <v>0</v>
      </c>
      <c r="K408" s="46"/>
      <c r="L408" s="46"/>
      <c r="M408" s="46"/>
      <c r="N408" s="46"/>
      <c r="O408" s="46"/>
      <c r="P408" s="45">
        <f t="shared" si="49"/>
        <v>0</v>
      </c>
    </row>
    <row r="409" spans="1:17" s="11" customFormat="1" ht="13.5">
      <c r="A409" s="16" t="s">
        <v>343</v>
      </c>
      <c r="B409" s="64" t="s">
        <v>344</v>
      </c>
      <c r="C409" s="65" t="s">
        <v>35</v>
      </c>
      <c r="D409" s="74" t="s">
        <v>345</v>
      </c>
      <c r="E409" s="57">
        <f t="shared" si="47"/>
        <v>0</v>
      </c>
      <c r="F409" s="19">
        <f>F411</f>
        <v>0</v>
      </c>
      <c r="G409" s="19">
        <f aca="true" t="shared" si="50" ref="G409:O409">G411</f>
        <v>0</v>
      </c>
      <c r="H409" s="19">
        <f t="shared" si="50"/>
        <v>0</v>
      </c>
      <c r="I409" s="19">
        <f t="shared" si="50"/>
        <v>0</v>
      </c>
      <c r="J409" s="57">
        <f t="shared" si="48"/>
        <v>40500000</v>
      </c>
      <c r="K409" s="19">
        <f>K411</f>
        <v>0</v>
      </c>
      <c r="L409" s="19">
        <f t="shared" si="50"/>
        <v>0</v>
      </c>
      <c r="M409" s="19">
        <f t="shared" si="50"/>
        <v>0</v>
      </c>
      <c r="N409" s="19">
        <f t="shared" si="50"/>
        <v>40500000</v>
      </c>
      <c r="O409" s="19">
        <f t="shared" si="50"/>
        <v>40500000</v>
      </c>
      <c r="P409" s="19">
        <f t="shared" si="49"/>
        <v>40500000</v>
      </c>
      <c r="Q409" s="108"/>
    </row>
    <row r="410" spans="1:16" s="47" customFormat="1" ht="13.5">
      <c r="A410" s="42"/>
      <c r="B410" s="43"/>
      <c r="C410" s="44"/>
      <c r="D410" s="94" t="s">
        <v>487</v>
      </c>
      <c r="E410" s="58"/>
      <c r="F410" s="46"/>
      <c r="G410" s="46"/>
      <c r="H410" s="46"/>
      <c r="I410" s="46"/>
      <c r="J410" s="58"/>
      <c r="K410" s="46"/>
      <c r="L410" s="46"/>
      <c r="M410" s="46"/>
      <c r="N410" s="46"/>
      <c r="O410" s="46"/>
      <c r="P410" s="20"/>
    </row>
    <row r="411" spans="1:16" s="47" customFormat="1" ht="60.75" customHeight="1">
      <c r="A411" s="42"/>
      <c r="B411" s="43"/>
      <c r="C411" s="44"/>
      <c r="D411" s="113" t="s">
        <v>489</v>
      </c>
      <c r="E411" s="61">
        <f t="shared" si="47"/>
        <v>0</v>
      </c>
      <c r="F411" s="46">
        <v>0</v>
      </c>
      <c r="G411" s="46">
        <v>0</v>
      </c>
      <c r="H411" s="46">
        <v>0</v>
      </c>
      <c r="I411" s="46">
        <v>0</v>
      </c>
      <c r="J411" s="61">
        <f t="shared" si="48"/>
        <v>40500000</v>
      </c>
      <c r="K411" s="46">
        <v>0</v>
      </c>
      <c r="L411" s="46">
        <v>0</v>
      </c>
      <c r="M411" s="46">
        <v>0</v>
      </c>
      <c r="N411" s="46">
        <f>60000000-20000000+2000000-1500000</f>
        <v>40500000</v>
      </c>
      <c r="O411" s="46">
        <f>60000000-20000000+2000000-1500000</f>
        <v>40500000</v>
      </c>
      <c r="P411" s="45">
        <f t="shared" si="49"/>
        <v>40500000</v>
      </c>
    </row>
    <row r="412" spans="1:17" s="11" customFormat="1" ht="27">
      <c r="A412" s="3" t="s">
        <v>544</v>
      </c>
      <c r="B412" s="5" t="s">
        <v>152</v>
      </c>
      <c r="C412" s="4" t="s">
        <v>151</v>
      </c>
      <c r="D412" s="73" t="s">
        <v>153</v>
      </c>
      <c r="E412" s="58">
        <f t="shared" si="47"/>
        <v>0</v>
      </c>
      <c r="F412" s="21">
        <v>0</v>
      </c>
      <c r="G412" s="21">
        <v>0</v>
      </c>
      <c r="H412" s="21">
        <v>0</v>
      </c>
      <c r="I412" s="21">
        <v>0</v>
      </c>
      <c r="J412" s="58">
        <f t="shared" si="48"/>
        <v>400000</v>
      </c>
      <c r="K412" s="21">
        <f>0+200000+200000</f>
        <v>400000</v>
      </c>
      <c r="L412" s="21">
        <v>0</v>
      </c>
      <c r="M412" s="21">
        <v>0</v>
      </c>
      <c r="N412" s="21">
        <v>0</v>
      </c>
      <c r="O412" s="21">
        <v>0</v>
      </c>
      <c r="P412" s="20">
        <f>E412+J412</f>
        <v>400000</v>
      </c>
      <c r="Q412" s="108"/>
    </row>
    <row r="413" spans="1:17" s="98" customFormat="1" ht="38.25" customHeight="1">
      <c r="A413" s="66" t="s">
        <v>346</v>
      </c>
      <c r="B413" s="67"/>
      <c r="C413" s="68"/>
      <c r="D413" s="72" t="s">
        <v>347</v>
      </c>
      <c r="E413" s="69">
        <f aca="true" t="shared" si="51" ref="E413:E418">F413+I413</f>
        <v>4198545</v>
      </c>
      <c r="F413" s="70">
        <f>F414+F421</f>
        <v>4198545</v>
      </c>
      <c r="G413" s="70">
        <f>G414+G421</f>
        <v>2282499</v>
      </c>
      <c r="H413" s="70">
        <f>H414+H421</f>
        <v>372275</v>
      </c>
      <c r="I413" s="70">
        <f>I414+I421</f>
        <v>0</v>
      </c>
      <c r="J413" s="69">
        <f aca="true" t="shared" si="52" ref="J413:J418">K413+N413</f>
        <v>369480</v>
      </c>
      <c r="K413" s="70">
        <f>K414+K421</f>
        <v>0</v>
      </c>
      <c r="L413" s="70">
        <f>L414+L421</f>
        <v>0</v>
      </c>
      <c r="M413" s="70">
        <f>M414+M421</f>
        <v>0</v>
      </c>
      <c r="N413" s="70">
        <f>N414+N421</f>
        <v>369480</v>
      </c>
      <c r="O413" s="70">
        <f>O414+O421</f>
        <v>369480</v>
      </c>
      <c r="P413" s="70">
        <f aca="true" t="shared" si="53" ref="P413:P418">E413+J413</f>
        <v>4568025</v>
      </c>
      <c r="Q413" s="118"/>
    </row>
    <row r="414" spans="1:17" s="99" customFormat="1" ht="27">
      <c r="A414" s="27" t="s">
        <v>348</v>
      </c>
      <c r="B414" s="28"/>
      <c r="C414" s="29"/>
      <c r="D414" s="78" t="s">
        <v>349</v>
      </c>
      <c r="E414" s="58">
        <f t="shared" si="51"/>
        <v>3042108</v>
      </c>
      <c r="F414" s="20">
        <f>F415+F416+F417+F418</f>
        <v>3042108</v>
      </c>
      <c r="G414" s="20">
        <f aca="true" t="shared" si="54" ref="G414:O414">G415+G416+G417+G418</f>
        <v>1524556</v>
      </c>
      <c r="H414" s="20">
        <f t="shared" si="54"/>
        <v>297855</v>
      </c>
      <c r="I414" s="20">
        <f t="shared" si="54"/>
        <v>0</v>
      </c>
      <c r="J414" s="58">
        <f t="shared" si="52"/>
        <v>369480</v>
      </c>
      <c r="K414" s="20">
        <f t="shared" si="54"/>
        <v>0</v>
      </c>
      <c r="L414" s="20">
        <f t="shared" si="54"/>
        <v>0</v>
      </c>
      <c r="M414" s="20">
        <f t="shared" si="54"/>
        <v>0</v>
      </c>
      <c r="N414" s="20">
        <f t="shared" si="54"/>
        <v>369480</v>
      </c>
      <c r="O414" s="20">
        <f t="shared" si="54"/>
        <v>369480</v>
      </c>
      <c r="P414" s="20">
        <f t="shared" si="53"/>
        <v>3411588</v>
      </c>
      <c r="Q414" s="122"/>
    </row>
    <row r="415" spans="1:17" s="11" customFormat="1" ht="27">
      <c r="A415" s="3" t="s">
        <v>350</v>
      </c>
      <c r="B415" s="30" t="s">
        <v>35</v>
      </c>
      <c r="C415" s="30" t="s">
        <v>20</v>
      </c>
      <c r="D415" s="73" t="s">
        <v>535</v>
      </c>
      <c r="E415" s="58">
        <f t="shared" si="51"/>
        <v>2542108</v>
      </c>
      <c r="F415" s="21">
        <f>2177792+88300+231377+44639</f>
        <v>2542108</v>
      </c>
      <c r="G415" s="21">
        <f>1226014+72300+189653+36589</f>
        <v>1524556</v>
      </c>
      <c r="H415" s="21">
        <f>202855+95000</f>
        <v>297855</v>
      </c>
      <c r="I415" s="21">
        <v>0</v>
      </c>
      <c r="J415" s="58">
        <f t="shared" si="52"/>
        <v>0</v>
      </c>
      <c r="K415" s="21">
        <v>0</v>
      </c>
      <c r="L415" s="21">
        <v>0</v>
      </c>
      <c r="M415" s="21">
        <v>0</v>
      </c>
      <c r="N415" s="21">
        <v>0</v>
      </c>
      <c r="O415" s="21">
        <v>0</v>
      </c>
      <c r="P415" s="20">
        <f t="shared" si="53"/>
        <v>2542108</v>
      </c>
      <c r="Q415" s="108"/>
    </row>
    <row r="416" spans="1:17" s="11" customFormat="1" ht="27">
      <c r="A416" s="3" t="s">
        <v>351</v>
      </c>
      <c r="B416" s="5" t="s">
        <v>353</v>
      </c>
      <c r="C416" s="4" t="s">
        <v>352</v>
      </c>
      <c r="D416" s="73" t="s">
        <v>354</v>
      </c>
      <c r="E416" s="58">
        <f t="shared" si="51"/>
        <v>0</v>
      </c>
      <c r="F416" s="21">
        <v>0</v>
      </c>
      <c r="G416" s="21">
        <v>0</v>
      </c>
      <c r="H416" s="21">
        <v>0</v>
      </c>
      <c r="I416" s="21">
        <v>0</v>
      </c>
      <c r="J416" s="58">
        <f t="shared" si="52"/>
        <v>266000</v>
      </c>
      <c r="K416" s="21">
        <v>0</v>
      </c>
      <c r="L416" s="21">
        <v>0</v>
      </c>
      <c r="M416" s="21">
        <v>0</v>
      </c>
      <c r="N416" s="21">
        <f>1500000-1234000</f>
        <v>266000</v>
      </c>
      <c r="O416" s="21">
        <f>1500000-1234000</f>
        <v>266000</v>
      </c>
      <c r="P416" s="20">
        <f t="shared" si="53"/>
        <v>266000</v>
      </c>
      <c r="Q416" s="108"/>
    </row>
    <row r="417" spans="1:17" s="11" customFormat="1" ht="27">
      <c r="A417" s="3" t="s">
        <v>355</v>
      </c>
      <c r="B417" s="5" t="s">
        <v>148</v>
      </c>
      <c r="C417" s="4" t="s">
        <v>147</v>
      </c>
      <c r="D417" s="73" t="s">
        <v>149</v>
      </c>
      <c r="E417" s="58">
        <f t="shared" si="51"/>
        <v>0</v>
      </c>
      <c r="F417" s="21">
        <v>0</v>
      </c>
      <c r="G417" s="21">
        <v>0</v>
      </c>
      <c r="H417" s="21">
        <v>0</v>
      </c>
      <c r="I417" s="21">
        <v>0</v>
      </c>
      <c r="J417" s="58">
        <f t="shared" si="52"/>
        <v>103480</v>
      </c>
      <c r="K417" s="21">
        <v>0</v>
      </c>
      <c r="L417" s="21">
        <v>0</v>
      </c>
      <c r="M417" s="21">
        <v>0</v>
      </c>
      <c r="N417" s="21">
        <f>500000-396520</f>
        <v>103480</v>
      </c>
      <c r="O417" s="21">
        <f>500000-396520</f>
        <v>103480</v>
      </c>
      <c r="P417" s="20">
        <f t="shared" si="53"/>
        <v>103480</v>
      </c>
      <c r="Q417" s="108"/>
    </row>
    <row r="418" spans="1:16" s="41" customFormat="1" ht="18" customHeight="1">
      <c r="A418" s="16" t="s">
        <v>356</v>
      </c>
      <c r="B418" s="64" t="s">
        <v>344</v>
      </c>
      <c r="C418" s="65" t="s">
        <v>35</v>
      </c>
      <c r="D418" s="74" t="s">
        <v>345</v>
      </c>
      <c r="E418" s="57">
        <f t="shared" si="51"/>
        <v>500000</v>
      </c>
      <c r="F418" s="19">
        <f>F420</f>
        <v>500000</v>
      </c>
      <c r="G418" s="19">
        <f>G420</f>
        <v>0</v>
      </c>
      <c r="H418" s="19">
        <f>H420</f>
        <v>0</v>
      </c>
      <c r="I418" s="19">
        <f>I420</f>
        <v>0</v>
      </c>
      <c r="J418" s="57">
        <f t="shared" si="52"/>
        <v>0</v>
      </c>
      <c r="K418" s="19">
        <f>K420</f>
        <v>0</v>
      </c>
      <c r="L418" s="19">
        <f>L420</f>
        <v>0</v>
      </c>
      <c r="M418" s="19">
        <f>M420</f>
        <v>0</v>
      </c>
      <c r="N418" s="19">
        <f>N420</f>
        <v>0</v>
      </c>
      <c r="O418" s="19">
        <f>O420</f>
        <v>0</v>
      </c>
      <c r="P418" s="19">
        <f t="shared" si="53"/>
        <v>500000</v>
      </c>
    </row>
    <row r="419" spans="1:16" s="47" customFormat="1" ht="14.25">
      <c r="A419" s="48"/>
      <c r="B419" s="49"/>
      <c r="C419" s="50"/>
      <c r="D419" s="94" t="s">
        <v>487</v>
      </c>
      <c r="E419" s="62"/>
      <c r="F419" s="51"/>
      <c r="G419" s="51"/>
      <c r="H419" s="51"/>
      <c r="I419" s="51"/>
      <c r="J419" s="62"/>
      <c r="K419" s="51"/>
      <c r="L419" s="51"/>
      <c r="M419" s="51"/>
      <c r="N419" s="51"/>
      <c r="O419" s="51"/>
      <c r="P419" s="52"/>
    </row>
    <row r="420" spans="1:16" s="47" customFormat="1" ht="41.25">
      <c r="A420" s="42"/>
      <c r="B420" s="43"/>
      <c r="C420" s="44"/>
      <c r="D420" s="113" t="s">
        <v>488</v>
      </c>
      <c r="E420" s="61">
        <f>F420+I420</f>
        <v>500000</v>
      </c>
      <c r="F420" s="46">
        <v>500000</v>
      </c>
      <c r="G420" s="46">
        <v>0</v>
      </c>
      <c r="H420" s="46">
        <v>0</v>
      </c>
      <c r="I420" s="46">
        <v>0</v>
      </c>
      <c r="J420" s="61">
        <f>K420+N420</f>
        <v>0</v>
      </c>
      <c r="K420" s="46">
        <v>0</v>
      </c>
      <c r="L420" s="46">
        <v>0</v>
      </c>
      <c r="M420" s="46">
        <v>0</v>
      </c>
      <c r="N420" s="46">
        <v>0</v>
      </c>
      <c r="O420" s="46">
        <v>0</v>
      </c>
      <c r="P420" s="45">
        <f aca="true" t="shared" si="55" ref="P420:P425">E420+J420</f>
        <v>500000</v>
      </c>
    </row>
    <row r="421" spans="1:17" s="99" customFormat="1" ht="27">
      <c r="A421" s="27" t="s">
        <v>348</v>
      </c>
      <c r="B421" s="28"/>
      <c r="C421" s="29"/>
      <c r="D421" s="96" t="s">
        <v>425</v>
      </c>
      <c r="E421" s="58">
        <f aca="true" t="shared" si="56" ref="E421:E441">F421+I421</f>
        <v>1156437</v>
      </c>
      <c r="F421" s="20">
        <f>F422</f>
        <v>1156437</v>
      </c>
      <c r="G421" s="20">
        <f>G422</f>
        <v>757943</v>
      </c>
      <c r="H421" s="20">
        <f>H422</f>
        <v>74420</v>
      </c>
      <c r="I421" s="20">
        <f>I422</f>
        <v>0</v>
      </c>
      <c r="J421" s="58">
        <f aca="true" t="shared" si="57" ref="J421:J455">K421+N421</f>
        <v>0</v>
      </c>
      <c r="K421" s="20">
        <f>K422</f>
        <v>0</v>
      </c>
      <c r="L421" s="20">
        <f>L422</f>
        <v>0</v>
      </c>
      <c r="M421" s="20">
        <f>M422</f>
        <v>0</v>
      </c>
      <c r="N421" s="20">
        <f>N422</f>
        <v>0</v>
      </c>
      <c r="O421" s="20">
        <f>O422</f>
        <v>0</v>
      </c>
      <c r="P421" s="20">
        <f t="shared" si="55"/>
        <v>1156437</v>
      </c>
      <c r="Q421" s="122"/>
    </row>
    <row r="422" spans="1:17" s="11" customFormat="1" ht="27">
      <c r="A422" s="3" t="s">
        <v>350</v>
      </c>
      <c r="B422" s="30" t="s">
        <v>35</v>
      </c>
      <c r="C422" s="30" t="s">
        <v>20</v>
      </c>
      <c r="D422" s="73" t="s">
        <v>535</v>
      </c>
      <c r="E422" s="58">
        <f t="shared" si="56"/>
        <v>1156437</v>
      </c>
      <c r="F422" s="21">
        <f>930345+28000+50900+125026+22166</f>
        <v>1156437</v>
      </c>
      <c r="G422" s="21">
        <f>595594+41700+102480+18169</f>
        <v>757943</v>
      </c>
      <c r="H422" s="21">
        <v>74420</v>
      </c>
      <c r="I422" s="21">
        <v>0</v>
      </c>
      <c r="J422" s="58">
        <f t="shared" si="57"/>
        <v>0</v>
      </c>
      <c r="K422" s="21">
        <v>0</v>
      </c>
      <c r="L422" s="21">
        <v>0</v>
      </c>
      <c r="M422" s="21">
        <v>0</v>
      </c>
      <c r="N422" s="21">
        <v>0</v>
      </c>
      <c r="O422" s="21">
        <v>0</v>
      </c>
      <c r="P422" s="20">
        <f t="shared" si="55"/>
        <v>1156437</v>
      </c>
      <c r="Q422" s="108"/>
    </row>
    <row r="423" spans="1:17" s="98" customFormat="1" ht="46.5">
      <c r="A423" s="66" t="s">
        <v>357</v>
      </c>
      <c r="B423" s="67"/>
      <c r="C423" s="68"/>
      <c r="D423" s="72" t="s">
        <v>358</v>
      </c>
      <c r="E423" s="69">
        <f>F423+I423</f>
        <v>1255091</v>
      </c>
      <c r="F423" s="70">
        <f>F424</f>
        <v>1255091</v>
      </c>
      <c r="G423" s="70">
        <f aca="true" t="shared" si="58" ref="G423:O423">G424</f>
        <v>904363</v>
      </c>
      <c r="H423" s="70">
        <f t="shared" si="58"/>
        <v>57634</v>
      </c>
      <c r="I423" s="70">
        <f t="shared" si="58"/>
        <v>0</v>
      </c>
      <c r="J423" s="69">
        <f t="shared" si="57"/>
        <v>11569274.8</v>
      </c>
      <c r="K423" s="70">
        <f t="shared" si="58"/>
        <v>3697900</v>
      </c>
      <c r="L423" s="70">
        <f t="shared" si="58"/>
        <v>0</v>
      </c>
      <c r="M423" s="70">
        <f t="shared" si="58"/>
        <v>0</v>
      </c>
      <c r="N423" s="70">
        <f t="shared" si="58"/>
        <v>7871374.8</v>
      </c>
      <c r="O423" s="70">
        <f t="shared" si="58"/>
        <v>2881100</v>
      </c>
      <c r="P423" s="70">
        <f t="shared" si="55"/>
        <v>12824365.8</v>
      </c>
      <c r="Q423" s="118"/>
    </row>
    <row r="424" spans="1:16" s="99" customFormat="1" ht="27">
      <c r="A424" s="27" t="s">
        <v>359</v>
      </c>
      <c r="B424" s="28"/>
      <c r="C424" s="29"/>
      <c r="D424" s="78" t="s">
        <v>360</v>
      </c>
      <c r="E424" s="58">
        <f>F424+I424</f>
        <v>1255091</v>
      </c>
      <c r="F424" s="20">
        <f>F425+F426+F427+F428+F429+F430+F431+F432</f>
        <v>1255091</v>
      </c>
      <c r="G424" s="20">
        <f>G425+G426+G427+G428+G429+G430+G431+G432</f>
        <v>904363</v>
      </c>
      <c r="H424" s="20">
        <f>H425+H426+H427+H428+H429+H430+H431+H432</f>
        <v>57634</v>
      </c>
      <c r="I424" s="20">
        <f>I425+I426+I427+I428+I429+I430+I431+I432</f>
        <v>0</v>
      </c>
      <c r="J424" s="58">
        <f>K424+N424</f>
        <v>11569274.8</v>
      </c>
      <c r="K424" s="20">
        <f>K425+K426+K427+K428+K429+K430+K431+K432</f>
        <v>3697900</v>
      </c>
      <c r="L424" s="20">
        <f>L425+L426+L427+L428+L429+L430+L431+L432</f>
        <v>0</v>
      </c>
      <c r="M424" s="20">
        <f>M425+M426+M427+M428+M429+M430+M431+M432</f>
        <v>0</v>
      </c>
      <c r="N424" s="20">
        <f>N425+N426+N427+N428+N429+N430+N431+N432</f>
        <v>7871374.8</v>
      </c>
      <c r="O424" s="20">
        <f>O425+O426+O427+O428+O429+O430+O431+O432</f>
        <v>2881100</v>
      </c>
      <c r="P424" s="20">
        <f t="shared" si="55"/>
        <v>12824365.8</v>
      </c>
    </row>
    <row r="425" spans="1:17" s="11" customFormat="1" ht="27">
      <c r="A425" s="3" t="s">
        <v>361</v>
      </c>
      <c r="B425" s="30" t="s">
        <v>35</v>
      </c>
      <c r="C425" s="30" t="s">
        <v>20</v>
      </c>
      <c r="D425" s="73" t="s">
        <v>535</v>
      </c>
      <c r="E425" s="58">
        <f t="shared" si="56"/>
        <v>1228607</v>
      </c>
      <c r="F425" s="21">
        <f>1103975-31776+5292+27200+93296+30620</f>
        <v>1228607</v>
      </c>
      <c r="G425" s="21">
        <f>780493+22300+76472+25098</f>
        <v>904363</v>
      </c>
      <c r="H425" s="21">
        <v>57634</v>
      </c>
      <c r="I425" s="21">
        <v>0</v>
      </c>
      <c r="J425" s="58">
        <f t="shared" si="57"/>
        <v>0</v>
      </c>
      <c r="K425" s="21">
        <v>0</v>
      </c>
      <c r="L425" s="21">
        <v>0</v>
      </c>
      <c r="M425" s="21">
        <v>0</v>
      </c>
      <c r="N425" s="21">
        <v>0</v>
      </c>
      <c r="O425" s="21">
        <v>0</v>
      </c>
      <c r="P425" s="20">
        <f t="shared" si="55"/>
        <v>1228607</v>
      </c>
      <c r="Q425" s="108"/>
    </row>
    <row r="426" spans="1:17" s="11" customFormat="1" ht="27">
      <c r="A426" s="3" t="s">
        <v>362</v>
      </c>
      <c r="B426" s="5" t="s">
        <v>148</v>
      </c>
      <c r="C426" s="4" t="s">
        <v>147</v>
      </c>
      <c r="D426" s="73" t="s">
        <v>149</v>
      </c>
      <c r="E426" s="58">
        <f>F426+I426</f>
        <v>0</v>
      </c>
      <c r="F426" s="21">
        <v>0</v>
      </c>
      <c r="G426" s="21">
        <v>0</v>
      </c>
      <c r="H426" s="21">
        <v>0</v>
      </c>
      <c r="I426" s="21">
        <v>0</v>
      </c>
      <c r="J426" s="58">
        <f t="shared" si="57"/>
        <v>650000</v>
      </c>
      <c r="K426" s="21">
        <v>0</v>
      </c>
      <c r="L426" s="21">
        <v>0</v>
      </c>
      <c r="M426" s="21">
        <v>0</v>
      </c>
      <c r="N426" s="21">
        <f>200000+450000</f>
        <v>650000</v>
      </c>
      <c r="O426" s="21">
        <f>200000+450000</f>
        <v>650000</v>
      </c>
      <c r="P426" s="20">
        <f aca="true" t="shared" si="59" ref="P426:P436">E426+J426</f>
        <v>650000</v>
      </c>
      <c r="Q426" s="108"/>
    </row>
    <row r="427" spans="1:17" s="11" customFormat="1" ht="13.5">
      <c r="A427" s="3">
        <v>6017700</v>
      </c>
      <c r="B427" s="30" t="s">
        <v>569</v>
      </c>
      <c r="C427" s="4" t="s">
        <v>373</v>
      </c>
      <c r="D427" s="95" t="s">
        <v>570</v>
      </c>
      <c r="E427" s="58">
        <f>F427+I427</f>
        <v>0</v>
      </c>
      <c r="F427" s="21">
        <v>0</v>
      </c>
      <c r="G427" s="21">
        <v>0</v>
      </c>
      <c r="H427" s="21">
        <v>0</v>
      </c>
      <c r="I427" s="21"/>
      <c r="J427" s="58">
        <f t="shared" si="57"/>
        <v>2231100</v>
      </c>
      <c r="K427" s="21">
        <v>0</v>
      </c>
      <c r="L427" s="21">
        <v>0</v>
      </c>
      <c r="M427" s="21">
        <v>0</v>
      </c>
      <c r="N427" s="21">
        <v>2231100</v>
      </c>
      <c r="O427" s="21">
        <v>2231100</v>
      </c>
      <c r="P427" s="20">
        <f>E427+J427</f>
        <v>2231100</v>
      </c>
      <c r="Q427" s="108"/>
    </row>
    <row r="428" spans="1:18" s="11" customFormat="1" ht="27">
      <c r="A428" s="3" t="s">
        <v>363</v>
      </c>
      <c r="B428" s="5" t="s">
        <v>152</v>
      </c>
      <c r="C428" s="4" t="s">
        <v>151</v>
      </c>
      <c r="D428" s="73" t="s">
        <v>153</v>
      </c>
      <c r="E428" s="58">
        <f t="shared" si="56"/>
        <v>0</v>
      </c>
      <c r="F428" s="21">
        <v>0</v>
      </c>
      <c r="G428" s="21">
        <v>0</v>
      </c>
      <c r="H428" s="21">
        <v>0</v>
      </c>
      <c r="I428" s="21">
        <v>0</v>
      </c>
      <c r="J428" s="58">
        <f>K428+N428</f>
        <v>5547274.8</v>
      </c>
      <c r="K428" s="21">
        <f>230000+400000+100000-10000</f>
        <v>720000</v>
      </c>
      <c r="L428" s="21">
        <v>0</v>
      </c>
      <c r="M428" s="21">
        <v>0</v>
      </c>
      <c r="N428" s="21">
        <f>5600000-404200+436174.8+1172000-477900-1390000-100000-8800</f>
        <v>4827274.8</v>
      </c>
      <c r="O428" s="21">
        <v>0</v>
      </c>
      <c r="P428" s="20">
        <f t="shared" si="59"/>
        <v>5547274.8</v>
      </c>
      <c r="Q428" s="108"/>
      <c r="R428" s="108"/>
    </row>
    <row r="429" spans="1:17" s="11" customFormat="1" ht="13.5">
      <c r="A429" s="3" t="s">
        <v>364</v>
      </c>
      <c r="B429" s="5" t="s">
        <v>366</v>
      </c>
      <c r="C429" s="4" t="s">
        <v>365</v>
      </c>
      <c r="D429" s="73" t="s">
        <v>367</v>
      </c>
      <c r="E429" s="58">
        <f t="shared" si="56"/>
        <v>0</v>
      </c>
      <c r="F429" s="21">
        <v>0</v>
      </c>
      <c r="G429" s="21">
        <v>0</v>
      </c>
      <c r="H429" s="21">
        <v>0</v>
      </c>
      <c r="I429" s="21">
        <v>0</v>
      </c>
      <c r="J429" s="58">
        <f t="shared" si="57"/>
        <v>2613000</v>
      </c>
      <c r="K429" s="21">
        <f>1500000-50000+1000000</f>
        <v>2450000</v>
      </c>
      <c r="L429" s="21">
        <v>0</v>
      </c>
      <c r="M429" s="21">
        <v>0</v>
      </c>
      <c r="N429" s="21">
        <f>54200+100000+8800</f>
        <v>163000</v>
      </c>
      <c r="O429" s="21">
        <v>0</v>
      </c>
      <c r="P429" s="20">
        <f t="shared" si="59"/>
        <v>2613000</v>
      </c>
      <c r="Q429" s="108"/>
    </row>
    <row r="430" spans="1:17" s="11" customFormat="1" ht="27">
      <c r="A430" s="3" t="s">
        <v>368</v>
      </c>
      <c r="B430" s="5" t="s">
        <v>370</v>
      </c>
      <c r="C430" s="4" t="s">
        <v>369</v>
      </c>
      <c r="D430" s="73" t="s">
        <v>371</v>
      </c>
      <c r="E430" s="58">
        <f t="shared" si="56"/>
        <v>0</v>
      </c>
      <c r="F430" s="21">
        <v>0</v>
      </c>
      <c r="G430" s="21">
        <v>0</v>
      </c>
      <c r="H430" s="21">
        <v>0</v>
      </c>
      <c r="I430" s="21">
        <v>0</v>
      </c>
      <c r="J430" s="58">
        <f t="shared" si="57"/>
        <v>500000</v>
      </c>
      <c r="K430" s="21">
        <v>500000</v>
      </c>
      <c r="L430" s="21">
        <v>0</v>
      </c>
      <c r="M430" s="21">
        <v>0</v>
      </c>
      <c r="N430" s="21">
        <v>0</v>
      </c>
      <c r="O430" s="21">
        <v>0</v>
      </c>
      <c r="P430" s="20">
        <f t="shared" si="59"/>
        <v>500000</v>
      </c>
      <c r="Q430" s="108"/>
    </row>
    <row r="431" spans="1:17" s="11" customFormat="1" ht="27">
      <c r="A431" s="3" t="s">
        <v>372</v>
      </c>
      <c r="B431" s="5" t="s">
        <v>374</v>
      </c>
      <c r="C431" s="4" t="s">
        <v>373</v>
      </c>
      <c r="D431" s="73" t="s">
        <v>375</v>
      </c>
      <c r="E431" s="58">
        <f t="shared" si="56"/>
        <v>0</v>
      </c>
      <c r="F431" s="21">
        <v>0</v>
      </c>
      <c r="G431" s="21">
        <v>0</v>
      </c>
      <c r="H431" s="21">
        <v>0</v>
      </c>
      <c r="I431" s="21">
        <v>0</v>
      </c>
      <c r="J431" s="58">
        <f t="shared" si="57"/>
        <v>27900</v>
      </c>
      <c r="K431" s="21">
        <v>27900</v>
      </c>
      <c r="L431" s="21">
        <v>0</v>
      </c>
      <c r="M431" s="21">
        <v>0</v>
      </c>
      <c r="N431" s="21">
        <v>0</v>
      </c>
      <c r="O431" s="21">
        <v>0</v>
      </c>
      <c r="P431" s="20">
        <f t="shared" si="59"/>
        <v>27900</v>
      </c>
      <c r="Q431" s="108"/>
    </row>
    <row r="432" spans="1:17" s="11" customFormat="1" ht="13.5">
      <c r="A432" s="16" t="s">
        <v>529</v>
      </c>
      <c r="B432" s="64" t="s">
        <v>32</v>
      </c>
      <c r="C432" s="65" t="s">
        <v>31</v>
      </c>
      <c r="D432" s="74" t="s">
        <v>33</v>
      </c>
      <c r="E432" s="57">
        <f t="shared" si="56"/>
        <v>26484</v>
      </c>
      <c r="F432" s="19">
        <f>F434</f>
        <v>26484</v>
      </c>
      <c r="G432" s="19">
        <f>G434</f>
        <v>0</v>
      </c>
      <c r="H432" s="19">
        <f>H434</f>
        <v>0</v>
      </c>
      <c r="I432" s="19">
        <f>I434</f>
        <v>0</v>
      </c>
      <c r="J432" s="57">
        <f t="shared" si="57"/>
        <v>0</v>
      </c>
      <c r="K432" s="19">
        <f>K434</f>
        <v>0</v>
      </c>
      <c r="L432" s="19">
        <f>L434</f>
        <v>0</v>
      </c>
      <c r="M432" s="19">
        <f>M434</f>
        <v>0</v>
      </c>
      <c r="N432" s="19">
        <f>N434</f>
        <v>0</v>
      </c>
      <c r="O432" s="19">
        <f>O434</f>
        <v>0</v>
      </c>
      <c r="P432" s="19">
        <f t="shared" si="59"/>
        <v>26484</v>
      </c>
      <c r="Q432" s="108"/>
    </row>
    <row r="433" spans="1:16" s="47" customFormat="1" ht="13.5">
      <c r="A433" s="42"/>
      <c r="B433" s="43"/>
      <c r="C433" s="44"/>
      <c r="D433" s="94" t="s">
        <v>487</v>
      </c>
      <c r="E433" s="58"/>
      <c r="F433" s="46"/>
      <c r="G433" s="46"/>
      <c r="H433" s="46"/>
      <c r="I433" s="46"/>
      <c r="J433" s="58"/>
      <c r="K433" s="46"/>
      <c r="L433" s="46"/>
      <c r="M433" s="46"/>
      <c r="N433" s="46"/>
      <c r="O433" s="46"/>
      <c r="P433" s="20"/>
    </row>
    <row r="434" spans="1:16" s="47" customFormat="1" ht="35.25" customHeight="1">
      <c r="A434" s="42"/>
      <c r="B434" s="43"/>
      <c r="C434" s="44"/>
      <c r="D434" s="113" t="s">
        <v>490</v>
      </c>
      <c r="E434" s="61">
        <f>F434+I434</f>
        <v>26484</v>
      </c>
      <c r="F434" s="46">
        <f>31776-5292</f>
        <v>26484</v>
      </c>
      <c r="G434" s="46">
        <v>0</v>
      </c>
      <c r="H434" s="46">
        <v>0</v>
      </c>
      <c r="I434" s="46">
        <v>0</v>
      </c>
      <c r="J434" s="61">
        <f>K434+N434</f>
        <v>0</v>
      </c>
      <c r="K434" s="46">
        <v>0</v>
      </c>
      <c r="L434" s="46">
        <v>0</v>
      </c>
      <c r="M434" s="46">
        <v>0</v>
      </c>
      <c r="N434" s="46">
        <v>0</v>
      </c>
      <c r="O434" s="46">
        <v>0</v>
      </c>
      <c r="P434" s="45">
        <f>E434+J434</f>
        <v>26484</v>
      </c>
    </row>
    <row r="435" spans="1:17" s="98" customFormat="1" ht="38.25" customHeight="1">
      <c r="A435" s="66" t="s">
        <v>376</v>
      </c>
      <c r="B435" s="67"/>
      <c r="C435" s="68"/>
      <c r="D435" s="72" t="s">
        <v>377</v>
      </c>
      <c r="E435" s="69">
        <f t="shared" si="56"/>
        <v>45134264</v>
      </c>
      <c r="F435" s="70">
        <f>F436</f>
        <v>1134264</v>
      </c>
      <c r="G435" s="70">
        <f>G436</f>
        <v>569838</v>
      </c>
      <c r="H435" s="70">
        <f>H436</f>
        <v>46684</v>
      </c>
      <c r="I435" s="70">
        <f>I436</f>
        <v>44000000</v>
      </c>
      <c r="J435" s="69">
        <f t="shared" si="57"/>
        <v>2215000</v>
      </c>
      <c r="K435" s="70">
        <f>K436</f>
        <v>15000</v>
      </c>
      <c r="L435" s="70">
        <f>L436</f>
        <v>0</v>
      </c>
      <c r="M435" s="70">
        <f>M436</f>
        <v>0</v>
      </c>
      <c r="N435" s="70">
        <f>N436</f>
        <v>2200000</v>
      </c>
      <c r="O435" s="70">
        <f>O436</f>
        <v>2200000</v>
      </c>
      <c r="P435" s="70">
        <f t="shared" si="59"/>
        <v>47349264</v>
      </c>
      <c r="Q435" s="118"/>
    </row>
    <row r="436" spans="1:16" s="99" customFormat="1" ht="27">
      <c r="A436" s="27" t="s">
        <v>378</v>
      </c>
      <c r="B436" s="28"/>
      <c r="C436" s="29"/>
      <c r="D436" s="78" t="s">
        <v>379</v>
      </c>
      <c r="E436" s="58">
        <f t="shared" si="56"/>
        <v>45134264</v>
      </c>
      <c r="F436" s="20">
        <f>F437+F438+F439+F440+F441</f>
        <v>1134264</v>
      </c>
      <c r="G436" s="20">
        <f>G437+G438+G439+G440+G441</f>
        <v>569838</v>
      </c>
      <c r="H436" s="20">
        <f>H437+H438+H439+H440+H441</f>
        <v>46684</v>
      </c>
      <c r="I436" s="20">
        <f>I437+I438+I439+I440+I441</f>
        <v>44000000</v>
      </c>
      <c r="J436" s="58">
        <f t="shared" si="57"/>
        <v>2215000</v>
      </c>
      <c r="K436" s="20">
        <f>K437+K438+K439+K440+K441</f>
        <v>15000</v>
      </c>
      <c r="L436" s="20">
        <f>L437+L438+L439+L440+L441</f>
        <v>0</v>
      </c>
      <c r="M436" s="20">
        <f>M437+M438+M439+M440+M441</f>
        <v>0</v>
      </c>
      <c r="N436" s="20">
        <f>N437+N438+N439+N440+N441</f>
        <v>2200000</v>
      </c>
      <c r="O436" s="20">
        <f>O437+O438+O439+O440+O441</f>
        <v>2200000</v>
      </c>
      <c r="P436" s="20">
        <f t="shared" si="59"/>
        <v>47349264</v>
      </c>
    </row>
    <row r="437" spans="1:17" s="11" customFormat="1" ht="27">
      <c r="A437" s="3" t="s">
        <v>380</v>
      </c>
      <c r="B437" s="30" t="s">
        <v>35</v>
      </c>
      <c r="C437" s="30" t="s">
        <v>20</v>
      </c>
      <c r="D437" s="73" t="s">
        <v>535</v>
      </c>
      <c r="E437" s="58">
        <f t="shared" si="56"/>
        <v>949264</v>
      </c>
      <c r="F437" s="21">
        <f>867962+33900+39400+8002</f>
        <v>949264</v>
      </c>
      <c r="G437" s="21">
        <f>515479+27800+20000+6559</f>
        <v>569838</v>
      </c>
      <c r="H437" s="21">
        <f>31684+15000</f>
        <v>46684</v>
      </c>
      <c r="I437" s="21">
        <v>0</v>
      </c>
      <c r="J437" s="58">
        <f t="shared" si="57"/>
        <v>0</v>
      </c>
      <c r="K437" s="21">
        <v>0</v>
      </c>
      <c r="L437" s="21">
        <v>0</v>
      </c>
      <c r="M437" s="21">
        <v>0</v>
      </c>
      <c r="N437" s="21">
        <v>0</v>
      </c>
      <c r="O437" s="21">
        <v>0</v>
      </c>
      <c r="P437" s="20">
        <f>E437+J437</f>
        <v>949264</v>
      </c>
      <c r="Q437" s="108"/>
    </row>
    <row r="438" spans="1:16" s="11" customFormat="1" ht="13.5">
      <c r="A438" s="3" t="s">
        <v>381</v>
      </c>
      <c r="B438" s="5" t="s">
        <v>383</v>
      </c>
      <c r="C438" s="4" t="s">
        <v>382</v>
      </c>
      <c r="D438" s="73" t="s">
        <v>384</v>
      </c>
      <c r="E438" s="58">
        <f t="shared" si="56"/>
        <v>44000000</v>
      </c>
      <c r="F438" s="21">
        <v>0</v>
      </c>
      <c r="G438" s="21">
        <v>0</v>
      </c>
      <c r="H438" s="21">
        <v>0</v>
      </c>
      <c r="I438" s="21">
        <f>34000000+10000000</f>
        <v>44000000</v>
      </c>
      <c r="J438" s="58">
        <f t="shared" si="57"/>
        <v>0</v>
      </c>
      <c r="K438" s="21">
        <v>0</v>
      </c>
      <c r="L438" s="21">
        <v>0</v>
      </c>
      <c r="M438" s="21">
        <v>0</v>
      </c>
      <c r="N438" s="21">
        <v>0</v>
      </c>
      <c r="O438" s="21">
        <v>0</v>
      </c>
      <c r="P438" s="20">
        <f>E438+J438</f>
        <v>44000000</v>
      </c>
    </row>
    <row r="439" spans="1:16" s="11" customFormat="1" ht="27">
      <c r="A439" s="3" t="s">
        <v>385</v>
      </c>
      <c r="B439" s="5" t="s">
        <v>387</v>
      </c>
      <c r="C439" s="4" t="s">
        <v>386</v>
      </c>
      <c r="D439" s="73" t="s">
        <v>388</v>
      </c>
      <c r="E439" s="58">
        <f t="shared" si="56"/>
        <v>185000</v>
      </c>
      <c r="F439" s="21">
        <f>200000-15000</f>
        <v>185000</v>
      </c>
      <c r="G439" s="21">
        <v>0</v>
      </c>
      <c r="H439" s="21">
        <v>0</v>
      </c>
      <c r="I439" s="21">
        <v>0</v>
      </c>
      <c r="J439" s="58">
        <f t="shared" si="57"/>
        <v>0</v>
      </c>
      <c r="K439" s="21">
        <v>0</v>
      </c>
      <c r="L439" s="21">
        <v>0</v>
      </c>
      <c r="M439" s="21">
        <v>0</v>
      </c>
      <c r="N439" s="21">
        <v>0</v>
      </c>
      <c r="O439" s="21">
        <v>0</v>
      </c>
      <c r="P439" s="20">
        <f>E439+J439</f>
        <v>185000</v>
      </c>
    </row>
    <row r="440" spans="1:16" s="11" customFormat="1" ht="27">
      <c r="A440" s="3" t="s">
        <v>389</v>
      </c>
      <c r="B440" s="5" t="s">
        <v>391</v>
      </c>
      <c r="C440" s="4" t="s">
        <v>390</v>
      </c>
      <c r="D440" s="73" t="s">
        <v>392</v>
      </c>
      <c r="E440" s="58">
        <f t="shared" si="56"/>
        <v>0</v>
      </c>
      <c r="F440" s="21">
        <v>0</v>
      </c>
      <c r="G440" s="21">
        <v>0</v>
      </c>
      <c r="H440" s="21">
        <v>0</v>
      </c>
      <c r="I440" s="21">
        <v>0</v>
      </c>
      <c r="J440" s="58">
        <f t="shared" si="57"/>
        <v>15000</v>
      </c>
      <c r="K440" s="21">
        <v>15000</v>
      </c>
      <c r="L440" s="21">
        <v>0</v>
      </c>
      <c r="M440" s="21">
        <v>0</v>
      </c>
      <c r="N440" s="21">
        <v>0</v>
      </c>
      <c r="O440" s="21">
        <v>0</v>
      </c>
      <c r="P440" s="20">
        <f>E440+J440</f>
        <v>15000</v>
      </c>
    </row>
    <row r="441" spans="1:18" s="11" customFormat="1" ht="27">
      <c r="A441" s="3" t="s">
        <v>393</v>
      </c>
      <c r="B441" s="5" t="s">
        <v>148</v>
      </c>
      <c r="C441" s="4" t="s">
        <v>147</v>
      </c>
      <c r="D441" s="73" t="s">
        <v>149</v>
      </c>
      <c r="E441" s="58">
        <f t="shared" si="56"/>
        <v>0</v>
      </c>
      <c r="F441" s="21">
        <v>0</v>
      </c>
      <c r="G441" s="21">
        <v>0</v>
      </c>
      <c r="H441" s="21">
        <v>0</v>
      </c>
      <c r="I441" s="21">
        <v>0</v>
      </c>
      <c r="J441" s="58">
        <f t="shared" si="57"/>
        <v>2200000</v>
      </c>
      <c r="K441" s="21">
        <v>0</v>
      </c>
      <c r="L441" s="21">
        <v>0</v>
      </c>
      <c r="M441" s="21">
        <v>0</v>
      </c>
      <c r="N441" s="21">
        <f>5000000+200000-3000000</f>
        <v>2200000</v>
      </c>
      <c r="O441" s="21">
        <f>5000000+200000-3000000</f>
        <v>2200000</v>
      </c>
      <c r="P441" s="20">
        <f>E441+J441</f>
        <v>2200000</v>
      </c>
      <c r="R441" s="108"/>
    </row>
    <row r="442" spans="1:17" s="98" customFormat="1" ht="30.75">
      <c r="A442" s="66" t="s">
        <v>394</v>
      </c>
      <c r="B442" s="67"/>
      <c r="C442" s="68"/>
      <c r="D442" s="72" t="s">
        <v>395</v>
      </c>
      <c r="E442" s="69">
        <f aca="true" t="shared" si="60" ref="E442:E455">F442+I442</f>
        <v>1696575</v>
      </c>
      <c r="F442" s="70">
        <f>F443</f>
        <v>1696575</v>
      </c>
      <c r="G442" s="70">
        <f>G443</f>
        <v>952669</v>
      </c>
      <c r="H442" s="70">
        <f>H443</f>
        <v>72110</v>
      </c>
      <c r="I442" s="70">
        <f>I443</f>
        <v>0</v>
      </c>
      <c r="J442" s="69">
        <f t="shared" si="57"/>
        <v>2230155</v>
      </c>
      <c r="K442" s="70">
        <f>K443</f>
        <v>0</v>
      </c>
      <c r="L442" s="70">
        <f>L443</f>
        <v>0</v>
      </c>
      <c r="M442" s="70">
        <f>M443</f>
        <v>0</v>
      </c>
      <c r="N442" s="70">
        <f>N443</f>
        <v>2230155</v>
      </c>
      <c r="O442" s="70">
        <f>O443</f>
        <v>2230155</v>
      </c>
      <c r="P442" s="70">
        <f aca="true" t="shared" si="61" ref="P442:P467">E442+J442</f>
        <v>3926730</v>
      </c>
      <c r="Q442" s="118"/>
    </row>
    <row r="443" spans="1:16" s="99" customFormat="1" ht="41.25">
      <c r="A443" s="27" t="s">
        <v>396</v>
      </c>
      <c r="B443" s="28"/>
      <c r="C443" s="29"/>
      <c r="D443" s="78" t="s">
        <v>397</v>
      </c>
      <c r="E443" s="58">
        <f t="shared" si="60"/>
        <v>1696575</v>
      </c>
      <c r="F443" s="20">
        <f>F444+F445+F446</f>
        <v>1696575</v>
      </c>
      <c r="G443" s="20">
        <f>G444+G445+G446</f>
        <v>952669</v>
      </c>
      <c r="H443" s="20">
        <f>H444+H445+H446</f>
        <v>72110</v>
      </c>
      <c r="I443" s="20">
        <f>I444+I445+I446</f>
        <v>0</v>
      </c>
      <c r="J443" s="58">
        <f t="shared" si="57"/>
        <v>2230155</v>
      </c>
      <c r="K443" s="20">
        <f>K444+K445+K446</f>
        <v>0</v>
      </c>
      <c r="L443" s="20">
        <f>L444+L445+L446</f>
        <v>0</v>
      </c>
      <c r="M443" s="20">
        <f>M444+M445+M446</f>
        <v>0</v>
      </c>
      <c r="N443" s="20">
        <f>N444+N445+N446</f>
        <v>2230155</v>
      </c>
      <c r="O443" s="20">
        <f>O444+O445+O446</f>
        <v>2230155</v>
      </c>
      <c r="P443" s="20">
        <f t="shared" si="61"/>
        <v>3926730</v>
      </c>
    </row>
    <row r="444" spans="1:18" s="11" customFormat="1" ht="27">
      <c r="A444" s="3" t="s">
        <v>398</v>
      </c>
      <c r="B444" s="30" t="s">
        <v>35</v>
      </c>
      <c r="C444" s="30" t="s">
        <v>20</v>
      </c>
      <c r="D444" s="73" t="s">
        <v>535</v>
      </c>
      <c r="E444" s="58">
        <f t="shared" si="60"/>
        <v>1532075</v>
      </c>
      <c r="F444" s="21">
        <f>1480130+51945</f>
        <v>1532075</v>
      </c>
      <c r="G444" s="21">
        <v>952669</v>
      </c>
      <c r="H444" s="21">
        <f>62110+10000</f>
        <v>72110</v>
      </c>
      <c r="I444" s="21">
        <v>0</v>
      </c>
      <c r="J444" s="58">
        <f t="shared" si="57"/>
        <v>76000</v>
      </c>
      <c r="K444" s="21">
        <v>0</v>
      </c>
      <c r="L444" s="21">
        <v>0</v>
      </c>
      <c r="M444" s="21">
        <v>0</v>
      </c>
      <c r="N444" s="21">
        <v>76000</v>
      </c>
      <c r="O444" s="21">
        <v>76000</v>
      </c>
      <c r="P444" s="20">
        <f t="shared" si="61"/>
        <v>1608075</v>
      </c>
      <c r="Q444" s="108"/>
      <c r="R444" s="108"/>
    </row>
    <row r="445" spans="1:19" s="11" customFormat="1" ht="69">
      <c r="A445" s="3" t="s">
        <v>519</v>
      </c>
      <c r="B445" s="30" t="s">
        <v>520</v>
      </c>
      <c r="C445" s="4" t="s">
        <v>39</v>
      </c>
      <c r="D445" s="95" t="s">
        <v>518</v>
      </c>
      <c r="E445" s="58">
        <f t="shared" si="60"/>
        <v>0</v>
      </c>
      <c r="F445" s="21">
        <v>0</v>
      </c>
      <c r="G445" s="21">
        <v>0</v>
      </c>
      <c r="H445" s="21">
        <v>0</v>
      </c>
      <c r="I445" s="21">
        <v>0</v>
      </c>
      <c r="J445" s="58">
        <f t="shared" si="57"/>
        <v>2118655</v>
      </c>
      <c r="K445" s="21">
        <v>0</v>
      </c>
      <c r="L445" s="21">
        <v>0</v>
      </c>
      <c r="M445" s="21">
        <v>0</v>
      </c>
      <c r="N445" s="21">
        <f>2370600-251945</f>
        <v>2118655</v>
      </c>
      <c r="O445" s="21">
        <f>2370600-251945</f>
        <v>2118655</v>
      </c>
      <c r="P445" s="20">
        <f t="shared" si="61"/>
        <v>2118655</v>
      </c>
      <c r="Q445" s="108"/>
      <c r="S445" s="108"/>
    </row>
    <row r="446" spans="1:16" s="11" customFormat="1" ht="41.25">
      <c r="A446" s="3" t="s">
        <v>399</v>
      </c>
      <c r="B446" s="5" t="s">
        <v>401</v>
      </c>
      <c r="C446" s="4" t="s">
        <v>400</v>
      </c>
      <c r="D446" s="73" t="s">
        <v>402</v>
      </c>
      <c r="E446" s="58">
        <f t="shared" si="60"/>
        <v>164500</v>
      </c>
      <c r="F446" s="21">
        <f>200000-35500</f>
        <v>164500</v>
      </c>
      <c r="G446" s="21">
        <v>0</v>
      </c>
      <c r="H446" s="21">
        <v>0</v>
      </c>
      <c r="I446" s="21">
        <v>0</v>
      </c>
      <c r="J446" s="58">
        <f t="shared" si="57"/>
        <v>35500</v>
      </c>
      <c r="K446" s="21">
        <v>0</v>
      </c>
      <c r="L446" s="21">
        <v>0</v>
      </c>
      <c r="M446" s="21">
        <v>0</v>
      </c>
      <c r="N446" s="21">
        <f>0+35500</f>
        <v>35500</v>
      </c>
      <c r="O446" s="21">
        <f>0+35500</f>
        <v>35500</v>
      </c>
      <c r="P446" s="20">
        <f t="shared" si="61"/>
        <v>200000</v>
      </c>
    </row>
    <row r="447" spans="1:17" s="98" customFormat="1" ht="24" customHeight="1">
      <c r="A447" s="66" t="s">
        <v>403</v>
      </c>
      <c r="B447" s="67"/>
      <c r="C447" s="68"/>
      <c r="D447" s="72" t="s">
        <v>404</v>
      </c>
      <c r="E447" s="69">
        <f t="shared" si="60"/>
        <v>3289928</v>
      </c>
      <c r="F447" s="70">
        <f>F448</f>
        <v>3289928</v>
      </c>
      <c r="G447" s="70">
        <f aca="true" t="shared" si="62" ref="G447:O447">G448</f>
        <v>2082325</v>
      </c>
      <c r="H447" s="70">
        <f t="shared" si="62"/>
        <v>105320</v>
      </c>
      <c r="I447" s="70">
        <f t="shared" si="62"/>
        <v>0</v>
      </c>
      <c r="J447" s="69">
        <f t="shared" si="57"/>
        <v>400000</v>
      </c>
      <c r="K447" s="70">
        <f t="shared" si="62"/>
        <v>0</v>
      </c>
      <c r="L447" s="70">
        <f t="shared" si="62"/>
        <v>0</v>
      </c>
      <c r="M447" s="70">
        <f t="shared" si="62"/>
        <v>0</v>
      </c>
      <c r="N447" s="70">
        <f t="shared" si="62"/>
        <v>400000</v>
      </c>
      <c r="O447" s="70">
        <f t="shared" si="62"/>
        <v>400000</v>
      </c>
      <c r="P447" s="70">
        <f t="shared" si="61"/>
        <v>3689928</v>
      </c>
      <c r="Q447" s="118"/>
    </row>
    <row r="448" spans="1:16" s="99" customFormat="1" ht="27">
      <c r="A448" s="27" t="s">
        <v>405</v>
      </c>
      <c r="B448" s="28"/>
      <c r="C448" s="29"/>
      <c r="D448" s="78" t="s">
        <v>406</v>
      </c>
      <c r="E448" s="58">
        <f t="shared" si="60"/>
        <v>3289928</v>
      </c>
      <c r="F448" s="20">
        <f>F449+F450+F451</f>
        <v>3289928</v>
      </c>
      <c r="G448" s="20">
        <f>G449+G450+G451</f>
        <v>2082325</v>
      </c>
      <c r="H448" s="20">
        <f>H449+H450+H451</f>
        <v>105320</v>
      </c>
      <c r="I448" s="20">
        <f>I449+I450+I451</f>
        <v>0</v>
      </c>
      <c r="J448" s="58">
        <f t="shared" si="57"/>
        <v>400000</v>
      </c>
      <c r="K448" s="20">
        <f>K449+K450+K451</f>
        <v>0</v>
      </c>
      <c r="L448" s="20">
        <f>L449+L450+L451</f>
        <v>0</v>
      </c>
      <c r="M448" s="20">
        <f>M449+M450+M451</f>
        <v>0</v>
      </c>
      <c r="N448" s="20">
        <f>N449+N450+N451</f>
        <v>400000</v>
      </c>
      <c r="O448" s="20">
        <f>O449+O450+O451</f>
        <v>400000</v>
      </c>
      <c r="P448" s="20">
        <f t="shared" si="61"/>
        <v>3689928</v>
      </c>
    </row>
    <row r="449" spans="1:17" s="11" customFormat="1" ht="27">
      <c r="A449" s="3" t="s">
        <v>407</v>
      </c>
      <c r="B449" s="30" t="s">
        <v>35</v>
      </c>
      <c r="C449" s="30" t="s">
        <v>20</v>
      </c>
      <c r="D449" s="73" t="s">
        <v>535</v>
      </c>
      <c r="E449" s="58">
        <f t="shared" si="60"/>
        <v>2984928</v>
      </c>
      <c r="F449" s="21">
        <f>2422813+156000+10000+15000+317810+63305</f>
        <v>2984928</v>
      </c>
      <c r="G449" s="21">
        <f>1642036+127900+260500+51889</f>
        <v>2082325</v>
      </c>
      <c r="H449" s="21">
        <v>105320</v>
      </c>
      <c r="I449" s="21">
        <v>0</v>
      </c>
      <c r="J449" s="58">
        <f t="shared" si="57"/>
        <v>400000</v>
      </c>
      <c r="K449" s="21">
        <v>0</v>
      </c>
      <c r="L449" s="21">
        <v>0</v>
      </c>
      <c r="M449" s="21">
        <v>0</v>
      </c>
      <c r="N449" s="21">
        <f>400000</f>
        <v>400000</v>
      </c>
      <c r="O449" s="21">
        <f>400000</f>
        <v>400000</v>
      </c>
      <c r="P449" s="20">
        <f t="shared" si="61"/>
        <v>3384928</v>
      </c>
      <c r="Q449" s="108"/>
    </row>
    <row r="450" spans="1:16" s="11" customFormat="1" ht="13.5">
      <c r="A450" s="3" t="s">
        <v>408</v>
      </c>
      <c r="B450" s="5" t="s">
        <v>410</v>
      </c>
      <c r="C450" s="4" t="s">
        <v>409</v>
      </c>
      <c r="D450" s="73" t="s">
        <v>411</v>
      </c>
      <c r="E450" s="58">
        <f t="shared" si="60"/>
        <v>285000</v>
      </c>
      <c r="F450" s="21">
        <v>285000</v>
      </c>
      <c r="G450" s="21">
        <v>0</v>
      </c>
      <c r="H450" s="21">
        <v>0</v>
      </c>
      <c r="I450" s="21">
        <v>0</v>
      </c>
      <c r="J450" s="58">
        <f t="shared" si="57"/>
        <v>0</v>
      </c>
      <c r="K450" s="21">
        <v>0</v>
      </c>
      <c r="L450" s="21">
        <v>0</v>
      </c>
      <c r="M450" s="21">
        <v>0</v>
      </c>
      <c r="N450" s="21">
        <v>0</v>
      </c>
      <c r="O450" s="21">
        <v>0</v>
      </c>
      <c r="P450" s="20">
        <f t="shared" si="61"/>
        <v>285000</v>
      </c>
    </row>
    <row r="451" spans="1:16" s="114" customFormat="1" ht="13.5">
      <c r="A451" s="16" t="s">
        <v>546</v>
      </c>
      <c r="B451" s="64" t="s">
        <v>32</v>
      </c>
      <c r="C451" s="65" t="s">
        <v>31</v>
      </c>
      <c r="D451" s="74" t="s">
        <v>33</v>
      </c>
      <c r="E451" s="57">
        <f t="shared" si="60"/>
        <v>20000</v>
      </c>
      <c r="F451" s="19">
        <f>F453</f>
        <v>20000</v>
      </c>
      <c r="G451" s="19">
        <f>G453</f>
        <v>0</v>
      </c>
      <c r="H451" s="19">
        <f>H453</f>
        <v>0</v>
      </c>
      <c r="I451" s="19">
        <f>I453</f>
        <v>0</v>
      </c>
      <c r="J451" s="57">
        <f t="shared" si="57"/>
        <v>0</v>
      </c>
      <c r="K451" s="19">
        <f>K453</f>
        <v>0</v>
      </c>
      <c r="L451" s="19">
        <f>L453</f>
        <v>0</v>
      </c>
      <c r="M451" s="19">
        <f>M453</f>
        <v>0</v>
      </c>
      <c r="N451" s="19">
        <f>N453</f>
        <v>0</v>
      </c>
      <c r="O451" s="19">
        <f>O453</f>
        <v>0</v>
      </c>
      <c r="P451" s="19">
        <f t="shared" si="61"/>
        <v>20000</v>
      </c>
    </row>
    <row r="452" spans="1:16" s="47" customFormat="1" ht="13.5">
      <c r="A452" s="42"/>
      <c r="B452" s="43"/>
      <c r="C452" s="44"/>
      <c r="D452" s="94" t="s">
        <v>487</v>
      </c>
      <c r="E452" s="58"/>
      <c r="F452" s="46"/>
      <c r="G452" s="46"/>
      <c r="H452" s="46"/>
      <c r="I452" s="46"/>
      <c r="J452" s="58"/>
      <c r="K452" s="46"/>
      <c r="L452" s="46"/>
      <c r="M452" s="46"/>
      <c r="N452" s="46"/>
      <c r="O452" s="46"/>
      <c r="P452" s="20"/>
    </row>
    <row r="453" spans="1:16" s="47" customFormat="1" ht="36.75" customHeight="1">
      <c r="A453" s="127"/>
      <c r="B453" s="128"/>
      <c r="C453" s="124"/>
      <c r="D453" s="125" t="s">
        <v>548</v>
      </c>
      <c r="E453" s="61">
        <f>F453+I453</f>
        <v>20000</v>
      </c>
      <c r="F453" s="46">
        <v>20000</v>
      </c>
      <c r="G453" s="46">
        <v>0</v>
      </c>
      <c r="H453" s="46">
        <v>0</v>
      </c>
      <c r="I453" s="46">
        <v>0</v>
      </c>
      <c r="J453" s="61">
        <f>K453+N453</f>
        <v>0</v>
      </c>
      <c r="K453" s="46">
        <v>0</v>
      </c>
      <c r="L453" s="46">
        <v>0</v>
      </c>
      <c r="M453" s="46">
        <v>0</v>
      </c>
      <c r="N453" s="46">
        <v>0</v>
      </c>
      <c r="O453" s="46">
        <v>0</v>
      </c>
      <c r="P453" s="45">
        <f>E453+J453</f>
        <v>20000</v>
      </c>
    </row>
    <row r="454" spans="1:17" s="98" customFormat="1" ht="22.5" customHeight="1">
      <c r="A454" s="66" t="s">
        <v>412</v>
      </c>
      <c r="B454" s="67"/>
      <c r="C454" s="68"/>
      <c r="D454" s="72" t="s">
        <v>413</v>
      </c>
      <c r="E454" s="69">
        <f t="shared" si="60"/>
        <v>4468195</v>
      </c>
      <c r="F454" s="70">
        <f>F455</f>
        <v>4468195</v>
      </c>
      <c r="G454" s="70">
        <f aca="true" t="shared" si="63" ref="G454:I455">G455</f>
        <v>2922188</v>
      </c>
      <c r="H454" s="70">
        <f t="shared" si="63"/>
        <v>169244</v>
      </c>
      <c r="I454" s="70">
        <f t="shared" si="63"/>
        <v>0</v>
      </c>
      <c r="J454" s="69">
        <f t="shared" si="57"/>
        <v>1181020</v>
      </c>
      <c r="K454" s="70">
        <f>K455</f>
        <v>0</v>
      </c>
      <c r="L454" s="70">
        <f aca="true" t="shared" si="64" ref="L454:O455">L455</f>
        <v>0</v>
      </c>
      <c r="M454" s="70">
        <f t="shared" si="64"/>
        <v>0</v>
      </c>
      <c r="N454" s="70">
        <f t="shared" si="64"/>
        <v>1181020</v>
      </c>
      <c r="O454" s="70">
        <f t="shared" si="64"/>
        <v>1181020</v>
      </c>
      <c r="P454" s="70">
        <f>E454+J454</f>
        <v>5649215</v>
      </c>
      <c r="Q454" s="118"/>
    </row>
    <row r="455" spans="1:16" s="99" customFormat="1" ht="13.5">
      <c r="A455" s="27" t="s">
        <v>414</v>
      </c>
      <c r="B455" s="28"/>
      <c r="C455" s="29"/>
      <c r="D455" s="96" t="s">
        <v>476</v>
      </c>
      <c r="E455" s="58">
        <f t="shared" si="60"/>
        <v>4468195</v>
      </c>
      <c r="F455" s="20">
        <f>F456</f>
        <v>4468195</v>
      </c>
      <c r="G455" s="20">
        <f t="shared" si="63"/>
        <v>2922188</v>
      </c>
      <c r="H455" s="20">
        <f t="shared" si="63"/>
        <v>169244</v>
      </c>
      <c r="I455" s="20">
        <f t="shared" si="63"/>
        <v>0</v>
      </c>
      <c r="J455" s="58">
        <f t="shared" si="57"/>
        <v>1181020</v>
      </c>
      <c r="K455" s="20">
        <f>K456</f>
        <v>0</v>
      </c>
      <c r="L455" s="20">
        <f t="shared" si="64"/>
        <v>0</v>
      </c>
      <c r="M455" s="20">
        <f t="shared" si="64"/>
        <v>0</v>
      </c>
      <c r="N455" s="20">
        <f t="shared" si="64"/>
        <v>1181020</v>
      </c>
      <c r="O455" s="20">
        <f t="shared" si="64"/>
        <v>1181020</v>
      </c>
      <c r="P455" s="20">
        <f t="shared" si="61"/>
        <v>5649215</v>
      </c>
    </row>
    <row r="456" spans="1:17" s="11" customFormat="1" ht="27">
      <c r="A456" s="3" t="s">
        <v>415</v>
      </c>
      <c r="B456" s="30" t="s">
        <v>35</v>
      </c>
      <c r="C456" s="30" t="s">
        <v>20</v>
      </c>
      <c r="D456" s="73" t="s">
        <v>535</v>
      </c>
      <c r="E456" s="58">
        <f>F456+I456</f>
        <v>4468195</v>
      </c>
      <c r="F456" s="21">
        <f>3237977+210000+108980+329100+430199+126286+25653</f>
        <v>4468195</v>
      </c>
      <c r="G456" s="21">
        <f>2175326+269700+352622+103513+21027</f>
        <v>2922188</v>
      </c>
      <c r="H456" s="21">
        <v>169244</v>
      </c>
      <c r="I456" s="21">
        <v>0</v>
      </c>
      <c r="J456" s="58">
        <f>K456+N456</f>
        <v>1181020</v>
      </c>
      <c r="K456" s="21">
        <v>0</v>
      </c>
      <c r="L456" s="21">
        <v>0</v>
      </c>
      <c r="M456" s="21">
        <v>0</v>
      </c>
      <c r="N456" s="21">
        <f>1290000-108980</f>
        <v>1181020</v>
      </c>
      <c r="O456" s="21">
        <f>1290000-108980</f>
        <v>1181020</v>
      </c>
      <c r="P456" s="20">
        <f t="shared" si="61"/>
        <v>5649215</v>
      </c>
      <c r="Q456" s="108"/>
    </row>
    <row r="457" spans="1:18" s="98" customFormat="1" ht="51.75" customHeight="1">
      <c r="A457" s="66" t="s">
        <v>416</v>
      </c>
      <c r="B457" s="67"/>
      <c r="C457" s="68"/>
      <c r="D457" s="72" t="s">
        <v>526</v>
      </c>
      <c r="E457" s="69">
        <f>F457+I457</f>
        <v>2963921.200000001</v>
      </c>
      <c r="F457" s="70">
        <f>F458</f>
        <v>2963921.200000001</v>
      </c>
      <c r="G457" s="70">
        <f>G458</f>
        <v>0</v>
      </c>
      <c r="H457" s="70">
        <f>H458</f>
        <v>0</v>
      </c>
      <c r="I457" s="70">
        <f>I458</f>
        <v>0</v>
      </c>
      <c r="J457" s="69">
        <f>K457+N457</f>
        <v>29557920</v>
      </c>
      <c r="K457" s="70">
        <f>K458</f>
        <v>28990920</v>
      </c>
      <c r="L457" s="70">
        <f>L458</f>
        <v>0</v>
      </c>
      <c r="M457" s="70">
        <f>M458</f>
        <v>0</v>
      </c>
      <c r="N457" s="70">
        <f>N458</f>
        <v>567000</v>
      </c>
      <c r="O457" s="70">
        <f>O458</f>
        <v>567000</v>
      </c>
      <c r="P457" s="70">
        <f t="shared" si="61"/>
        <v>32521841.200000003</v>
      </c>
      <c r="Q457" s="123"/>
      <c r="R457" s="118"/>
    </row>
    <row r="458" spans="1:17" s="99" customFormat="1" ht="45" customHeight="1">
      <c r="A458" s="27" t="s">
        <v>417</v>
      </c>
      <c r="B458" s="28"/>
      <c r="C458" s="29"/>
      <c r="D458" s="78" t="s">
        <v>527</v>
      </c>
      <c r="E458" s="58">
        <f>F458+I458</f>
        <v>2963921.200000001</v>
      </c>
      <c r="F458" s="20">
        <f>F459+F461+F462+F466+F467</f>
        <v>2963921.200000001</v>
      </c>
      <c r="G458" s="20">
        <f>G459+G461+G462+G466+G467</f>
        <v>0</v>
      </c>
      <c r="H458" s="20">
        <f>H459+H461+H462+H466+H467</f>
        <v>0</v>
      </c>
      <c r="I458" s="20">
        <f>I459+I461+I462+I466+I467</f>
        <v>0</v>
      </c>
      <c r="J458" s="58">
        <f>K458+N458</f>
        <v>29557920</v>
      </c>
      <c r="K458" s="20">
        <f>K459+K461+K462+K466+K467</f>
        <v>28990920</v>
      </c>
      <c r="L458" s="20">
        <f>L459+L461+L462+L466+L467</f>
        <v>0</v>
      </c>
      <c r="M458" s="20">
        <f>M459+M461+M462+M466+M467</f>
        <v>0</v>
      </c>
      <c r="N458" s="20">
        <f>N459+N461+N462+N466+N467</f>
        <v>567000</v>
      </c>
      <c r="O458" s="20">
        <f>O459+O461+O462+O466+O467</f>
        <v>567000</v>
      </c>
      <c r="P458" s="20">
        <f t="shared" si="61"/>
        <v>32521841.200000003</v>
      </c>
      <c r="Q458" s="122"/>
    </row>
    <row r="459" spans="1:17" s="11" customFormat="1" ht="241.5" customHeight="1">
      <c r="A459" s="3" t="s">
        <v>559</v>
      </c>
      <c r="B459" s="30" t="s">
        <v>560</v>
      </c>
      <c r="C459" s="30" t="s">
        <v>561</v>
      </c>
      <c r="D459" s="95" t="s">
        <v>562</v>
      </c>
      <c r="E459" s="58">
        <f>F459+I459</f>
        <v>0</v>
      </c>
      <c r="F459" s="21">
        <f>16900000-16900000</f>
        <v>0</v>
      </c>
      <c r="G459" s="21"/>
      <c r="H459" s="21"/>
      <c r="I459" s="21"/>
      <c r="J459" s="58">
        <f>K459+N459</f>
        <v>28990920</v>
      </c>
      <c r="K459" s="21">
        <v>28990920</v>
      </c>
      <c r="L459" s="21"/>
      <c r="M459" s="21"/>
      <c r="N459" s="21"/>
      <c r="O459" s="21"/>
      <c r="P459" s="20">
        <f>E459+J459</f>
        <v>28990920</v>
      </c>
      <c r="Q459" s="108"/>
    </row>
    <row r="460" spans="1:17" s="47" customFormat="1" ht="276" customHeight="1">
      <c r="A460" s="42"/>
      <c r="B460" s="126"/>
      <c r="C460" s="126"/>
      <c r="D460" s="113" t="s">
        <v>577</v>
      </c>
      <c r="E460" s="61">
        <f>F460+I460</f>
        <v>0</v>
      </c>
      <c r="F460" s="46">
        <f>16900000-16900000</f>
        <v>0</v>
      </c>
      <c r="G460" s="46"/>
      <c r="H460" s="46"/>
      <c r="I460" s="46"/>
      <c r="J460" s="61">
        <f>K460+N460</f>
        <v>28990920</v>
      </c>
      <c r="K460" s="46">
        <v>28990920</v>
      </c>
      <c r="L460" s="46"/>
      <c r="M460" s="46"/>
      <c r="N460" s="46"/>
      <c r="O460" s="46"/>
      <c r="P460" s="45">
        <f>E460+J460</f>
        <v>28990920</v>
      </c>
      <c r="Q460" s="129"/>
    </row>
    <row r="461" spans="1:17" s="11" customFormat="1" ht="21" customHeight="1">
      <c r="A461" s="3" t="s">
        <v>418</v>
      </c>
      <c r="B461" s="5" t="s">
        <v>419</v>
      </c>
      <c r="C461" s="4" t="s">
        <v>31</v>
      </c>
      <c r="D461" s="73" t="s">
        <v>420</v>
      </c>
      <c r="E461" s="58">
        <f>9000000-5674905-500000-599300-1200000-100000-595926-200000-129000</f>
        <v>869</v>
      </c>
      <c r="F461" s="21">
        <v>0</v>
      </c>
      <c r="G461" s="21">
        <v>0</v>
      </c>
      <c r="H461" s="21">
        <v>0</v>
      </c>
      <c r="I461" s="21">
        <v>0</v>
      </c>
      <c r="J461" s="58"/>
      <c r="K461" s="21">
        <v>0</v>
      </c>
      <c r="L461" s="21">
        <v>0</v>
      </c>
      <c r="M461" s="21">
        <v>0</v>
      </c>
      <c r="N461" s="21">
        <v>0</v>
      </c>
      <c r="O461" s="21">
        <v>0</v>
      </c>
      <c r="P461" s="20">
        <f t="shared" si="61"/>
        <v>869</v>
      </c>
      <c r="Q461" s="108"/>
    </row>
    <row r="462" spans="1:17" s="41" customFormat="1" ht="13.5">
      <c r="A462" s="16" t="s">
        <v>421</v>
      </c>
      <c r="B462" s="64" t="s">
        <v>32</v>
      </c>
      <c r="C462" s="65" t="s">
        <v>31</v>
      </c>
      <c r="D462" s="74" t="s">
        <v>33</v>
      </c>
      <c r="E462" s="57">
        <f>F462+I462</f>
        <v>855921.2000000009</v>
      </c>
      <c r="F462" s="19">
        <f>17505961-6000000-47000+55000-46000-1334645.35-8000-143000-72000-60299-784332.87-1223433.77-328812.15-457211.46-10000-1000000-690036.24-7000-9000-196382-360000-141450-1131477.83-1863253.95-257050-72552.88-100000-287127+75524.7-150000-500</f>
        <v>855921.2000000009</v>
      </c>
      <c r="G462" s="19">
        <v>0</v>
      </c>
      <c r="H462" s="19">
        <v>0</v>
      </c>
      <c r="I462" s="19">
        <v>0</v>
      </c>
      <c r="J462" s="57">
        <f>K462+N462</f>
        <v>475000</v>
      </c>
      <c r="K462" s="19">
        <v>0</v>
      </c>
      <c r="L462" s="19">
        <v>0</v>
      </c>
      <c r="M462" s="19">
        <v>0</v>
      </c>
      <c r="N462" s="19">
        <f>500000+50000-500000-50000+500000+50000+250000+25000+200000-550000</f>
        <v>475000</v>
      </c>
      <c r="O462" s="19">
        <f>500000+50000-500000-50000+500000+50000+250000+25000+200000-550000</f>
        <v>475000</v>
      </c>
      <c r="P462" s="19">
        <f t="shared" si="61"/>
        <v>1330921.200000001</v>
      </c>
      <c r="Q462" s="120"/>
    </row>
    <row r="463" spans="1:16" s="47" customFormat="1" ht="13.5">
      <c r="A463" s="42"/>
      <c r="B463" s="43"/>
      <c r="C463" s="44"/>
      <c r="D463" s="94" t="s">
        <v>487</v>
      </c>
      <c r="E463" s="58"/>
      <c r="F463" s="46"/>
      <c r="G463" s="46"/>
      <c r="H463" s="46"/>
      <c r="I463" s="46"/>
      <c r="J463" s="58"/>
      <c r="K463" s="46"/>
      <c r="L463" s="46"/>
      <c r="M463" s="46"/>
      <c r="N463" s="46"/>
      <c r="O463" s="46"/>
      <c r="P463" s="20"/>
    </row>
    <row r="464" spans="1:17" s="47" customFormat="1" ht="48.75" customHeight="1">
      <c r="A464" s="42"/>
      <c r="B464" s="43"/>
      <c r="C464" s="44"/>
      <c r="D464" s="159" t="s">
        <v>576</v>
      </c>
      <c r="E464" s="61">
        <f>F464+I464</f>
        <v>35403</v>
      </c>
      <c r="F464" s="46">
        <f>900000-47000+55000-46000-8000-143000-71000-60299-1000-10000-7000-9000-141450-219050-27000-2000-100000-24798-3000</f>
        <v>35403</v>
      </c>
      <c r="G464" s="46"/>
      <c r="H464" s="46"/>
      <c r="I464" s="46"/>
      <c r="J464" s="61">
        <f>K464+N464</f>
        <v>0</v>
      </c>
      <c r="K464" s="46"/>
      <c r="L464" s="46"/>
      <c r="M464" s="46"/>
      <c r="N464" s="46"/>
      <c r="O464" s="46"/>
      <c r="P464" s="45">
        <f t="shared" si="61"/>
        <v>35403</v>
      </c>
      <c r="Q464" s="129"/>
    </row>
    <row r="465" spans="1:17" s="47" customFormat="1" ht="78.75" customHeight="1">
      <c r="A465" s="42"/>
      <c r="B465" s="43"/>
      <c r="C465" s="44"/>
      <c r="D465" s="113" t="s">
        <v>553</v>
      </c>
      <c r="E465" s="61">
        <f>F465+I465</f>
        <v>0</v>
      </c>
      <c r="F465" s="46"/>
      <c r="G465" s="46"/>
      <c r="H465" s="46"/>
      <c r="I465" s="46"/>
      <c r="J465" s="61">
        <f>K465+N465</f>
        <v>450000</v>
      </c>
      <c r="K465" s="46"/>
      <c r="L465" s="46"/>
      <c r="M465" s="46"/>
      <c r="N465" s="46">
        <f>500000+50000-500000-50000+500000+250000+200000-500000</f>
        <v>450000</v>
      </c>
      <c r="O465" s="46">
        <f>500000+50000-500000-50000+500000+250000+200000-500000</f>
        <v>450000</v>
      </c>
      <c r="P465" s="45">
        <f t="shared" si="61"/>
        <v>450000</v>
      </c>
      <c r="Q465" s="129"/>
    </row>
    <row r="466" spans="1:17" s="11" customFormat="1" ht="13.5">
      <c r="A466" s="3" t="s">
        <v>422</v>
      </c>
      <c r="B466" s="5" t="s">
        <v>344</v>
      </c>
      <c r="C466" s="4" t="s">
        <v>35</v>
      </c>
      <c r="D466" s="73" t="s">
        <v>345</v>
      </c>
      <c r="E466" s="58">
        <f>F466+I466</f>
        <v>0</v>
      </c>
      <c r="F466" s="21">
        <v>0</v>
      </c>
      <c r="G466" s="21">
        <v>0</v>
      </c>
      <c r="H466" s="21">
        <v>0</v>
      </c>
      <c r="I466" s="21">
        <v>0</v>
      </c>
      <c r="J466" s="58">
        <f>K466+N466</f>
        <v>0</v>
      </c>
      <c r="K466" s="21">
        <v>0</v>
      </c>
      <c r="L466" s="21">
        <v>0</v>
      </c>
      <c r="M466" s="21">
        <v>0</v>
      </c>
      <c r="N466" s="21">
        <v>0</v>
      </c>
      <c r="O466" s="21">
        <v>0</v>
      </c>
      <c r="P466" s="20">
        <f t="shared" si="61"/>
        <v>0</v>
      </c>
      <c r="Q466" s="108"/>
    </row>
    <row r="467" spans="1:17" s="11" customFormat="1" ht="68.25" customHeight="1">
      <c r="A467" s="3" t="s">
        <v>522</v>
      </c>
      <c r="B467" s="30" t="s">
        <v>524</v>
      </c>
      <c r="C467" s="4" t="s">
        <v>35</v>
      </c>
      <c r="D467" s="95" t="s">
        <v>523</v>
      </c>
      <c r="E467" s="58">
        <f>F467+I467</f>
        <v>2108000</v>
      </c>
      <c r="F467" s="21">
        <f>1608000+500000</f>
        <v>2108000</v>
      </c>
      <c r="G467" s="21"/>
      <c r="H467" s="21"/>
      <c r="I467" s="21"/>
      <c r="J467" s="58">
        <f>K467+N467</f>
        <v>92000</v>
      </c>
      <c r="K467" s="21"/>
      <c r="L467" s="21"/>
      <c r="M467" s="21"/>
      <c r="N467" s="21">
        <v>92000</v>
      </c>
      <c r="O467" s="21">
        <v>92000</v>
      </c>
      <c r="P467" s="20">
        <f t="shared" si="61"/>
        <v>2200000</v>
      </c>
      <c r="Q467" s="108"/>
    </row>
    <row r="468" spans="1:17" s="11" customFormat="1" ht="28.5" customHeight="1">
      <c r="A468" s="54"/>
      <c r="B468" s="27" t="s">
        <v>423</v>
      </c>
      <c r="C468" s="29"/>
      <c r="D468" s="96" t="s">
        <v>7</v>
      </c>
      <c r="E468" s="58">
        <f>F468+I468+E461</f>
        <v>2098322494.6499999</v>
      </c>
      <c r="F468" s="58">
        <f>F15+F25+F51+F109+F157+F338+F358+F361+F367+F373+F382+F413+F423+F435+F442+F447+F454+F457+F461</f>
        <v>2054221625.6499999</v>
      </c>
      <c r="G468" s="58">
        <f>G15+G25+G51+G109+G157+G338+G358+G361+G367+G373+G382+G413+G423+G435+G442+G447+G454+G457+G461</f>
        <v>485551721</v>
      </c>
      <c r="H468" s="58">
        <f>H15+H25+H51+H109+H157+H338+H358+H361+H367+H373+H382+H413+H423+H435+H442+H447+H454+H457+H461</f>
        <v>99029443</v>
      </c>
      <c r="I468" s="58">
        <f>I15+I25+I51+I109+I157+I338+I358+I361+I367+I373+I382+I413+I423+I435+I442+I447+I454+I457+I461</f>
        <v>44100000</v>
      </c>
      <c r="J468" s="58">
        <f>K468+N468</f>
        <v>319943704.69</v>
      </c>
      <c r="K468" s="58">
        <f aca="true" t="shared" si="65" ref="K468:Q468">K15+K25+K51+K109+K157+K338+K358+K361+K367+K373+K382+K413+K423+K435+K442+K447+K454+K457+K461</f>
        <v>74182698</v>
      </c>
      <c r="L468" s="58">
        <f t="shared" si="65"/>
        <v>828000</v>
      </c>
      <c r="M468" s="58">
        <f t="shared" si="65"/>
        <v>546714</v>
      </c>
      <c r="N468" s="58">
        <f>N15+N25+N51+N109+N157+N338+N358+N361+N367+N373+N382+N413+N423+N435+N442+N447+N454+N457</f>
        <v>245761006.69</v>
      </c>
      <c r="O468" s="58">
        <f>O15+O25+O51+O109+O157+O338+O358+O361+O367+O373+O382+O413+O423+O435+O442+O447+O454+O457</f>
        <v>239592191.89</v>
      </c>
      <c r="P468" s="58">
        <f>P15+P25+P51+P109+P157+P338+P358+P361+P367+P373+P382+P413+P423+P435+P442+P447+P454+P457+P461</f>
        <v>2418266199.34</v>
      </c>
      <c r="Q468" s="58"/>
    </row>
    <row r="469" ht="13.5">
      <c r="Q469" s="108"/>
    </row>
    <row r="470" spans="1:17" s="1" customFormat="1" ht="45" customHeight="1">
      <c r="A470" s="194"/>
      <c r="B470" s="194"/>
      <c r="C470" s="194"/>
      <c r="D470" s="194"/>
      <c r="E470" s="63"/>
      <c r="I470" s="2"/>
      <c r="J470" s="63"/>
      <c r="P470" s="161"/>
      <c r="Q470" s="108"/>
    </row>
    <row r="471" spans="1:16" s="101" customFormat="1" ht="21">
      <c r="A471" s="193" t="s">
        <v>500</v>
      </c>
      <c r="B471" s="193"/>
      <c r="C471" s="193"/>
      <c r="D471" s="193"/>
      <c r="E471" s="102"/>
      <c r="I471" s="103"/>
      <c r="J471" s="102"/>
      <c r="N471" s="171" t="s">
        <v>501</v>
      </c>
      <c r="O471" s="171"/>
      <c r="P471" s="171"/>
    </row>
    <row r="472" spans="1:16" s="1" customFormat="1" ht="27.75">
      <c r="A472" s="194"/>
      <c r="B472" s="194"/>
      <c r="C472" s="194"/>
      <c r="D472" s="194"/>
      <c r="E472" s="63"/>
      <c r="J472" s="63"/>
      <c r="N472" s="191"/>
      <c r="O472" s="191"/>
      <c r="P472" s="191"/>
    </row>
    <row r="473" spans="1:16" ht="12.75">
      <c r="A473" s="8"/>
      <c r="E473" s="112"/>
      <c r="F473" s="111"/>
      <c r="G473" s="111"/>
      <c r="H473" s="111"/>
      <c r="I473" s="111"/>
      <c r="J473" s="111"/>
      <c r="K473" s="111"/>
      <c r="L473" s="111"/>
      <c r="M473" s="111"/>
      <c r="N473" s="111"/>
      <c r="O473" s="111"/>
      <c r="P473" s="111"/>
    </row>
    <row r="474" spans="1:16" ht="12.75">
      <c r="A474" s="8"/>
      <c r="D474" s="110"/>
      <c r="E474" s="112"/>
      <c r="F474" s="111"/>
      <c r="G474" s="111"/>
      <c r="H474" s="111"/>
      <c r="I474" s="111"/>
      <c r="J474" s="111"/>
      <c r="K474" s="111"/>
      <c r="L474" s="111"/>
      <c r="M474" s="111"/>
      <c r="N474" s="111"/>
      <c r="O474" s="111"/>
      <c r="P474" s="111"/>
    </row>
    <row r="475" spans="5:16" ht="12.75">
      <c r="E475" s="112"/>
      <c r="F475" s="111"/>
      <c r="G475" s="111"/>
      <c r="H475" s="111"/>
      <c r="I475" s="111"/>
      <c r="J475" s="111"/>
      <c r="K475" s="111"/>
      <c r="L475" s="111"/>
      <c r="M475" s="111"/>
      <c r="N475" s="111"/>
      <c r="O475" s="111"/>
      <c r="P475" s="111"/>
    </row>
    <row r="476" spans="5:16" ht="12.75">
      <c r="E476" s="112"/>
      <c r="F476" s="111"/>
      <c r="G476" s="111"/>
      <c r="H476" s="111"/>
      <c r="I476" s="111"/>
      <c r="J476" s="111"/>
      <c r="K476" s="111"/>
      <c r="L476" s="111"/>
      <c r="M476" s="111"/>
      <c r="N476" s="111"/>
      <c r="O476" s="111"/>
      <c r="P476" s="111"/>
    </row>
    <row r="477" spans="5:18" ht="12.75">
      <c r="E477" s="112"/>
      <c r="F477" s="111"/>
      <c r="G477" s="111"/>
      <c r="H477" s="111"/>
      <c r="I477" s="111"/>
      <c r="J477" s="111"/>
      <c r="K477" s="111"/>
      <c r="L477" s="111"/>
      <c r="M477" s="111"/>
      <c r="N477" s="111"/>
      <c r="O477" s="111"/>
      <c r="P477" s="111"/>
      <c r="R477" s="111"/>
    </row>
    <row r="478" spans="5:16" ht="12.75">
      <c r="E478" s="112"/>
      <c r="F478" s="111"/>
      <c r="G478" s="111"/>
      <c r="H478" s="111"/>
      <c r="I478" s="111"/>
      <c r="J478" s="111"/>
      <c r="K478" s="111"/>
      <c r="L478" s="111"/>
      <c r="M478" s="111"/>
      <c r="N478" s="111"/>
      <c r="O478" s="111"/>
      <c r="P478" s="111"/>
    </row>
    <row r="479" spans="5:18" ht="12.75">
      <c r="E479" s="112"/>
      <c r="F479" s="111"/>
      <c r="G479" s="111"/>
      <c r="H479" s="111"/>
      <c r="I479" s="111"/>
      <c r="J479" s="111"/>
      <c r="K479" s="111"/>
      <c r="L479" s="111"/>
      <c r="M479" s="111"/>
      <c r="N479" s="111"/>
      <c r="O479" s="111"/>
      <c r="P479" s="162"/>
      <c r="R479" s="111"/>
    </row>
    <row r="480" spans="5:17" ht="68.25" customHeight="1">
      <c r="E480" s="112"/>
      <c r="F480" s="112"/>
      <c r="G480" s="112"/>
      <c r="H480" s="112"/>
      <c r="I480" s="112"/>
      <c r="J480" s="111"/>
      <c r="K480" s="112"/>
      <c r="L480" s="112"/>
      <c r="M480" s="112"/>
      <c r="N480" s="112"/>
      <c r="O480" s="112"/>
      <c r="P480" s="162"/>
      <c r="Q480" s="111"/>
    </row>
    <row r="481" spans="5:16" ht="12.75">
      <c r="E481" s="112"/>
      <c r="F481" s="111"/>
      <c r="G481" s="111"/>
      <c r="H481" s="111"/>
      <c r="I481" s="111"/>
      <c r="J481" s="111"/>
      <c r="K481" s="111"/>
      <c r="L481" s="111"/>
      <c r="M481" s="111"/>
      <c r="N481" s="111"/>
      <c r="O481" s="111"/>
      <c r="P481" s="162"/>
    </row>
    <row r="482" spans="5:16" ht="12.75">
      <c r="E482" s="112"/>
      <c r="F482" s="111"/>
      <c r="G482" s="111"/>
      <c r="H482" s="111"/>
      <c r="I482" s="111"/>
      <c r="J482" s="111"/>
      <c r="K482" s="111"/>
      <c r="L482" s="111"/>
      <c r="M482" s="111"/>
      <c r="N482" s="111"/>
      <c r="O482" s="111"/>
      <c r="P482" s="111"/>
    </row>
    <row r="483" spans="5:16" ht="12.75">
      <c r="E483" s="112"/>
      <c r="F483" s="111"/>
      <c r="G483" s="111"/>
      <c r="H483" s="111"/>
      <c r="I483" s="111"/>
      <c r="J483" s="111"/>
      <c r="K483" s="111"/>
      <c r="L483" s="111"/>
      <c r="M483" s="111"/>
      <c r="N483" s="111"/>
      <c r="O483" s="111"/>
      <c r="P483" s="162"/>
    </row>
    <row r="484" spans="5:16" ht="12.75">
      <c r="E484" s="112"/>
      <c r="F484" s="111"/>
      <c r="G484" s="111"/>
      <c r="H484" s="111"/>
      <c r="I484" s="111"/>
      <c r="J484" s="111"/>
      <c r="K484" s="111"/>
      <c r="L484" s="111"/>
      <c r="M484" s="111"/>
      <c r="N484" s="111"/>
      <c r="O484" s="111"/>
      <c r="P484" s="162"/>
    </row>
    <row r="485" spans="5:16" ht="12.75">
      <c r="E485" s="112"/>
      <c r="F485" s="111"/>
      <c r="G485" s="111"/>
      <c r="H485" s="111"/>
      <c r="I485" s="111"/>
      <c r="J485" s="111"/>
      <c r="K485" s="111"/>
      <c r="L485" s="111"/>
      <c r="M485" s="111"/>
      <c r="N485" s="111"/>
      <c r="O485" s="111"/>
      <c r="P485" s="162"/>
    </row>
    <row r="486" spans="5:16" ht="12.75">
      <c r="E486" s="112"/>
      <c r="F486" s="111"/>
      <c r="G486" s="111"/>
      <c r="H486" s="111"/>
      <c r="I486" s="111"/>
      <c r="J486" s="111"/>
      <c r="K486" s="111"/>
      <c r="L486" s="111"/>
      <c r="M486" s="111"/>
      <c r="N486" s="111"/>
      <c r="O486" s="111"/>
      <c r="P486" s="162"/>
    </row>
    <row r="487" spans="5:16" ht="12.75">
      <c r="E487" s="112"/>
      <c r="F487" s="111"/>
      <c r="G487" s="111"/>
      <c r="H487" s="111"/>
      <c r="I487" s="111"/>
      <c r="J487" s="111"/>
      <c r="K487" s="111"/>
      <c r="L487" s="111"/>
      <c r="M487" s="111"/>
      <c r="N487" s="111"/>
      <c r="O487" s="111"/>
      <c r="P487" s="111"/>
    </row>
    <row r="488" spans="5:16" ht="12.75">
      <c r="E488" s="112"/>
      <c r="F488" s="111"/>
      <c r="G488" s="111"/>
      <c r="H488" s="111"/>
      <c r="I488" s="111"/>
      <c r="J488" s="111"/>
      <c r="K488" s="111"/>
      <c r="L488" s="111"/>
      <c r="M488" s="111"/>
      <c r="N488" s="111"/>
      <c r="O488" s="111"/>
      <c r="P488" s="162"/>
    </row>
    <row r="489" spans="5:16" ht="12.75">
      <c r="E489" s="112"/>
      <c r="F489" s="112"/>
      <c r="G489" s="112"/>
      <c r="H489" s="112"/>
      <c r="I489" s="112"/>
      <c r="J489" s="111"/>
      <c r="K489" s="112"/>
      <c r="L489" s="112"/>
      <c r="M489" s="112"/>
      <c r="N489" s="112"/>
      <c r="O489" s="112"/>
      <c r="P489" s="112"/>
    </row>
    <row r="490" ht="12.75">
      <c r="E490" s="112"/>
    </row>
    <row r="492" spans="5:16" ht="12.75">
      <c r="E492" s="112"/>
      <c r="F492" s="112"/>
      <c r="G492" s="112"/>
      <c r="H492" s="112"/>
      <c r="I492" s="112"/>
      <c r="J492" s="112"/>
      <c r="K492" s="112"/>
      <c r="L492" s="112"/>
      <c r="M492" s="112"/>
      <c r="N492" s="112"/>
      <c r="O492" s="112"/>
      <c r="P492" s="112"/>
    </row>
    <row r="495" ht="12.75">
      <c r="P495" s="111"/>
    </row>
    <row r="496" ht="12.75">
      <c r="J496" s="112"/>
    </row>
    <row r="497" spans="10:11" ht="12.75">
      <c r="J497" s="112"/>
      <c r="K497" s="111"/>
    </row>
    <row r="499" spans="6:10" ht="12.75">
      <c r="F499" s="111"/>
      <c r="J499" s="112"/>
    </row>
    <row r="501" ht="12.75">
      <c r="J501" s="112"/>
    </row>
    <row r="502" ht="12.75">
      <c r="J502" s="112"/>
    </row>
    <row r="503" ht="12.75">
      <c r="J503" s="112"/>
    </row>
    <row r="504" ht="12.75">
      <c r="F504" s="111"/>
    </row>
  </sheetData>
  <sheetProtection/>
  <mergeCells count="92">
    <mergeCell ref="N472:P472"/>
    <mergeCell ref="P293:P294"/>
    <mergeCell ref="L293:L294"/>
    <mergeCell ref="A293:A294"/>
    <mergeCell ref="B293:B294"/>
    <mergeCell ref="G293:G294"/>
    <mergeCell ref="A471:D471"/>
    <mergeCell ref="A470:D470"/>
    <mergeCell ref="A472:D472"/>
    <mergeCell ref="F293:F294"/>
    <mergeCell ref="N471:P471"/>
    <mergeCell ref="H293:H294"/>
    <mergeCell ref="O293:O294"/>
    <mergeCell ref="N293:N294"/>
    <mergeCell ref="I293:I294"/>
    <mergeCell ref="C293:C294"/>
    <mergeCell ref="M293:M294"/>
    <mergeCell ref="K293:K294"/>
    <mergeCell ref="J293:J294"/>
    <mergeCell ref="E293:E294"/>
    <mergeCell ref="C241:C242"/>
    <mergeCell ref="C184:C185"/>
    <mergeCell ref="E184:E185"/>
    <mergeCell ref="E241:E242"/>
    <mergeCell ref="G160:G161"/>
    <mergeCell ref="F241:F242"/>
    <mergeCell ref="E160:E161"/>
    <mergeCell ref="F184:F185"/>
    <mergeCell ref="G241:G242"/>
    <mergeCell ref="G184:G185"/>
    <mergeCell ref="M12:M13"/>
    <mergeCell ref="I11:I13"/>
    <mergeCell ref="M160:M161"/>
    <mergeCell ref="A241:A242"/>
    <mergeCell ref="B184:B185"/>
    <mergeCell ref="B241:B242"/>
    <mergeCell ref="F160:F161"/>
    <mergeCell ref="A160:A161"/>
    <mergeCell ref="B160:B161"/>
    <mergeCell ref="A184:A185"/>
    <mergeCell ref="K160:K161"/>
    <mergeCell ref="L160:L161"/>
    <mergeCell ref="H160:H161"/>
    <mergeCell ref="H12:H13"/>
    <mergeCell ref="I160:I161"/>
    <mergeCell ref="J160:J161"/>
    <mergeCell ref="C160:C161"/>
    <mergeCell ref="C10:C13"/>
    <mergeCell ref="D10:D13"/>
    <mergeCell ref="J184:J185"/>
    <mergeCell ref="J10:O10"/>
    <mergeCell ref="J11:J13"/>
    <mergeCell ref="K11:K13"/>
    <mergeCell ref="N184:N185"/>
    <mergeCell ref="N160:N161"/>
    <mergeCell ref="F11:F13"/>
    <mergeCell ref="B10:B13"/>
    <mergeCell ref="L1:P1"/>
    <mergeCell ref="L2:P2"/>
    <mergeCell ref="L3:P3"/>
    <mergeCell ref="L4:P4"/>
    <mergeCell ref="L5:P5"/>
    <mergeCell ref="P10:P13"/>
    <mergeCell ref="A7:P7"/>
    <mergeCell ref="N11:N13"/>
    <mergeCell ref="G11:H11"/>
    <mergeCell ref="P160:P161"/>
    <mergeCell ref="A8:P8"/>
    <mergeCell ref="O160:O161"/>
    <mergeCell ref="O12:O13"/>
    <mergeCell ref="A10:A13"/>
    <mergeCell ref="E10:I10"/>
    <mergeCell ref="L12:L13"/>
    <mergeCell ref="E11:E13"/>
    <mergeCell ref="L11:M11"/>
    <mergeCell ref="G12:G13"/>
    <mergeCell ref="L241:L242"/>
    <mergeCell ref="L184:L185"/>
    <mergeCell ref="M241:M242"/>
    <mergeCell ref="M184:M185"/>
    <mergeCell ref="P184:P185"/>
    <mergeCell ref="O184:O185"/>
    <mergeCell ref="O241:O242"/>
    <mergeCell ref="N241:N242"/>
    <mergeCell ref="P241:P242"/>
    <mergeCell ref="H184:H185"/>
    <mergeCell ref="J241:J242"/>
    <mergeCell ref="H241:H242"/>
    <mergeCell ref="K184:K185"/>
    <mergeCell ref="I184:I185"/>
    <mergeCell ref="I241:I242"/>
    <mergeCell ref="K241:K242"/>
  </mergeCells>
  <printOptions/>
  <pageMargins left="0.7874015748031497" right="0.3937007874015748" top="1.141732283464567" bottom="0.3937007874015748" header="0.7086614173228347" footer="0.31496062992125984"/>
  <pageSetup fitToHeight="17" horizontalDpi="600" verticalDpi="600" orientation="landscape" paperSize="9" scale="45" r:id="rId1"/>
  <headerFooter alignWithMargins="0">
    <oddHeader>&amp;C&amp;P</oddHeader>
  </headerFooter>
  <rowBreaks count="5" manualBreakCount="5">
    <brk id="338" max="15" man="1"/>
    <brk id="366" max="15" man="1"/>
    <brk id="396" max="15" man="1"/>
    <brk id="424" max="15" man="1"/>
    <brk id="453"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2017-11-21T05:18:31Z</cp:lastPrinted>
  <dcterms:created xsi:type="dcterms:W3CDTF">2017-01-11T06:29:21Z</dcterms:created>
  <dcterms:modified xsi:type="dcterms:W3CDTF">2017-11-22T08:54:39Z</dcterms:modified>
  <cp:category/>
  <cp:version/>
  <cp:contentType/>
  <cp:contentStatus/>
</cp:coreProperties>
</file>