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12" windowHeight="9516" activeTab="0"/>
  </bookViews>
  <sheets>
    <sheet name="дод.5" sheetId="1" r:id="rId1"/>
  </sheets>
  <definedNames>
    <definedName name="_xlfn.AGGREGATE" hidden="1">#NAME?</definedName>
    <definedName name="_xlnm.Print_Titles" localSheetId="0">'дод.5'!$5:$5</definedName>
    <definedName name="_xlnm.Print_Area" localSheetId="0">'дод.5'!$A$1:$I$257</definedName>
  </definedNames>
  <calcPr fullCalcOnLoad="1"/>
</workbook>
</file>

<file path=xl/sharedStrings.xml><?xml version="1.0" encoding="utf-8"?>
<sst xmlns="http://schemas.openxmlformats.org/spreadsheetml/2006/main" count="498" uniqueCount="344">
  <si>
    <t>0110000</t>
  </si>
  <si>
    <t>0111</t>
  </si>
  <si>
    <t>0100000</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</si>
  <si>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</si>
  <si>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</si>
  <si>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</si>
  <si>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</si>
  <si>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</si>
  <si>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0490</t>
  </si>
  <si>
    <t>0110170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</si>
  <si>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</si>
  <si>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</si>
  <si>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Капітальні видатки</t>
  </si>
  <si>
    <t>грн.</t>
  </si>
  <si>
    <t>0117210</t>
  </si>
  <si>
    <t>Підтримка засобів масової інформації</t>
  </si>
  <si>
    <t>0117211</t>
  </si>
  <si>
    <t>0830</t>
  </si>
  <si>
    <t>0300000</t>
  </si>
  <si>
    <t>Адміністрація Дніпровського району міської ради</t>
  </si>
  <si>
    <t>0620</t>
  </si>
  <si>
    <t>Благоустрій міст, сіл, селищ</t>
  </si>
  <si>
    <t>1000000</t>
  </si>
  <si>
    <t>1010000</t>
  </si>
  <si>
    <t>Департамент з гуманітарних питань  міської ради</t>
  </si>
  <si>
    <t>1011010</t>
  </si>
  <si>
    <t>0910</t>
  </si>
  <si>
    <t>1011020</t>
  </si>
  <si>
    <t>0921</t>
  </si>
  <si>
    <t>1014070</t>
  </si>
  <si>
    <t>0824</t>
  </si>
  <si>
    <t>Музеї і виставки</t>
  </si>
  <si>
    <t>1014100</t>
  </si>
  <si>
    <t>0960</t>
  </si>
  <si>
    <t>Школи естетичного виховання дітей</t>
  </si>
  <si>
    <t>1017470</t>
  </si>
  <si>
    <t>1400000</t>
  </si>
  <si>
    <t>1410000</t>
  </si>
  <si>
    <t>1412010</t>
  </si>
  <si>
    <t>0731</t>
  </si>
  <si>
    <t>1412180</t>
  </si>
  <si>
    <t>0726</t>
  </si>
  <si>
    <t>1413030</t>
  </si>
  <si>
    <t>1413031</t>
  </si>
  <si>
    <t>1030</t>
  </si>
  <si>
    <t>1413300</t>
  </si>
  <si>
    <t>1090</t>
  </si>
  <si>
    <t>Інші установи та заклади</t>
  </si>
  <si>
    <t>1416310</t>
  </si>
  <si>
    <t>1500000</t>
  </si>
  <si>
    <t>Орган з питань праці та соціального захисту населення</t>
  </si>
  <si>
    <t>3200000</t>
  </si>
  <si>
    <t>Орган з питань регуляторної політики і підприємництва</t>
  </si>
  <si>
    <t>3210000</t>
  </si>
  <si>
    <t>3210180</t>
  </si>
  <si>
    <t>4500000</t>
  </si>
  <si>
    <t>Орган з питань комунальної власності</t>
  </si>
  <si>
    <t>4510000</t>
  </si>
  <si>
    <t>4517310</t>
  </si>
  <si>
    <t>0421</t>
  </si>
  <si>
    <t>4710000</t>
  </si>
  <si>
    <t>Департамент житлово-комунального господарства та будівництва міської ради</t>
  </si>
  <si>
    <t>4710180</t>
  </si>
  <si>
    <t>4700000</t>
  </si>
  <si>
    <t>Орган з питань будівництва</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</si>
  <si>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</si>
  <si>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</si>
  <si>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</si>
  <si>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</si>
  <si>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</si>
  <si>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</si>
  <si>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</si>
  <si>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</si>
  <si>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</si>
  <si>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4716310</t>
  </si>
  <si>
    <t>4716350</t>
  </si>
  <si>
    <t>Проведення невідкладних відновлювальних робіт, будівництво та реконструкція позашкільних навчальних закладів</t>
  </si>
  <si>
    <t>4717470</t>
  </si>
  <si>
    <t>4718800</t>
  </si>
  <si>
    <t>0180</t>
  </si>
  <si>
    <t>Інші субвенції</t>
  </si>
  <si>
    <t>4800000</t>
  </si>
  <si>
    <t>Орган з питань містобудування та архітектури</t>
  </si>
  <si>
    <t>4810000</t>
  </si>
  <si>
    <t>4816430</t>
  </si>
  <si>
    <t>0443</t>
  </si>
  <si>
    <t>Розробка схем та проектних рішень масового застосування</t>
  </si>
  <si>
    <t>4817470</t>
  </si>
  <si>
    <t>6000000</t>
  </si>
  <si>
    <t>Орган з питань екології, охорони навколишнього середовища та природних ресурсів</t>
  </si>
  <si>
    <t>6010000</t>
  </si>
  <si>
    <t>6017470</t>
  </si>
  <si>
    <t>6500000</t>
  </si>
  <si>
    <t>Орган з питань транспорту, зв`язку та інформатизації</t>
  </si>
  <si>
    <t>6510000</t>
  </si>
  <si>
    <t>6517470</t>
  </si>
  <si>
    <t>6700000</t>
  </si>
  <si>
    <t>Орган з питань надзвичайних ситуацій</t>
  </si>
  <si>
    <t>6710000</t>
  </si>
  <si>
    <t>6710180</t>
  </si>
  <si>
    <t>Реконструкція будівлі, розташованої за адресою вул.Мендєлєєва, 21А, м.Кам`янське (у т.ч. проектно-кошторисна документація)</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</si>
  <si>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</si>
  <si>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 xml:space="preserve">на капітальний ремонт дорожнього покриття мостового переходу через річку Дніпро </t>
  </si>
  <si>
    <t>на капітальний ремонт центрального парку культури та відпочинку</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</si>
  <si>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t>
  </si>
  <si>
    <t>Комплексна забудова на земельних ділянках, які надані учасникам бойових дій та сім’ям загиблих під час виконання службових обов’язків в зоні АТО (в т.ч. ПКД)</t>
  </si>
  <si>
    <t xml:space="preserve">Будівництво кладовища  лівобережної частини м.Дніпродзержинська </t>
  </si>
  <si>
    <t>Реконструкція системи теплопостачання КЗ «Дитячий екологічний центр м.Дніпродзержинськ» Дніпродзержинської міської ради за адресою: вул. Кільцева, 3 (в т.ч. коригування ПКД)</t>
  </si>
  <si>
    <t>Благоустрій території 5-го мкр.л/б (в т.ч. коригування ПКД)</t>
  </si>
  <si>
    <t>0310000</t>
  </si>
  <si>
    <t>0316060</t>
  </si>
  <si>
    <t>1510000</t>
  </si>
  <si>
    <t>1516310</t>
  </si>
  <si>
    <t>Кам'янська міська рада</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</si>
  <si>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</si>
  <si>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Дошкільна освiта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</si>
  <si>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</si>
  <si>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Внески до статутного капіталу суб`єктів господарювання</t>
  </si>
  <si>
    <t>Багатопрофільна стаціонарна медична допомога населенню</t>
  </si>
  <si>
    <t>Первинна медична допомога населенню</t>
  </si>
  <si>
    <t>Реалізація заходів щодо інвестиційного розвитку території</t>
  </si>
  <si>
    <t>Управління соціального захисту населення адміністрації Південного району міської ради</t>
  </si>
  <si>
    <t>Департмент муніципальних послуг та регуляторної політики міської ради</t>
  </si>
  <si>
    <t>Сприяння діяльності телебачення і радіомовлення</t>
  </si>
  <si>
    <t>Департамент комунальної власності, земельних відносин та реєстрації речових прав на нерухоме майно міської ради</t>
  </si>
  <si>
    <t>7310</t>
  </si>
  <si>
    <t>Проведення заходів із землеустрою</t>
  </si>
  <si>
    <t>Забезпечення надійного та безперебійного функціонування житлово-експлуатаційного господарства</t>
  </si>
  <si>
    <t>6010</t>
  </si>
  <si>
    <t>Капітальний ремонт житлового фонду</t>
  </si>
  <si>
    <t>Забезпечення функціонування теплових мереж</t>
  </si>
  <si>
    <t>Реалізація заходів щодо інвестиційного розвитку території, з них:</t>
  </si>
  <si>
    <t>Управління містобудування та архітектури міської ради</t>
  </si>
  <si>
    <t>Управління екології та природних ресурсів Кам'янської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</si>
  <si>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</si>
  <si>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</si>
  <si>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0170</t>
  </si>
  <si>
    <t>з них:</t>
  </si>
  <si>
    <r>
      <t>Код програмної класифікації видатків та кредитування місцевих бюджетів</t>
    </r>
    <r>
      <rPr>
        <vertAlign val="superscript"/>
        <sz val="11"/>
        <rFont val="Times New Roman"/>
        <family val="1"/>
      </rPr>
      <t>2</t>
    </r>
  </si>
  <si>
    <r>
      <t>Код ТПКВКМБ /
ТКВКБМС</t>
    </r>
    <r>
      <rPr>
        <vertAlign val="superscript"/>
        <sz val="11"/>
        <rFont val="Times New Roman"/>
        <family val="1"/>
      </rPr>
      <t>3</t>
    </r>
  </si>
  <si>
    <r>
      <t>Код ФКВКБ</t>
    </r>
    <r>
      <rPr>
        <vertAlign val="superscript"/>
        <sz val="11"/>
        <rFont val="Times New Roman"/>
        <family val="1"/>
      </rPr>
      <t>4</t>
    </r>
  </si>
  <si>
    <t>розроблення містобудівної документації на місцевому та регіональному рівнях</t>
  </si>
  <si>
    <t>Секретар міської ради</t>
  </si>
  <si>
    <t xml:space="preserve">О.Ю.Залевський </t>
  </si>
  <si>
    <t>КП КМР  «Тепломережі» в т.ч.:</t>
  </si>
  <si>
    <t>КВП КМР «Міськводоканал» в т.ч.:</t>
  </si>
  <si>
    <t>КП КМР «Інформаційні системи» в т.ч.:</t>
  </si>
  <si>
    <t>Проведення невідкладних відновлювальних робіт, будівництво та реконструкція лікарень загального профілю</t>
  </si>
  <si>
    <t xml:space="preserve">Реконструкція лікарні (пологового будинку) комунального закладу «Кам’янська міська лікарня №9» Дніпропетровської обласної ради за адресою: м.Кам’янське, просп. Аношкіна, 72, (у т.ч. ПКД) </t>
  </si>
  <si>
    <t xml:space="preserve"> КП КМР «Управляюча компанія по обслуговуванню житлового фонду»в т.ч.:</t>
  </si>
  <si>
    <t xml:space="preserve">для розрахунків за енергоносії та покупне тепло КП КМР  «Тепломережі» </t>
  </si>
  <si>
    <t>для оплати заробітної плати КП КМР «Благоустрій»</t>
  </si>
  <si>
    <t>для оплати нарахувань (податків) на заробітну плату КП КМР «Благоустрій»</t>
  </si>
  <si>
    <t>для оплати оренди комунального майна для розміщення офісу підприємства КП КМР «Благоустрій»</t>
  </si>
  <si>
    <t>для придбання основних фондів КП КМР «Благоустрій»</t>
  </si>
  <si>
    <t>для придбання спецтехніки та автотранспорту КП КМР «Благоустрій»</t>
  </si>
  <si>
    <t>для оплати податків та зборів КП КМР «Благоустрій»</t>
  </si>
  <si>
    <t>для оплати за енергоносії та інші комунальні послуги (опалення, електрична енергія, вода та водовідведення, охорона та інше) КП КМР «Благоустрій»</t>
  </si>
  <si>
    <t>оплата нарахувань на заробітну плату КП КМР«Екосервіс»</t>
  </si>
  <si>
    <t>оплата податків і зборів КП КМР«Екосервіс»</t>
  </si>
  <si>
    <t>придбання основних фондів КП КМР«Екосервіс»</t>
  </si>
  <si>
    <t>оплата комунальних послуг та енергоносіїв, палива КП КМР«Екосервіс»</t>
  </si>
  <si>
    <t>оплата заробітної плати КП КМР«Екосервіс»</t>
  </si>
  <si>
    <t>1513104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</si>
  <si>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</si>
  <si>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</si>
  <si>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</si>
  <si>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КП КМР "Комунальник" в т.ч.:</t>
  </si>
  <si>
    <t>для оплати заробітної плати та нарахувань КП КМР «Комунальник»</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</si>
  <si>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</si>
  <si>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</si>
  <si>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</si>
  <si>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Протиаварійні, протизсувні заходи біля опори №10 ЛЕП 150 кВ Л-88/89, розташованої у районі вул. Тритузна (Петровського), 102А у м. Кам’янське Дніпропетровської області</t>
  </si>
  <si>
    <t>7600000</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</si>
  <si>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</si>
  <si>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</si>
  <si>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</si>
  <si>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</si>
  <si>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</si>
  <si>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 xml:space="preserve">на забезпечення бензиновим генератором, оргтехнікою, канцелярськими товарами, паливо-мастильними матеріалами </t>
  </si>
  <si>
    <t>Фінансовий орган (в частині міжбюджетних трансфертів, резервного фонду)</t>
  </si>
  <si>
    <t>Реконструкція будівлі спортклубу комунального закладу «Дитячо-юнацька спортивна школа №2» Кам’янської міської ради за адресою: вул.Миру, 19А, м. Кам’янське (в т.ч. виготовлення проектно-кошторисної документації)</t>
  </si>
  <si>
    <t>на виплату заробітної плати з нарахуваннями, оплату  енергоносіїв та комунальних послуг</t>
  </si>
  <si>
    <t>Видатки на запобігання та ліквідацію надзвичайних ситуацій та наслідків стихійного лиха</t>
  </si>
  <si>
    <t>0320</t>
  </si>
  <si>
    <t>1011090</t>
  </si>
  <si>
    <t>Надання позашкільної освіти позашкільними закладами освіти, заходи із позашкільної роботи з дітьми</t>
  </si>
  <si>
    <t>7300000</t>
  </si>
  <si>
    <t>Орган з питань економіки</t>
  </si>
  <si>
    <t>7310000</t>
  </si>
  <si>
    <t>'Департамент економічного розвитку міської ради</t>
  </si>
  <si>
    <t>7310180</t>
  </si>
  <si>
    <t>7500000</t>
  </si>
  <si>
    <t>7510000</t>
  </si>
  <si>
    <t>7510180</t>
  </si>
  <si>
    <t>Фінансовий орган</t>
  </si>
  <si>
    <t>ПЕРЕЛІК                                                                                                                                                                                                                                                                    об’єктів, видатки на які у 2017  році будуть проводитися за рахунок коштів бюджету розвитку</t>
  </si>
  <si>
    <t>Реконструкція вхідного вузлу житлового будинку за адресою: вул.Харківська, 23, кв. 60,  м.Дніпродзержинськ</t>
  </si>
  <si>
    <t>1412220</t>
  </si>
  <si>
    <t>2220</t>
  </si>
  <si>
    <t>0763</t>
  </si>
  <si>
    <t>Інші заходи в галузі охорони здоров`я</t>
  </si>
  <si>
    <t>1011040</t>
  </si>
  <si>
    <t>1040</t>
  </si>
  <si>
    <t>0922</t>
  </si>
  <si>
    <t>Надання загальної середньої освіти загальноосвiтнiми школами-iнтернатами, загальноосвітніми санаторними школами-інтернатами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</si>
  <si>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</si>
  <si>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</si>
  <si>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Реконструкція стадіону КЗ "СК "Прометей" (в т.ч.ПКД)</t>
  </si>
  <si>
    <t>організація та проведення пленеру садово-паркових скульптур</t>
  </si>
  <si>
    <t>Капітальні трансферти КП КМР «Кіноконцертний зал «Мир» , в т.ч.:</t>
  </si>
  <si>
    <t>для виплати заробітної плати КП "Кіноконцертний зал "Мир"</t>
  </si>
  <si>
    <t>для проведення капітального ремонту роздягальні в КП "Кіноконцертний зал "Мир"</t>
  </si>
  <si>
    <t>0310180</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</si>
  <si>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</si>
  <si>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1014020</t>
  </si>
  <si>
    <t>4020</t>
  </si>
  <si>
    <t>0821</t>
  </si>
  <si>
    <t>1014060</t>
  </si>
  <si>
    <t>4060</t>
  </si>
  <si>
    <t>Бiблiотеки</t>
  </si>
  <si>
    <t>Театри</t>
  </si>
  <si>
    <t>Керівництво і управління у відповідній сфері у містах, селищах, селах</t>
  </si>
  <si>
    <t>Реконструкція зовнішніх  електричних мереж – лінії 0,4 кВ від РП- 0,4 кВ ТП – 165 в Дніпродзержинському РЕМ, м. Дніпродзержинськ Дніпропетровської обл. для електропостачання дошкільного навчального закладу №22 «Казкова країна"</t>
  </si>
  <si>
    <t>для погашення заборгованості за енергоносії КВП КМР «Міськводоканал»</t>
  </si>
  <si>
    <t>для проведення поточного ремонту основних засобів КВП КМР «Міськводоканал»</t>
  </si>
  <si>
    <t xml:space="preserve">з метою заміни водопроводу по вул.Центральній смт.Карнаухівка для подальшого виконання капітального ремонту дорожнього покриття </t>
  </si>
  <si>
    <t>на заходи передбачені в Програмі розвитку та утримання   КП КМР «Управляюча компанія по обслуговуванню житлового фонду» на 2016-2020роки", яка затверджена рішенням міської ради від 17.06.2016№252-08/VII(зі змінами")</t>
  </si>
  <si>
    <t>Адміністрація Південного району міської ради</t>
  </si>
  <si>
    <t>Утримання та розвиток інфраструктури доріг</t>
  </si>
  <si>
    <t>0456</t>
  </si>
  <si>
    <t>Будівництво дитячого садка по вул.Громадянській, м.Кам'янське (в т.ч. проект відведення земельної ділянки)</t>
  </si>
  <si>
    <t xml:space="preserve"> КП КМР «Містшляхсервіс" в т.ч.:</t>
  </si>
  <si>
    <t>0316010</t>
  </si>
  <si>
    <t>1015030</t>
  </si>
  <si>
    <t>Розвиток дитячо-юнацького та резервного спорту</t>
  </si>
  <si>
    <t>1015031</t>
  </si>
  <si>
    <t>5031</t>
  </si>
  <si>
    <t>0810</t>
  </si>
  <si>
    <t>Утримання та навчально-тренувальна робота комунальних дитячо-юнацьких спортивних шкіл</t>
  </si>
  <si>
    <t>Поточний ремонт приміщення тиру</t>
  </si>
  <si>
    <t>Поточний ремонт зовнішньої системи освітлення</t>
  </si>
  <si>
    <t>Поточний ремонт громадського туалету</t>
  </si>
  <si>
    <t>Монтаж системи поливу</t>
  </si>
  <si>
    <t>3216310</t>
  </si>
  <si>
    <t>6310</t>
  </si>
  <si>
    <t>3217470</t>
  </si>
  <si>
    <t>Реконструкція адміністративної будівлі за адресою проспект Василя Стуса, 10/12 в м.Кам’янське</t>
  </si>
  <si>
    <t>Капітальні трансферти КП КМР «Благоустрій» в т.ч.:</t>
  </si>
  <si>
    <t xml:space="preserve">для оплати заробітної плати </t>
  </si>
  <si>
    <t xml:space="preserve">для оплати нарахувань (податків) на заробітну плату </t>
  </si>
  <si>
    <t xml:space="preserve">для оплати оренди комунального майна для розміщення офісу підприємства </t>
  </si>
  <si>
    <t>для оплати за енергоносії та інші комунальні послуги (опалення, електрична енергія, вода та водовідведення, охорона та інше)</t>
  </si>
  <si>
    <t xml:space="preserve">для придбання основних фондів </t>
  </si>
  <si>
    <t xml:space="preserve">для придбання спецтехніки та автотранспорту </t>
  </si>
  <si>
    <t>Капітальні трансферти                                                                      КП КМР«Екосервіс» в т.ч.:</t>
  </si>
  <si>
    <t>Капітальні трансферти підприємствам (установам, організаціям)</t>
  </si>
  <si>
    <t xml:space="preserve">Фінансування заходів з впровадження інформаційної системи транспорту </t>
  </si>
  <si>
    <t>Капітальні трансферти КП«Трамвай», в т.ч:</t>
  </si>
  <si>
    <t>для оснащення комп’ютерною та оргтехнікою, придбання серверів, розробки та модернізації програмного забезпечення</t>
  </si>
  <si>
    <t xml:space="preserve">для придбання офісних меблів, ремонту та інше </t>
  </si>
  <si>
    <t>для виплат по заробітній платі з нарахуванням (в тому числі заборгованості)</t>
  </si>
  <si>
    <t>КП КМР "Зеленбуд" в т.ч.:</t>
  </si>
  <si>
    <t>на заходи, передбачені в "Програмі розвитку та збереження зелених насаджень в м.Дніпродзержинську на 2013-2017 роки", яка затверджена рішенням міської ради від 30.01.2013 №668-31/VI (зі змінами)</t>
  </si>
  <si>
    <t xml:space="preserve">на заходи передбачені в Програмі розвитку та утримання комунального підприємства Кам’янської міської ради «Управляюча компанія по обслуговуванню житлового фонду» на 2016 – 2020 роки», яка затверджена рішенням міської ради від 17.06.2016 №252-08/VІІ (зі змінами), для виконання поточного ремонту вікон житлового будинку (заміна вікон в місцях загального користування) за адресою: вул.Освітня, 34 (перший під’їзд) </t>
  </si>
  <si>
    <t>2000000</t>
  </si>
  <si>
    <t>Орган у справах дітей</t>
  </si>
  <si>
    <t>2010000</t>
  </si>
  <si>
    <t>Служба у справах дітей міської ради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</si>
  <si>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</si>
  <si>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</si>
  <si>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4716330</t>
  </si>
  <si>
    <t>Проведення невідкладних відновлювальних робіт, будівництво та реконструкція загальноосвітніх  навчальних закладів</t>
  </si>
  <si>
    <t>Реконструкція будівлі КЗ "СЗОШ №37 м.Дніпродзержинська Дніпродзержинської міської ради" за адресою: вул. Щербицького, 34/22" (у т.ч. ПВР)</t>
  </si>
  <si>
    <t>придбання КП «Трамвай» обладнання, інструментів, запасних частин, матеріалів та послуг для проведення першого технічного обслуговування    (ТО-1), другого технічного обслуговування (ТО-2), сезонного технічного обслуговування (СО), капітального, середнього, поточного, непланового ремонтів рухомого складу, трамвайної колії та контактно-кабельної мережі та тягових підстанцій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</si>
  <si>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</si>
  <si>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0133</t>
  </si>
  <si>
    <t>Інші видатки</t>
  </si>
  <si>
    <t>в тому числі субвенція з державного бюджету місцевим бюджетам на здійснення заходів щодо соціально-економічного розвитку окремих територій</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</si>
  <si>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2017)</t>
  </si>
  <si>
    <t>Управління соціального захисту населення адміністрації Дніпровського району міської ради</t>
  </si>
  <si>
    <t>1516324</t>
  </si>
  <si>
    <t>Будівництво та придбання житла для окремих категорій населення</t>
  </si>
  <si>
    <t>1516320</t>
  </si>
  <si>
    <t>Надання допомоги у вирішенні житлових питань</t>
  </si>
  <si>
    <t>Реконструкція елінга для зберігання лодок за адресою: вул.П.Морозова, 100, м.Дніпродзержинськ (в т.ч. коригування ПКД)</t>
  </si>
  <si>
    <t>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</si>
  <si>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0316310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</si>
  <si>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</si>
  <si>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</si>
  <si>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Капітальні трансферти КП КМР «Центральний парк культури та відпочинку», в т.ч:</t>
  </si>
  <si>
    <t>Капітальні трансферти КП КМР «Лівобережний парк», в т.ч.:</t>
  </si>
  <si>
    <t>Реконструкція вхідного вузлу  житлового будинку за адресою: просп.Івана Франка, 22, кв. 80, м.Кам’янське (ПКД)</t>
  </si>
  <si>
    <t xml:space="preserve">Реконструкція вхідного вузлу житлового будинку за адресою: просп.Металургів, 70, кв. 26, м.Кам’янське (ПКД) </t>
  </si>
  <si>
    <t xml:space="preserve">Реконструкція вхідного вузлу  житлового будинку за адресою: просп.Металургів, 88, кв. 59,  м.Кам’янське (ПКД) </t>
  </si>
  <si>
    <t xml:space="preserve">Реконструкція вхідного вузлу  житлового будинку за адресою: просп.Івана Франка, 24, кв. 120, 138,  м.Кам’янське (ПКД) </t>
  </si>
  <si>
    <t>Реконструкція вхідного вузлу  житлового будинку за адресою: вул.Сергія Слісаренка, 16, кв. 3, м.Кам’янське (ПВР)</t>
  </si>
  <si>
    <t>Реконструкція вхідного вузлу  житлового будинку за адресою: просп.Металургів, 4, кв.3, м.Кам’янське (ПКД)</t>
  </si>
  <si>
    <t xml:space="preserve">Реконструкція вхідного вузлу  житлового будинку за адресою: просп.Івана Франка, 14, кв.64,  м.Кам’янське (ПКД) </t>
  </si>
  <si>
    <t xml:space="preserve">Реконструкція вхідного вузлу житлового будинку за адресою: вул.Харківська, 69, кв. 5, 33, м.Кам’янське (ПКД) </t>
  </si>
  <si>
    <t>Реконструкція системи газозабезпечення хірургічного корпусу КЗ «Кам’янська міська лікарня №9» ДОР (в т.ч. виготовлення проектно-кошторисної документації)</t>
  </si>
  <si>
    <t>Управління соціальної політики міської ради</t>
  </si>
  <si>
    <t>Розробка проектно-кошторисної документації на реконструкцію комунального закладу «Дитячо-юнацька спортивна школа №2 Кам’янської міської ради», адреса: вул.Мира, 19а м.Кам’янське</t>
  </si>
  <si>
    <t>1513100</t>
  </si>
  <si>
    <t>Надання соціальних та реабілітаційних послуг громадянам в установах соціального обслуговування</t>
  </si>
  <si>
    <t>Орган з питань освіти і науки, молоді та спорту</t>
  </si>
  <si>
    <t>Орган з питань охорони здоров'я</t>
  </si>
  <si>
    <t>Інші природоохоронні заходи</t>
  </si>
  <si>
    <t>0540</t>
  </si>
  <si>
    <t>на капітальний ремонт доріг</t>
  </si>
  <si>
    <t>Субвенція до обласного бюджету на капітальний ремонт об`єктів соціально-культурної сфери та інфраструктури міста</t>
  </si>
  <si>
    <t>в тому числі за рахунок залишку освітньої субвенції з державного бюджету місцевим бюджетам</t>
  </si>
  <si>
    <t>в тому числі за рахунок залишку медичної субвенції з державного бюджету місцевим бюджетам</t>
  </si>
  <si>
    <t>Апарат місцевої ради</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</si>
  <si>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</si>
  <si>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для розрахунків за енергоносії та енергоресурси та воду на функціонування басейну (залізобетонної споруди) КП"Кіноконцертний зал "Мир", у тому числі погашення кредиторської заборгованості за 2016 рік-11700грн</t>
  </si>
  <si>
    <t>Департамент фінансів міської ради  (в частині міжбюджетних трансфертів, резервного фонду)</t>
  </si>
  <si>
    <t>на заходи, передбачені в Програмі розвитку комунального підприємства «Лівобережний парк» на 2015-2020 роки, яка затверджена рішенням міської ради від 27.03.2015 року №1275-61/VI (зі змінами)</t>
  </si>
  <si>
    <t>на заходи, передбачені в Програмі розвитку комунального підприємства Кам’янської міської ради «Тепломережі» на 2016–2020 роки, яка затверджена рішенням міської ради від 29.01.2016 №58-04/VII (зі змінами)</t>
  </si>
  <si>
    <t>на заходи передбачені в Програмі розвитку       КВП КМР "Міськводоканал" на 2016-2020 роки, яка затверджена рішенням міської ради від 26.02.2016 №92-05/VII(зі змінами)</t>
  </si>
  <si>
    <t>заходи, передбачені в Програмі розвитку та утримання комунального підприємства Кам’янської міської ради «Інформаційні системи» на 2017–2020 роки, яка затверджена рішенням міської ради від 16.12.2016 №594-12/VII (зі змінами)</t>
  </si>
  <si>
    <r>
      <t>на виплату заробітної плати з нарахуваннями,</t>
    </r>
    <r>
      <rPr>
        <i/>
        <sz val="11"/>
        <rFont val="Times New Roman"/>
        <family val="1"/>
      </rPr>
      <t xml:space="preserve"> погашення заборгованості по заробітній платі з нарахуваннями</t>
    </r>
    <r>
      <rPr>
        <sz val="11"/>
        <rFont val="Times New Roman"/>
        <family val="1"/>
      </rPr>
      <t>, оплати  енергоносіїв та комунальних послуг, компенсація витрат по електроенергії</t>
    </r>
  </si>
  <si>
    <t>в тому числі 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</si>
  <si>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тому числі на виконання доручень виборців депутатами обласної ради у 2017 році</t>
  </si>
  <si>
    <t>в тому числі  за рахунок залишку коштів освітньої субвенції з державного бюджету місцевим бюджетам, що утворився на початок бюджетного періоду, на підтримку інклюзивної освіти</t>
  </si>
  <si>
    <t>в тому числі  за рахунок залишку коштів освітньої субвенції з державного бюджету місцевим бюджетам, що утворився на початок бюджетного періоду, створення ресурсних кімнат для дітей з особливими освітніми потребами, що потребують інклюзивної освіти</t>
  </si>
  <si>
    <t>Управління охорони здоров'я міської ради</t>
  </si>
  <si>
    <t>Будівництво світлофорного об’єкту на перетині Єлізаветівського шосе з просп. Перемоги та вул. Індустріальної у м. Дніпродзержинську</t>
  </si>
  <si>
    <t>Реконструкція зовнішніх мереж теплопостачання будівлі Комунального закладу «Середня загальноосвітня школа №  37 м. Кам’янське» Кам’янської міської ради за адресою: вул. Чорновола, 34/22, м. Кам’янське, Дніпропетровська область</t>
  </si>
  <si>
    <t>Адміністрація Заводського району міської ради</t>
  </si>
  <si>
    <t>Реконструкція адміністративної будівлі за адресою проспект Василя Стуса, 10/12 в м.Кам’янське ( в т.ч. ПКД)</t>
  </si>
  <si>
    <t>Реконструкція будівлі АЗПСМ №1, 2 КЗОЗ ДМР "ЦПМСД №3" за адресою: просп.Леніна, 20А в м.Дніпродзержинську (утеплення фасаду, заміна вікон та дверей, системи опалення, водопостачання та розташування модульної котельні)" (у т.ч. коригування ПКД)</t>
  </si>
  <si>
    <t>Реконструкція адміністративної будівлі за адресою: вул. Затишна, буд. 3 в м. Кам'янське (в т.ч. ПКД)</t>
  </si>
  <si>
    <t xml:space="preserve">Будівництво індивідуального теплового пункту житлового будинку по просп.Металургів, 14 у м.Кам'янському </t>
  </si>
  <si>
    <t>Будівництво лівобережного з'їзду з мостового переходу через р. Дніпро на просп. Металургів, м.Кам`янське (у т.ч. коригування ПКД та експертиза)</t>
  </si>
  <si>
    <t xml:space="preserve">Будівництво амбулаторії ЗПСМ №2 КЗОЗ КМР «Центр ПМСД №3» за адресою: вул.Залізняка, 1, м.Кам'янське» (ПВР) </t>
  </si>
  <si>
    <t>на заходи, передбачені в Програмі розвитку комунального підприємства КП КМР «Кам`янське автотранспортне підприємство 042802» на 2016-2019 роки, яка затверджена рішенням міської ради від 25.12.2015 №28-03/VII (зі змінами)</t>
  </si>
  <si>
    <t>на заходи передбачені в Програмі розвитку та утримання КП КМР «Містшляхсервіс» на 2017-2020 роки", яка затверджена рішенням міської ради від 24.02.2017№641-14/VIІ(зі змінами)</t>
  </si>
  <si>
    <t>на заходи передбачені в Програмі розвитку КП КМР «Дніпродзержинський спецкомбінат» на 2015-2018 роки", яка затверджена рішенням міської ради від 26.12.2014№1183-58/VI(зі змінами")</t>
  </si>
  <si>
    <t xml:space="preserve"> КП КМР «Дніпродзержинський спецкомбінат" в т.ч.:</t>
  </si>
  <si>
    <t>КП КМР "Кам`янське автотранспортне підприємство 042802» в т.ч.:</t>
  </si>
  <si>
    <r>
      <t xml:space="preserve">Додаток 5
до рішення міської ради                                                                                                                                                                                                     від </t>
    </r>
    <r>
      <rPr>
        <u val="single"/>
        <sz val="14"/>
        <rFont val="Times New Roman"/>
        <family val="1"/>
      </rPr>
      <t xml:space="preserve"> 16.12.2016  </t>
    </r>
    <r>
      <rPr>
        <sz val="14"/>
        <rFont val="Times New Roman"/>
        <family val="1"/>
      </rPr>
      <t xml:space="preserve"> </t>
    </r>
    <r>
      <rPr>
        <u val="single"/>
        <sz val="14"/>
        <rFont val="Times New Roman"/>
        <family val="1"/>
      </rPr>
      <t xml:space="preserve">№ 560-12/VII </t>
    </r>
    <r>
      <rPr>
        <sz val="14"/>
        <rFont val="Times New Roman"/>
        <family val="1"/>
      </rPr>
      <t xml:space="preserve">                    
(у редакції рішення міської ради                                                                                                                                                                                     від</t>
    </r>
    <r>
      <rPr>
        <u val="single"/>
        <sz val="14"/>
        <rFont val="Times New Roman"/>
        <family val="1"/>
      </rPr>
      <t xml:space="preserve">   17.11.2017 </t>
    </r>
    <r>
      <rPr>
        <sz val="14"/>
        <rFont val="Times New Roman"/>
        <family val="1"/>
      </rPr>
      <t xml:space="preserve">№ </t>
    </r>
    <r>
      <rPr>
        <u val="single"/>
        <sz val="14"/>
        <rFont val="Times New Roman"/>
        <family val="1"/>
      </rPr>
      <t>867-20/VII</t>
    </r>
    <r>
      <rPr>
        <sz val="14"/>
        <rFont val="Times New Roman"/>
        <family val="1"/>
      </rPr>
      <t>)</t>
    </r>
  </si>
  <si>
    <t>Будівництво каналізаційного колектора від КЗ «Середня загальноосвітня школа №19 м. Кам’янське» КМР (ПВР)</t>
  </si>
  <si>
    <t>Реконструкція гуртожитку за адресою: м.Дніпродзержинськ, просп.Конституції,  32 під соціальне житло (приєднання до електричних мереж)</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</si>
</sst>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4">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1"/>
      <name val="Times New Roman"/>
      <family val="1"/>
    </font>
    <font>
      <sz val="14"/>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vertAlign val="superscript"/>
      <sz val="11"/>
      <name val="Times New Roman"/>
      <family val="1"/>
    </font>
    <font>
      <i/>
      <sz val="11"/>
      <name val="Times New Roman"/>
      <family val="1"/>
    </font>
    <font>
      <sz val="24"/>
      <name val="Times New Roman"/>
      <family val="1"/>
    </font>
    <font>
      <sz val="20"/>
      <name val="Times New Roman"/>
      <family val="1"/>
    </font>
    <font>
      <b/>
      <sz val="12"/>
      <name val="Times New Roman"/>
      <family val="1"/>
    </font>
    <font>
      <sz val="12"/>
      <name val="Times New Roman"/>
      <family val="1"/>
    </font>
    <font>
      <u val="single"/>
      <sz val="14"/>
      <name val="Times New Roman"/>
      <family val="1"/>
    </font>
    <font>
      <b/>
      <i/>
      <sz val="10"/>
      <name val="Times New Roman"/>
      <family val="1"/>
    </font>
    <font>
      <sz val="11"/>
      <color indexed="10"/>
      <name val="Times New Roman"/>
      <family val="1"/>
    </font>
    <font>
      <sz val="11"/>
      <color indexed="12"/>
      <name val="Times New Roman"/>
      <family val="1"/>
    </font>
    <font>
      <b/>
      <i/>
      <sz val="11"/>
      <name val="Times New Roman"/>
      <family val="1"/>
    </font>
    <font>
      <i/>
      <sz val="10"/>
      <name val="Times New Roman"/>
      <family val="1"/>
    </font>
    <font>
      <b/>
      <i/>
      <sz val="10"/>
      <color indexed="10"/>
      <name val="Times New Roman"/>
      <family val="1"/>
    </font>
    <font>
      <b/>
      <i/>
      <sz val="10.5"/>
      <name val="Times New Roman"/>
      <family val="1"/>
    </font>
    <font>
      <i/>
      <sz val="10"/>
      <color indexed="10"/>
      <name val="Times New Roman"/>
      <family val="1"/>
    </font>
    <font>
      <sz val="10.5"/>
      <name val="Times New Roman"/>
      <family val="1"/>
    </font>
    <font>
      <sz val="11"/>
      <color indexed="9"/>
      <name val="Times New Roman"/>
      <family val="1"/>
    </font>
    <font>
      <sz val="10"/>
      <color indexed="10"/>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218">
    <xf numFmtId="0" fontId="0" fillId="0" borderId="0" xfId="0" applyAlignment="1">
      <alignment/>
    </xf>
    <xf numFmtId="0" fontId="24" fillId="0" borderId="0" xfId="0" applyNumberFormat="1" applyFont="1" applyFill="1" applyAlignment="1" applyProtection="1">
      <alignment vertical="center" wrapText="1"/>
      <protection/>
    </xf>
    <xf numFmtId="0" fontId="24" fillId="0" borderId="12" xfId="0" applyNumberFormat="1" applyFont="1" applyFill="1" applyBorder="1" applyAlignment="1" applyProtection="1">
      <alignment horizontal="right" vertical="center"/>
      <protection/>
    </xf>
    <xf numFmtId="0" fontId="24" fillId="0" borderId="0" xfId="0" applyNumberFormat="1" applyFont="1" applyFill="1" applyAlignment="1" applyProtection="1">
      <alignment vertical="center"/>
      <protection/>
    </xf>
    <xf numFmtId="0" fontId="24" fillId="0" borderId="0" xfId="0" applyFont="1" applyFill="1" applyAlignment="1">
      <alignment vertical="center"/>
    </xf>
    <xf numFmtId="0" fontId="24" fillId="0" borderId="13" xfId="0" applyFont="1" applyBorder="1" applyAlignment="1" quotePrefix="1">
      <alignment horizontal="center" vertical="center" wrapText="1"/>
    </xf>
    <xf numFmtId="2" fontId="24" fillId="0" borderId="13" xfId="0" applyNumberFormat="1" applyFont="1" applyBorder="1" applyAlignment="1" quotePrefix="1">
      <alignment horizontal="center" vertical="center" wrapText="1"/>
    </xf>
    <xf numFmtId="2" fontId="24" fillId="0" borderId="13" xfId="0" applyNumberFormat="1" applyFont="1" applyBorder="1" applyAlignment="1">
      <alignment vertical="center" wrapText="1"/>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8" borderId="0" xfId="0" applyFont="1" applyFill="1" applyAlignment="1">
      <alignment vertical="center"/>
    </xf>
    <xf numFmtId="0" fontId="24" fillId="4" borderId="0" xfId="0" applyFont="1" applyFill="1" applyAlignment="1">
      <alignment vertical="center"/>
    </xf>
    <xf numFmtId="0" fontId="24" fillId="13" borderId="0" xfId="0" applyFont="1" applyFill="1" applyAlignment="1">
      <alignment vertical="center"/>
    </xf>
    <xf numFmtId="0" fontId="25" fillId="0" borderId="0" xfId="0" applyFont="1" applyFill="1" applyAlignment="1">
      <alignment vertical="center"/>
    </xf>
    <xf numFmtId="0" fontId="24" fillId="0" borderId="0" xfId="0" applyFont="1" applyFill="1" applyBorder="1" applyAlignment="1">
      <alignment horizontal="center" vertical="center" wrapText="1"/>
    </xf>
    <xf numFmtId="192" fontId="24" fillId="4" borderId="13" xfId="95" applyNumberFormat="1" applyFont="1" applyFill="1" applyBorder="1" applyAlignment="1">
      <alignment vertical="center" wrapText="1"/>
      <protection/>
    </xf>
    <xf numFmtId="192" fontId="24" fillId="4" borderId="13" xfId="95" applyNumberFormat="1" applyFont="1" applyFill="1" applyBorder="1" applyAlignment="1">
      <alignment vertical="center"/>
      <protection/>
    </xf>
    <xf numFmtId="192" fontId="24" fillId="8" borderId="13" xfId="95" applyNumberFormat="1" applyFont="1" applyFill="1" applyBorder="1" applyAlignment="1">
      <alignment vertical="center" wrapText="1"/>
      <protection/>
    </xf>
    <xf numFmtId="192" fontId="24" fillId="8" borderId="13" xfId="95" applyNumberFormat="1" applyFont="1" applyFill="1" applyBorder="1" applyAlignment="1">
      <alignment vertical="center"/>
      <protection/>
    </xf>
    <xf numFmtId="192" fontId="24" fillId="13" borderId="13" xfId="95" applyNumberFormat="1" applyFont="1" applyFill="1" applyBorder="1" applyAlignment="1">
      <alignment vertical="center" wrapText="1"/>
      <protection/>
    </xf>
    <xf numFmtId="192" fontId="24" fillId="13" borderId="13" xfId="95" applyNumberFormat="1" applyFont="1" applyFill="1" applyBorder="1" applyAlignment="1">
      <alignment vertical="center"/>
      <protection/>
    </xf>
    <xf numFmtId="192" fontId="24" fillId="0" borderId="13" xfId="95" applyNumberFormat="1" applyFont="1" applyBorder="1" applyAlignment="1">
      <alignment vertical="center"/>
      <protection/>
    </xf>
    <xf numFmtId="192" fontId="24" fillId="0" borderId="13" xfId="95" applyNumberFormat="1" applyFont="1" applyBorder="1" applyAlignment="1">
      <alignment vertical="center" wrapText="1"/>
      <protection/>
    </xf>
    <xf numFmtId="192" fontId="24" fillId="0" borderId="13" xfId="95" applyNumberFormat="1" applyFont="1" applyFill="1" applyBorder="1" applyAlignment="1">
      <alignment vertical="center"/>
      <protection/>
    </xf>
    <xf numFmtId="3" fontId="25" fillId="0" borderId="0" xfId="0" applyNumberFormat="1" applyFont="1" applyAlignment="1">
      <alignment vertical="center"/>
    </xf>
    <xf numFmtId="0" fontId="24" fillId="0" borderId="12"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wrapText="1"/>
      <protection/>
    </xf>
    <xf numFmtId="0" fontId="24" fillId="0" borderId="13" xfId="0" applyFont="1" applyBorder="1" applyAlignment="1">
      <alignment horizontal="center" vertical="center" wrapText="1"/>
    </xf>
    <xf numFmtId="49" fontId="24" fillId="4" borderId="13" xfId="0" applyNumberFormat="1" applyFont="1" applyFill="1" applyBorder="1" applyAlignment="1">
      <alignment horizontal="center" vertical="center" wrapText="1"/>
    </xf>
    <xf numFmtId="49" fontId="24" fillId="8" borderId="13" xfId="0" applyNumberFormat="1" applyFont="1" applyFill="1" applyBorder="1" applyAlignment="1">
      <alignment horizontal="center" vertical="center" wrapText="1"/>
    </xf>
    <xf numFmtId="0" fontId="24" fillId="13" borderId="13" xfId="0" applyFont="1" applyFill="1" applyBorder="1" applyAlignment="1" quotePrefix="1">
      <alignment horizontal="center" vertical="center" wrapText="1"/>
    </xf>
    <xf numFmtId="0" fontId="24" fillId="13" borderId="13" xfId="0" applyFont="1" applyFill="1" applyBorder="1" applyAlignment="1">
      <alignment horizontal="center" vertical="center" wrapText="1"/>
    </xf>
    <xf numFmtId="2" fontId="24" fillId="13" borderId="13" xfId="0" applyNumberFormat="1" applyFont="1" applyFill="1" applyBorder="1" applyAlignment="1">
      <alignment horizontal="center" vertical="center" wrapText="1"/>
    </xf>
    <xf numFmtId="0" fontId="24" fillId="4" borderId="13" xfId="0" applyFont="1" applyFill="1" applyBorder="1" applyAlignment="1" quotePrefix="1">
      <alignment horizontal="center" vertical="center" wrapText="1"/>
    </xf>
    <xf numFmtId="0" fontId="24" fillId="4" borderId="13" xfId="0" applyFont="1" applyFill="1" applyBorder="1" applyAlignment="1">
      <alignment horizontal="center" vertical="center" wrapText="1"/>
    </xf>
    <xf numFmtId="2" fontId="24" fillId="4" borderId="13" xfId="0" applyNumberFormat="1" applyFont="1" applyFill="1" applyBorder="1" applyAlignment="1">
      <alignment horizontal="center" vertical="center" wrapText="1"/>
    </xf>
    <xf numFmtId="0" fontId="24" fillId="8" borderId="13" xfId="0" applyFont="1" applyFill="1" applyBorder="1" applyAlignment="1" quotePrefix="1">
      <alignment horizontal="center" vertical="center" wrapText="1"/>
    </xf>
    <xf numFmtId="0" fontId="24" fillId="8" borderId="13" xfId="0" applyFont="1" applyFill="1" applyBorder="1" applyAlignment="1">
      <alignment horizontal="center" vertical="center" wrapText="1"/>
    </xf>
    <xf numFmtId="2" fontId="24" fillId="8" borderId="13" xfId="0" applyNumberFormat="1" applyFont="1" applyFill="1" applyBorder="1" applyAlignment="1">
      <alignment horizontal="center" vertical="center" wrapText="1"/>
    </xf>
    <xf numFmtId="0" fontId="24" fillId="26" borderId="13" xfId="0" applyFont="1" applyFill="1" applyBorder="1" applyAlignment="1" quotePrefix="1">
      <alignment horizontal="center" vertical="center" wrapText="1"/>
    </xf>
    <xf numFmtId="2" fontId="24" fillId="26" borderId="13" xfId="0" applyNumberFormat="1" applyFont="1" applyFill="1" applyBorder="1" applyAlignment="1" quotePrefix="1">
      <alignment horizontal="center" vertical="center" wrapText="1"/>
    </xf>
    <xf numFmtId="192" fontId="24" fillId="26" borderId="13" xfId="95" applyNumberFormat="1" applyFont="1" applyFill="1" applyBorder="1" applyAlignment="1">
      <alignment vertical="center"/>
      <protection/>
    </xf>
    <xf numFmtId="0" fontId="24" fillId="26" borderId="0" xfId="0" applyFont="1" applyFill="1" applyAlignment="1">
      <alignment vertical="center"/>
    </xf>
    <xf numFmtId="0" fontId="24" fillId="0" borderId="0" xfId="0" applyFont="1" applyAlignment="1">
      <alignment vertical="center" wrapText="1"/>
    </xf>
    <xf numFmtId="192" fontId="24" fillId="0" borderId="13" xfId="95" applyNumberFormat="1" applyFont="1" applyFill="1" applyBorder="1" applyAlignment="1">
      <alignment vertical="center" wrapText="1"/>
      <protection/>
    </xf>
    <xf numFmtId="0" fontId="25" fillId="0" borderId="0"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vertical="center"/>
      <protection/>
    </xf>
    <xf numFmtId="0" fontId="32" fillId="0" borderId="0" xfId="0" applyNumberFormat="1" applyFont="1" applyFill="1" applyAlignment="1" applyProtection="1">
      <alignment vertical="center" wrapText="1"/>
      <protection/>
    </xf>
    <xf numFmtId="0" fontId="32" fillId="0" borderId="0" xfId="0" applyFont="1" applyAlignment="1">
      <alignment vertical="center"/>
    </xf>
    <xf numFmtId="0" fontId="32" fillId="0" borderId="0" xfId="0" applyFont="1" applyAlignment="1">
      <alignment horizontal="left" vertical="center"/>
    </xf>
    <xf numFmtId="3" fontId="32" fillId="0" borderId="0" xfId="0" applyNumberFormat="1" applyFont="1" applyAlignment="1">
      <alignment vertical="center"/>
    </xf>
    <xf numFmtId="3" fontId="32" fillId="0" borderId="0" xfId="0" applyNumberFormat="1" applyFont="1" applyAlignment="1">
      <alignment horizontal="left" vertical="center"/>
    </xf>
    <xf numFmtId="0" fontId="34" fillId="13" borderId="13" xfId="0" applyFont="1" applyFill="1" applyBorder="1" applyAlignment="1">
      <alignment horizontal="center" vertical="center" wrapText="1"/>
    </xf>
    <xf numFmtId="49" fontId="34" fillId="13" borderId="13" xfId="0" applyNumberFormat="1" applyFont="1" applyFill="1" applyBorder="1" applyAlignment="1">
      <alignment horizontal="center" vertical="center" wrapText="1"/>
    </xf>
    <xf numFmtId="192" fontId="34" fillId="13" borderId="13" xfId="0" applyNumberFormat="1" applyFont="1" applyFill="1" applyBorder="1" applyAlignment="1">
      <alignment vertical="center"/>
    </xf>
    <xf numFmtId="0" fontId="34" fillId="0" borderId="0" xfId="0" applyFont="1" applyFill="1" applyAlignment="1">
      <alignment vertical="center"/>
    </xf>
    <xf numFmtId="0" fontId="24" fillId="0" borderId="13" xfId="0" applyFont="1" applyBorder="1" applyAlignment="1">
      <alignment vertical="center" wrapText="1"/>
    </xf>
    <xf numFmtId="0" fontId="33" fillId="0" borderId="0" xfId="0" applyNumberFormat="1" applyFont="1" applyFill="1" applyAlignment="1" applyProtection="1">
      <alignment vertical="center"/>
      <protection/>
    </xf>
    <xf numFmtId="0" fontId="33" fillId="0" borderId="0" xfId="0" applyFont="1" applyFill="1" applyAlignment="1">
      <alignment vertical="center"/>
    </xf>
    <xf numFmtId="49" fontId="24" fillId="0" borderId="13" xfId="0" applyNumberFormat="1" applyFont="1" applyBorder="1" applyAlignment="1">
      <alignment horizontal="center" vertical="center" wrapText="1"/>
    </xf>
    <xf numFmtId="4" fontId="24" fillId="0" borderId="13" xfId="0" applyNumberFormat="1" applyFont="1" applyFill="1" applyBorder="1" applyAlignment="1">
      <alignment vertical="center" wrapText="1"/>
    </xf>
    <xf numFmtId="0" fontId="35" fillId="4" borderId="13" xfId="0" applyFont="1" applyFill="1" applyBorder="1" applyAlignment="1" quotePrefix="1">
      <alignment horizontal="center" vertical="center" wrapText="1"/>
    </xf>
    <xf numFmtId="49" fontId="35" fillId="4" borderId="13" xfId="0" applyNumberFormat="1" applyFont="1" applyFill="1" applyBorder="1" applyAlignment="1">
      <alignment horizontal="center" vertical="center" wrapText="1"/>
    </xf>
    <xf numFmtId="2" fontId="35" fillId="4" borderId="13" xfId="0" applyNumberFormat="1" applyFont="1" applyFill="1" applyBorder="1" applyAlignment="1">
      <alignment horizontal="center" vertical="center" wrapText="1"/>
    </xf>
    <xf numFmtId="0" fontId="37" fillId="0" borderId="13" xfId="0" applyFont="1" applyBorder="1" applyAlignment="1" quotePrefix="1">
      <alignment horizontal="center" vertical="center" wrapText="1"/>
    </xf>
    <xf numFmtId="2" fontId="37" fillId="0" borderId="13" xfId="0" applyNumberFormat="1" applyFont="1" applyBorder="1" applyAlignment="1" quotePrefix="1">
      <alignment horizontal="center" vertical="center" wrapText="1"/>
    </xf>
    <xf numFmtId="192" fontId="37" fillId="0" borderId="13" xfId="95" applyNumberFormat="1" applyFont="1" applyBorder="1" applyAlignment="1">
      <alignment vertical="center" wrapText="1"/>
      <protection/>
    </xf>
    <xf numFmtId="192" fontId="37" fillId="0" borderId="13" xfId="95" applyNumberFormat="1" applyFont="1" applyBorder="1" applyAlignment="1">
      <alignment vertical="center"/>
      <protection/>
    </xf>
    <xf numFmtId="0" fontId="37"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39" fillId="13" borderId="0" xfId="0" applyFont="1" applyFill="1" applyAlignment="1">
      <alignment vertical="center"/>
    </xf>
    <xf numFmtId="192" fontId="31" fillId="0" borderId="13" xfId="95" applyNumberFormat="1" applyFont="1" applyBorder="1" applyAlignment="1">
      <alignment vertical="center"/>
      <protection/>
    </xf>
    <xf numFmtId="0" fontId="40" fillId="0" borderId="13" xfId="0" applyFont="1" applyBorder="1" applyAlignment="1">
      <alignment vertical="center" wrapText="1"/>
    </xf>
    <xf numFmtId="192" fontId="40" fillId="0" borderId="13" xfId="95" applyNumberFormat="1" applyFont="1" applyFill="1" applyBorder="1" applyAlignment="1">
      <alignment vertical="center"/>
      <protection/>
    </xf>
    <xf numFmtId="0" fontId="38" fillId="0" borderId="13" xfId="0" applyFont="1" applyBorder="1" applyAlignment="1" quotePrefix="1">
      <alignment horizontal="center" vertical="center" wrapText="1"/>
    </xf>
    <xf numFmtId="2" fontId="38" fillId="0" borderId="13" xfId="0" applyNumberFormat="1" applyFont="1" applyBorder="1" applyAlignment="1" quotePrefix="1">
      <alignment horizontal="center" vertical="center" wrapText="1"/>
    </xf>
    <xf numFmtId="0" fontId="24" fillId="0" borderId="13" xfId="0" applyFont="1" applyFill="1" applyBorder="1" applyAlignment="1" quotePrefix="1">
      <alignment horizontal="center" vertical="center" wrapText="1"/>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wrapText="1"/>
    </xf>
    <xf numFmtId="0" fontId="38" fillId="3" borderId="0" xfId="0" applyFont="1" applyFill="1" applyAlignment="1">
      <alignment vertical="center"/>
    </xf>
    <xf numFmtId="2" fontId="24" fillId="0" borderId="13" xfId="0" applyNumberFormat="1" applyFont="1" applyFill="1" applyBorder="1" applyAlignment="1" quotePrefix="1">
      <alignment horizontal="center" vertical="center" wrapText="1"/>
    </xf>
    <xf numFmtId="192" fontId="41" fillId="0" borderId="13" xfId="95" applyNumberFormat="1" applyFont="1" applyFill="1" applyBorder="1" applyAlignment="1">
      <alignment vertical="center" wrapText="1"/>
      <protection/>
    </xf>
    <xf numFmtId="192" fontId="41" fillId="0" borderId="13" xfId="95" applyNumberFormat="1" applyFont="1" applyFill="1" applyBorder="1" applyAlignment="1">
      <alignment vertical="center"/>
      <protection/>
    </xf>
    <xf numFmtId="0" fontId="31" fillId="0" borderId="0" xfId="0" applyFont="1" applyFill="1" applyAlignment="1">
      <alignment vertical="center"/>
    </xf>
    <xf numFmtId="49" fontId="24" fillId="0" borderId="13" xfId="0" applyNumberFormat="1" applyFont="1" applyFill="1" applyBorder="1" applyAlignment="1" quotePrefix="1">
      <alignment horizontal="center" vertical="center" wrapText="1"/>
    </xf>
    <xf numFmtId="0" fontId="24" fillId="0" borderId="0" xfId="0" applyFont="1" applyFill="1" applyAlignment="1">
      <alignment vertical="center" wrapText="1"/>
    </xf>
    <xf numFmtId="4" fontId="34" fillId="13" borderId="13" xfId="0" applyNumberFormat="1" applyFont="1" applyFill="1" applyBorder="1" applyAlignment="1">
      <alignment vertical="center"/>
    </xf>
    <xf numFmtId="2" fontId="24" fillId="0" borderId="0" xfId="0" applyNumberFormat="1" applyFont="1" applyAlignment="1">
      <alignment vertical="center" wrapText="1"/>
    </xf>
    <xf numFmtId="2" fontId="24" fillId="0" borderId="13" xfId="95" applyNumberFormat="1" applyFont="1" applyBorder="1" applyAlignment="1">
      <alignment vertical="center" wrapText="1"/>
      <protection/>
    </xf>
    <xf numFmtId="2" fontId="37" fillId="0" borderId="13" xfId="95" applyNumberFormat="1" applyFont="1" applyBorder="1" applyAlignment="1">
      <alignment vertical="center" wrapText="1"/>
      <protection/>
    </xf>
    <xf numFmtId="2" fontId="24" fillId="0" borderId="13" xfId="95" applyNumberFormat="1" applyFont="1" applyFill="1" applyBorder="1" applyAlignment="1">
      <alignment vertical="center" wrapText="1"/>
      <protection/>
    </xf>
    <xf numFmtId="2" fontId="24" fillId="4" borderId="13" xfId="95" applyNumberFormat="1" applyFont="1" applyFill="1" applyBorder="1" applyAlignment="1">
      <alignment vertical="center" wrapText="1"/>
      <protection/>
    </xf>
    <xf numFmtId="2" fontId="24" fillId="8" borderId="13" xfId="95" applyNumberFormat="1" applyFont="1" applyFill="1" applyBorder="1" applyAlignment="1">
      <alignment vertical="center" wrapText="1"/>
      <protection/>
    </xf>
    <xf numFmtId="2" fontId="40" fillId="0" borderId="13" xfId="95" applyNumberFormat="1" applyFont="1" applyFill="1" applyBorder="1" applyAlignment="1">
      <alignment vertical="center" wrapText="1"/>
      <protection/>
    </xf>
    <xf numFmtId="2" fontId="34" fillId="13" borderId="13" xfId="0" applyNumberFormat="1" applyFont="1" applyFill="1" applyBorder="1" applyAlignment="1">
      <alignment vertical="center" wrapText="1"/>
    </xf>
    <xf numFmtId="2" fontId="24" fillId="0" borderId="0" xfId="0" applyNumberFormat="1" applyFont="1" applyFill="1" applyAlignment="1" applyProtection="1">
      <alignment vertical="center" wrapText="1"/>
      <protection/>
    </xf>
    <xf numFmtId="2" fontId="32" fillId="0" borderId="0" xfId="0" applyNumberFormat="1" applyFont="1" applyAlignment="1">
      <alignment vertical="center" wrapText="1"/>
    </xf>
    <xf numFmtId="2" fontId="33" fillId="0" borderId="0" xfId="0" applyNumberFormat="1" applyFont="1" applyFill="1" applyAlignment="1" applyProtection="1">
      <alignment vertical="center" wrapText="1"/>
      <protection/>
    </xf>
    <xf numFmtId="2" fontId="32" fillId="0" borderId="0" xfId="0" applyNumberFormat="1" applyFont="1" applyFill="1" applyAlignment="1" applyProtection="1">
      <alignment vertical="center" wrapText="1"/>
      <protection/>
    </xf>
    <xf numFmtId="2" fontId="37" fillId="0" borderId="13" xfId="95" applyNumberFormat="1" applyFont="1" applyBorder="1" applyAlignment="1">
      <alignment horizontal="left" vertical="center" wrapText="1"/>
      <protection/>
    </xf>
    <xf numFmtId="192" fontId="31" fillId="0" borderId="13" xfId="95" applyNumberFormat="1" applyFont="1" applyBorder="1" applyAlignment="1">
      <alignment vertical="center" wrapText="1"/>
      <protection/>
    </xf>
    <xf numFmtId="192" fontId="31" fillId="26" borderId="13" xfId="95" applyNumberFormat="1" applyFont="1" applyFill="1" applyBorder="1" applyAlignment="1">
      <alignment vertical="center"/>
      <protection/>
    </xf>
    <xf numFmtId="0" fontId="39" fillId="13" borderId="13" xfId="0" applyFont="1" applyFill="1" applyBorder="1" applyAlignment="1">
      <alignment horizontal="center" vertical="center" wrapText="1"/>
    </xf>
    <xf numFmtId="2" fontId="39" fillId="13" borderId="13" xfId="0" applyNumberFormat="1" applyFont="1" applyFill="1" applyBorder="1" applyAlignment="1">
      <alignment horizontal="center" vertical="center" wrapText="1"/>
    </xf>
    <xf numFmtId="192" fontId="39" fillId="13" borderId="13" xfId="95" applyNumberFormat="1" applyFont="1" applyFill="1" applyBorder="1" applyAlignment="1">
      <alignment vertical="center" wrapText="1"/>
      <protection/>
    </xf>
    <xf numFmtId="0" fontId="38" fillId="4" borderId="0" xfId="0" applyFont="1" applyFill="1" applyAlignment="1">
      <alignment vertical="center"/>
    </xf>
    <xf numFmtId="49" fontId="24" fillId="0" borderId="13" xfId="0" applyNumberFormat="1" applyFont="1" applyBorder="1" applyAlignment="1" quotePrefix="1">
      <alignment horizontal="center" vertical="center" wrapText="1"/>
    </xf>
    <xf numFmtId="0" fontId="24" fillId="0" borderId="13" xfId="0" applyFont="1" applyBorder="1" applyAlignment="1">
      <alignment horizontal="left" vertical="center" wrapText="1"/>
    </xf>
    <xf numFmtId="0" fontId="42" fillId="0" borderId="13" xfId="0" applyFont="1" applyBorder="1" applyAlignment="1" quotePrefix="1">
      <alignment horizontal="center" vertical="center" wrapText="1"/>
    </xf>
    <xf numFmtId="2" fontId="42" fillId="0" borderId="13" xfId="0" applyNumberFormat="1" applyFont="1" applyBorder="1" applyAlignment="1" quotePrefix="1">
      <alignment horizontal="center" vertical="center" wrapText="1"/>
    </xf>
    <xf numFmtId="0" fontId="42" fillId="0" borderId="0" xfId="0" applyFont="1" applyFill="1" applyAlignment="1">
      <alignment vertical="center"/>
    </xf>
    <xf numFmtId="4" fontId="37" fillId="0" borderId="13" xfId="95" applyNumberFormat="1" applyFont="1" applyBorder="1" applyAlignment="1">
      <alignment vertical="center"/>
      <protection/>
    </xf>
    <xf numFmtId="4" fontId="24" fillId="0" borderId="13" xfId="95" applyNumberFormat="1" applyFont="1" applyBorder="1" applyAlignment="1">
      <alignment vertical="center"/>
      <protection/>
    </xf>
    <xf numFmtId="192" fontId="41" fillId="0" borderId="13" xfId="95" applyNumberFormat="1" applyFont="1" applyBorder="1" applyAlignment="1">
      <alignment vertical="center" wrapText="1"/>
      <protection/>
    </xf>
    <xf numFmtId="2" fontId="31" fillId="0" borderId="13" xfId="95" applyNumberFormat="1" applyFont="1" applyBorder="1" applyAlignment="1">
      <alignment vertical="center" wrapText="1"/>
      <protection/>
    </xf>
    <xf numFmtId="4" fontId="24" fillId="8" borderId="13" xfId="95" applyNumberFormat="1" applyFont="1" applyFill="1" applyBorder="1" applyAlignment="1">
      <alignment vertical="center"/>
      <protection/>
    </xf>
    <xf numFmtId="4" fontId="24" fillId="4" borderId="13" xfId="95" applyNumberFormat="1" applyFont="1" applyFill="1" applyBorder="1" applyAlignment="1">
      <alignment vertical="center"/>
      <protection/>
    </xf>
    <xf numFmtId="4" fontId="24" fillId="0" borderId="13" xfId="0" applyNumberFormat="1" applyFont="1" applyBorder="1" applyAlignment="1">
      <alignment vertical="center" wrapText="1"/>
    </xf>
    <xf numFmtId="4" fontId="31" fillId="0" borderId="13" xfId="0" applyNumberFormat="1" applyFont="1" applyBorder="1" applyAlignment="1">
      <alignment vertical="center" wrapText="1"/>
    </xf>
    <xf numFmtId="4" fontId="24" fillId="0" borderId="0" xfId="0" applyNumberFormat="1" applyFont="1" applyFill="1" applyAlignment="1" applyProtection="1">
      <alignment vertical="center"/>
      <protection/>
    </xf>
    <xf numFmtId="4" fontId="25" fillId="0" borderId="0" xfId="0" applyNumberFormat="1" applyFont="1" applyFill="1" applyAlignment="1">
      <alignment vertical="center"/>
    </xf>
    <xf numFmtId="0" fontId="38" fillId="8" borderId="0" xfId="0" applyFont="1" applyFill="1" applyAlignment="1">
      <alignment vertical="center"/>
    </xf>
    <xf numFmtId="2" fontId="31" fillId="0" borderId="13" xfId="0" applyNumberFormat="1" applyFont="1" applyBorder="1" applyAlignment="1">
      <alignment vertical="center" wrapText="1"/>
    </xf>
    <xf numFmtId="2" fontId="24" fillId="13" borderId="13" xfId="0" applyNumberFormat="1" applyFont="1" applyFill="1" applyBorder="1" applyAlignment="1" quotePrefix="1">
      <alignment horizontal="center" vertical="center" wrapText="1"/>
    </xf>
    <xf numFmtId="4" fontId="24" fillId="0" borderId="13" xfId="95" applyNumberFormat="1" applyFont="1" applyFill="1" applyBorder="1" applyAlignment="1">
      <alignment vertical="center"/>
      <protection/>
    </xf>
    <xf numFmtId="4" fontId="31" fillId="0" borderId="13" xfId="95" applyNumberFormat="1" applyFont="1" applyBorder="1" applyAlignment="1">
      <alignment vertical="center"/>
      <protection/>
    </xf>
    <xf numFmtId="192" fontId="44" fillId="0" borderId="13" xfId="95" applyNumberFormat="1" applyFont="1" applyFill="1" applyBorder="1" applyAlignment="1">
      <alignment vertical="center" wrapText="1"/>
      <protection/>
    </xf>
    <xf numFmtId="49" fontId="24" fillId="13" borderId="13" xfId="0" applyNumberFormat="1" applyFont="1" applyFill="1" applyBorder="1" applyAlignment="1">
      <alignment horizontal="center" vertical="center" wrapText="1"/>
    </xf>
    <xf numFmtId="192" fontId="31" fillId="13" borderId="13" xfId="95" applyNumberFormat="1" applyFont="1" applyFill="1" applyBorder="1" applyAlignment="1">
      <alignment vertical="center"/>
      <protection/>
    </xf>
    <xf numFmtId="2" fontId="31" fillId="0" borderId="13" xfId="95" applyNumberFormat="1" applyFont="1" applyFill="1" applyBorder="1" applyAlignment="1">
      <alignment vertical="center" wrapText="1"/>
      <protection/>
    </xf>
    <xf numFmtId="4" fontId="24" fillId="13" borderId="13" xfId="95" applyNumberFormat="1" applyFont="1" applyFill="1" applyBorder="1" applyAlignment="1">
      <alignment vertical="center"/>
      <protection/>
    </xf>
    <xf numFmtId="4" fontId="41" fillId="0" borderId="13" xfId="95" applyNumberFormat="1" applyFont="1" applyFill="1" applyBorder="1" applyAlignment="1">
      <alignment vertical="center"/>
      <protection/>
    </xf>
    <xf numFmtId="4" fontId="43" fillId="0" borderId="13" xfId="95" applyNumberFormat="1" applyFont="1" applyBorder="1" applyAlignment="1">
      <alignment vertical="center"/>
      <protection/>
    </xf>
    <xf numFmtId="4" fontId="45" fillId="0" borderId="13" xfId="95" applyNumberFormat="1" applyFont="1" applyBorder="1" applyAlignment="1">
      <alignment vertical="center"/>
      <protection/>
    </xf>
    <xf numFmtId="4" fontId="31" fillId="0" borderId="13" xfId="95" applyNumberFormat="1" applyFont="1" applyFill="1" applyBorder="1" applyAlignment="1">
      <alignment vertical="center"/>
      <protection/>
    </xf>
    <xf numFmtId="4" fontId="43" fillId="0" borderId="13" xfId="95" applyNumberFormat="1" applyFont="1" applyFill="1" applyBorder="1" applyAlignment="1">
      <alignment vertical="center"/>
      <protection/>
    </xf>
    <xf numFmtId="4" fontId="41" fillId="0" borderId="13" xfId="95" applyNumberFormat="1" applyFont="1" applyBorder="1" applyAlignment="1">
      <alignment vertical="center"/>
      <protection/>
    </xf>
    <xf numFmtId="4" fontId="40" fillId="0" borderId="13" xfId="95" applyNumberFormat="1" applyFont="1" applyFill="1" applyBorder="1" applyAlignment="1">
      <alignment vertical="center"/>
      <protection/>
    </xf>
    <xf numFmtId="0" fontId="32" fillId="0" borderId="0" xfId="0" applyNumberFormat="1" applyFont="1" applyFill="1" applyAlignment="1" applyProtection="1">
      <alignment horizontal="left" vertical="center" wrapText="1"/>
      <protection/>
    </xf>
    <xf numFmtId="0" fontId="24" fillId="0" borderId="12" xfId="0" applyFont="1" applyFill="1" applyBorder="1" applyAlignment="1">
      <alignment horizontal="left" vertical="center" wrapText="1"/>
    </xf>
    <xf numFmtId="0" fontId="24" fillId="0" borderId="13" xfId="0" applyNumberFormat="1" applyFont="1" applyFill="1" applyBorder="1" applyAlignment="1" applyProtection="1">
      <alignment horizontal="left" vertical="center" wrapText="1"/>
      <protection/>
    </xf>
    <xf numFmtId="0" fontId="24" fillId="4" borderId="13" xfId="0" applyFont="1" applyFill="1" applyBorder="1" applyAlignment="1">
      <alignment horizontal="left" vertical="center" wrapText="1"/>
    </xf>
    <xf numFmtId="0" fontId="24" fillId="8" borderId="13" xfId="0" applyFont="1" applyFill="1" applyBorder="1" applyAlignment="1">
      <alignment horizontal="left" vertical="center" wrapText="1"/>
    </xf>
    <xf numFmtId="2" fontId="24" fillId="0" borderId="13" xfId="0" applyNumberFormat="1" applyFont="1" applyBorder="1" applyAlignment="1" quotePrefix="1">
      <alignment horizontal="left" vertical="center" wrapText="1"/>
    </xf>
    <xf numFmtId="2" fontId="24" fillId="13" borderId="13" xfId="0" applyNumberFormat="1" applyFont="1" applyFill="1" applyBorder="1" applyAlignment="1" quotePrefix="1">
      <alignment horizontal="left" vertical="center" wrapText="1"/>
    </xf>
    <xf numFmtId="2" fontId="24" fillId="0" borderId="13" xfId="0" applyNumberFormat="1" applyFont="1" applyBorder="1" applyAlignment="1">
      <alignment horizontal="left" vertical="center" wrapText="1"/>
    </xf>
    <xf numFmtId="2" fontId="24" fillId="4" borderId="13" xfId="0" applyNumberFormat="1" applyFont="1" applyFill="1" applyBorder="1" applyAlignment="1" quotePrefix="1">
      <alignment horizontal="left" vertical="center" wrapText="1"/>
    </xf>
    <xf numFmtId="2" fontId="24" fillId="8" borderId="13" xfId="0" applyNumberFormat="1" applyFont="1" applyFill="1" applyBorder="1" applyAlignment="1" quotePrefix="1">
      <alignment horizontal="left" vertical="center" wrapText="1"/>
    </xf>
    <xf numFmtId="2" fontId="24" fillId="0" borderId="13" xfId="0" applyNumberFormat="1" applyFont="1" applyFill="1" applyBorder="1" applyAlignment="1" quotePrefix="1">
      <alignment horizontal="left" vertical="center" wrapText="1"/>
    </xf>
    <xf numFmtId="2" fontId="31" fillId="0" borderId="13" xfId="0" applyNumberFormat="1" applyFont="1" applyBorder="1" applyAlignment="1">
      <alignment horizontal="left" vertical="center" wrapText="1"/>
    </xf>
    <xf numFmtId="2" fontId="24" fillId="4" borderId="13" xfId="0" applyNumberFormat="1" applyFont="1" applyFill="1" applyBorder="1" applyAlignment="1">
      <alignment horizontal="left" vertical="center" wrapText="1"/>
    </xf>
    <xf numFmtId="2" fontId="24" fillId="26" borderId="13" xfId="0" applyNumberFormat="1" applyFont="1" applyFill="1" applyBorder="1" applyAlignment="1">
      <alignment horizontal="left" vertical="center" wrapText="1"/>
    </xf>
    <xf numFmtId="2" fontId="31" fillId="0" borderId="13" xfId="0" applyNumberFormat="1" applyFont="1" applyFill="1" applyBorder="1" applyAlignment="1" quotePrefix="1">
      <alignment horizontal="left" vertical="center" wrapText="1"/>
    </xf>
    <xf numFmtId="2" fontId="24" fillId="0" borderId="13" xfId="0" applyNumberFormat="1" applyFont="1" applyFill="1" applyBorder="1" applyAlignment="1">
      <alignment horizontal="left" vertical="center" wrapText="1"/>
    </xf>
    <xf numFmtId="2" fontId="24" fillId="13" borderId="13" xfId="0" applyNumberFormat="1" applyFont="1" applyFill="1" applyBorder="1" applyAlignment="1">
      <alignment horizontal="left" vertical="center" wrapText="1"/>
    </xf>
    <xf numFmtId="2" fontId="38" fillId="0" borderId="13" xfId="0" applyNumberFormat="1" applyFont="1" applyBorder="1" applyAlignment="1">
      <alignment horizontal="left" vertical="center" wrapText="1"/>
    </xf>
    <xf numFmtId="2" fontId="38" fillId="0" borderId="13" xfId="0" applyNumberFormat="1" applyFont="1" applyBorder="1" applyAlignment="1" quotePrefix="1">
      <alignment horizontal="left" vertical="center" wrapText="1"/>
    </xf>
    <xf numFmtId="2" fontId="24" fillId="8" borderId="13" xfId="0" applyNumberFormat="1" applyFont="1" applyFill="1" applyBorder="1" applyAlignment="1">
      <alignment horizontal="left" vertical="center" wrapText="1"/>
    </xf>
    <xf numFmtId="2" fontId="37" fillId="0" borderId="13" xfId="0" applyNumberFormat="1" applyFont="1" applyBorder="1" applyAlignment="1">
      <alignment horizontal="left" vertical="center" wrapText="1"/>
    </xf>
    <xf numFmtId="2" fontId="42" fillId="0" borderId="13" xfId="0" applyNumberFormat="1" applyFont="1" applyBorder="1" applyAlignment="1">
      <alignment horizontal="left" vertical="center" wrapText="1"/>
    </xf>
    <xf numFmtId="2" fontId="35" fillId="4" borderId="13" xfId="0" applyNumberFormat="1" applyFont="1" applyFill="1" applyBorder="1" applyAlignment="1" quotePrefix="1">
      <alignment horizontal="left" vertical="center" wrapText="1"/>
    </xf>
    <xf numFmtId="0" fontId="34" fillId="13" borderId="13" xfId="0" applyFont="1" applyFill="1" applyBorder="1" applyAlignment="1">
      <alignment horizontal="left" vertical="center" wrapText="1"/>
    </xf>
    <xf numFmtId="0" fontId="24" fillId="0" borderId="0" xfId="0" applyNumberFormat="1" applyFont="1" applyFill="1" applyAlignment="1" applyProtection="1">
      <alignment horizontal="left" vertical="center" wrapText="1"/>
      <protection/>
    </xf>
    <xf numFmtId="0" fontId="32" fillId="0" borderId="0" xfId="0" applyFont="1" applyAlignment="1">
      <alignment horizontal="left" vertical="center" wrapText="1"/>
    </xf>
    <xf numFmtId="0" fontId="33" fillId="0" borderId="0" xfId="0" applyNumberFormat="1" applyFont="1" applyFill="1" applyAlignment="1" applyProtection="1">
      <alignment horizontal="left" vertical="center" wrapText="1"/>
      <protection/>
    </xf>
    <xf numFmtId="194" fontId="24" fillId="0" borderId="0" xfId="0" applyNumberFormat="1" applyFont="1" applyFill="1" applyAlignment="1">
      <alignment vertical="center"/>
    </xf>
    <xf numFmtId="194" fontId="46" fillId="0" borderId="0" xfId="0" applyNumberFormat="1" applyFont="1" applyFill="1" applyAlignment="1">
      <alignment vertical="center"/>
    </xf>
    <xf numFmtId="0" fontId="31" fillId="0" borderId="13" xfId="0" applyFont="1" applyBorder="1" applyAlignment="1" quotePrefix="1">
      <alignment horizontal="center" vertical="center" wrapText="1"/>
    </xf>
    <xf numFmtId="2" fontId="31" fillId="0" borderId="13" xfId="0" applyNumberFormat="1" applyFont="1" applyBorder="1" applyAlignment="1" quotePrefix="1">
      <alignment horizontal="center" vertical="center" wrapText="1"/>
    </xf>
    <xf numFmtId="194" fontId="31" fillId="0" borderId="0" xfId="0" applyNumberFormat="1" applyFont="1" applyFill="1" applyAlignment="1">
      <alignment vertical="center"/>
    </xf>
    <xf numFmtId="0" fontId="41" fillId="0" borderId="13" xfId="0" applyFont="1" applyBorder="1" applyAlignment="1" quotePrefix="1">
      <alignment horizontal="center" vertical="center" wrapText="1"/>
    </xf>
    <xf numFmtId="2" fontId="41" fillId="0" borderId="13" xfId="0" applyNumberFormat="1" applyFont="1" applyBorder="1" applyAlignment="1" quotePrefix="1">
      <alignment horizontal="center" vertical="center" wrapText="1"/>
    </xf>
    <xf numFmtId="0" fontId="41" fillId="0" borderId="0" xfId="0" applyNumberFormat="1" applyFont="1" applyFill="1" applyAlignment="1" applyProtection="1">
      <alignment horizontal="left" vertical="center" wrapText="1"/>
      <protection/>
    </xf>
    <xf numFmtId="2" fontId="41" fillId="0" borderId="13" xfId="0" applyNumberFormat="1" applyFont="1" applyBorder="1" applyAlignment="1" quotePrefix="1">
      <alignment vertical="center" wrapText="1"/>
    </xf>
    <xf numFmtId="192" fontId="41" fillId="0" borderId="13" xfId="95" applyNumberFormat="1" applyFont="1" applyBorder="1" applyAlignment="1">
      <alignment vertical="center"/>
      <protection/>
    </xf>
    <xf numFmtId="194" fontId="41" fillId="0" borderId="0" xfId="0" applyNumberFormat="1" applyFont="1" applyFill="1" applyAlignment="1">
      <alignment vertical="center"/>
    </xf>
    <xf numFmtId="0" fontId="41" fillId="0" borderId="0" xfId="0" applyFont="1" applyFill="1" applyAlignment="1">
      <alignment vertical="center"/>
    </xf>
    <xf numFmtId="0" fontId="0" fillId="0" borderId="13" xfId="0" applyFont="1" applyFill="1" applyBorder="1" applyAlignment="1" quotePrefix="1">
      <alignment horizontal="center" vertical="center" wrapText="1"/>
    </xf>
    <xf numFmtId="0" fontId="0" fillId="0" borderId="13" xfId="0" applyFont="1" applyFill="1" applyBorder="1" applyAlignment="1">
      <alignment horizontal="center" vertical="center" wrapText="1"/>
    </xf>
    <xf numFmtId="2" fontId="0" fillId="0" borderId="13" xfId="0" applyNumberFormat="1" applyFont="1" applyFill="1" applyBorder="1" applyAlignment="1">
      <alignment horizontal="center" vertical="center" wrapText="1"/>
    </xf>
    <xf numFmtId="2" fontId="0" fillId="0" borderId="13" xfId="0" applyNumberFormat="1" applyFont="1" applyFill="1" applyBorder="1" applyAlignment="1" quotePrefix="1">
      <alignment horizontal="left" vertical="center" wrapText="1"/>
    </xf>
    <xf numFmtId="192" fontId="0" fillId="0" borderId="13" xfId="95" applyNumberFormat="1" applyFont="1" applyFill="1" applyBorder="1" applyAlignment="1">
      <alignment vertical="center"/>
      <protection/>
    </xf>
    <xf numFmtId="4" fontId="0" fillId="0" borderId="13" xfId="95" applyNumberFormat="1" applyFont="1" applyFill="1" applyBorder="1" applyAlignment="1">
      <alignment vertical="center"/>
      <protection/>
    </xf>
    <xf numFmtId="194" fontId="0" fillId="0" borderId="0" xfId="0" applyNumberFormat="1" applyFont="1" applyFill="1" applyAlignment="1">
      <alignment vertical="center"/>
    </xf>
    <xf numFmtId="0" fontId="0" fillId="0" borderId="0" xfId="0" applyFont="1" applyFill="1" applyAlignment="1">
      <alignment vertical="center"/>
    </xf>
    <xf numFmtId="0" fontId="47" fillId="3" borderId="0" xfId="0" applyFont="1" applyFill="1" applyAlignment="1">
      <alignment vertical="center"/>
    </xf>
    <xf numFmtId="2" fontId="0" fillId="0" borderId="13" xfId="0" applyNumberFormat="1" applyFont="1" applyBorder="1" applyAlignment="1" quotePrefix="1">
      <alignment horizontal="center" vertical="center" wrapText="1"/>
    </xf>
    <xf numFmtId="2" fontId="0" fillId="0" borderId="13" xfId="0" applyNumberFormat="1" applyFont="1" applyBorder="1" applyAlignment="1">
      <alignment horizontal="left" vertical="center" wrapText="1"/>
    </xf>
    <xf numFmtId="0" fontId="41" fillId="0" borderId="13" xfId="0" applyFont="1" applyFill="1" applyBorder="1" applyAlignment="1" quotePrefix="1">
      <alignment horizontal="center" vertical="center" wrapText="1"/>
    </xf>
    <xf numFmtId="0" fontId="41" fillId="0" borderId="13" xfId="0" applyFont="1" applyFill="1" applyBorder="1" applyAlignment="1">
      <alignment horizontal="center" vertical="center" wrapText="1"/>
    </xf>
    <xf numFmtId="2" fontId="41" fillId="0" borderId="13" xfId="0" applyNumberFormat="1" applyFont="1" applyBorder="1" applyAlignment="1">
      <alignment horizontal="left" vertical="center" wrapText="1"/>
    </xf>
    <xf numFmtId="0" fontId="44" fillId="3" borderId="0" xfId="0" applyFont="1" applyFill="1" applyAlignment="1">
      <alignment vertical="center"/>
    </xf>
    <xf numFmtId="0" fontId="0" fillId="0" borderId="13" xfId="0" applyFont="1" applyBorder="1" applyAlignment="1" quotePrefix="1">
      <alignment horizontal="center" vertical="center" wrapText="1"/>
    </xf>
    <xf numFmtId="192" fontId="0" fillId="0" borderId="13" xfId="95" applyNumberFormat="1" applyFont="1" applyBorder="1" applyAlignment="1">
      <alignment vertical="center"/>
      <protection/>
    </xf>
    <xf numFmtId="4" fontId="0" fillId="0" borderId="13" xfId="95" applyNumberFormat="1" applyFont="1" applyBorder="1" applyAlignment="1">
      <alignment vertical="center"/>
      <protection/>
    </xf>
    <xf numFmtId="2" fontId="0" fillId="0" borderId="13" xfId="0" applyNumberFormat="1" applyFont="1" applyFill="1" applyBorder="1" applyAlignment="1" quotePrefix="1">
      <alignment horizontal="center" vertical="center" wrapText="1"/>
    </xf>
    <xf numFmtId="2" fontId="41" fillId="0" borderId="13" xfId="0" applyNumberFormat="1" applyFont="1" applyFill="1" applyBorder="1" applyAlignment="1" quotePrefix="1">
      <alignment horizontal="left" vertical="center" wrapText="1"/>
    </xf>
    <xf numFmtId="2" fontId="41" fillId="0" borderId="13" xfId="0" applyNumberFormat="1" applyFont="1" applyBorder="1" applyAlignment="1">
      <alignment vertical="center" wrapText="1"/>
    </xf>
    <xf numFmtId="2" fontId="41" fillId="0" borderId="13" xfId="0" applyNumberFormat="1" applyFont="1" applyFill="1" applyBorder="1" applyAlignment="1" quotePrefix="1">
      <alignment horizontal="center" vertical="center" wrapText="1"/>
    </xf>
    <xf numFmtId="2" fontId="0" fillId="0" borderId="13" xfId="0" applyNumberFormat="1" applyFont="1" applyFill="1" applyBorder="1" applyAlignment="1">
      <alignment horizontal="left" vertical="center" wrapText="1"/>
    </xf>
    <xf numFmtId="4" fontId="41" fillId="0" borderId="13" xfId="0" applyNumberFormat="1" applyFont="1" applyFill="1" applyBorder="1" applyAlignment="1">
      <alignment vertical="center" wrapText="1"/>
    </xf>
    <xf numFmtId="0" fontId="47" fillId="0" borderId="13" xfId="0" applyFont="1" applyBorder="1" applyAlignment="1" quotePrefix="1">
      <alignment horizontal="center" vertical="center" wrapText="1"/>
    </xf>
    <xf numFmtId="2" fontId="47" fillId="0" borderId="13" xfId="0" applyNumberFormat="1" applyFont="1" applyBorder="1" applyAlignment="1" quotePrefix="1">
      <alignment horizontal="center" vertical="center" wrapText="1"/>
    </xf>
    <xf numFmtId="2" fontId="47" fillId="0" borderId="13" xfId="0" applyNumberFormat="1" applyFont="1" applyBorder="1" applyAlignment="1">
      <alignment horizontal="left" vertical="center" wrapText="1"/>
    </xf>
    <xf numFmtId="0" fontId="47" fillId="0" borderId="0" xfId="0" applyFont="1" applyFill="1" applyAlignment="1">
      <alignment vertical="center"/>
    </xf>
    <xf numFmtId="0" fontId="44" fillId="0" borderId="13" xfId="0" applyFont="1" applyBorder="1" applyAlignment="1" quotePrefix="1">
      <alignment horizontal="center" vertical="center" wrapText="1"/>
    </xf>
    <xf numFmtId="2" fontId="44" fillId="0" borderId="13" xfId="0" applyNumberFormat="1" applyFont="1" applyBorder="1" applyAlignment="1" quotePrefix="1">
      <alignment horizontal="center" vertical="center" wrapText="1"/>
    </xf>
    <xf numFmtId="2" fontId="44" fillId="0" borderId="13" xfId="0" applyNumberFormat="1" applyFont="1" applyBorder="1" applyAlignment="1">
      <alignment horizontal="left" vertical="center" wrapText="1"/>
    </xf>
    <xf numFmtId="0" fontId="44" fillId="0" borderId="0" xfId="0" applyFont="1" applyFill="1" applyAlignment="1">
      <alignment vertical="center"/>
    </xf>
    <xf numFmtId="0" fontId="0" fillId="13" borderId="0" xfId="0" applyFont="1" applyFill="1" applyAlignment="1">
      <alignment vertical="center"/>
    </xf>
    <xf numFmtId="0" fontId="0" fillId="0" borderId="0" xfId="0" applyFont="1" applyFill="1" applyAlignment="1">
      <alignment horizontal="left" vertical="center" wrapText="1"/>
    </xf>
    <xf numFmtId="2" fontId="41" fillId="0" borderId="13" xfId="95" applyNumberFormat="1" applyFont="1" applyBorder="1" applyAlignment="1">
      <alignment vertical="center" wrapText="1"/>
      <protection/>
    </xf>
    <xf numFmtId="0" fontId="25" fillId="0" borderId="0" xfId="0" applyNumberFormat="1" applyFont="1" applyFill="1" applyAlignment="1" applyProtection="1">
      <alignment horizontal="left" vertical="center" wrapText="1"/>
      <protection/>
    </xf>
    <xf numFmtId="0" fontId="33"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3" fontId="32" fillId="0" borderId="0" xfId="0" applyNumberFormat="1" applyFont="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85"/>
  <sheetViews>
    <sheetView tabSelected="1" view="pageBreakPreview" zoomScale="75" zoomScaleSheetLayoutView="75" zoomScalePageLayoutView="0" workbookViewId="0" topLeftCell="A1">
      <selection activeCell="J1" sqref="J1:L284"/>
    </sheetView>
  </sheetViews>
  <sheetFormatPr defaultColWidth="9.16015625" defaultRowHeight="12.75"/>
  <cols>
    <col min="1" max="1" width="13.33203125" style="3" customWidth="1"/>
    <col min="2" max="2" width="8.5" style="3" customWidth="1"/>
    <col min="3" max="3" width="11.16015625" style="3" customWidth="1"/>
    <col min="4" max="4" width="48" style="164" customWidth="1"/>
    <col min="5" max="5" width="44.33203125" style="1" customWidth="1"/>
    <col min="6" max="6" width="14.5" style="3" customWidth="1"/>
    <col min="7" max="7" width="15" style="3" customWidth="1"/>
    <col min="8" max="8" width="14.16015625" style="3" customWidth="1"/>
    <col min="9" max="9" width="20.5" style="3" customWidth="1"/>
    <col min="10" max="10" width="4.16015625" style="4" bestFit="1" customWidth="1"/>
    <col min="11" max="11" width="15.5" style="4" customWidth="1"/>
    <col min="12" max="12" width="16.33203125" style="4" bestFit="1" customWidth="1"/>
    <col min="13" max="13" width="10" style="4" bestFit="1" customWidth="1"/>
    <col min="14" max="16384" width="9.16015625" style="4" customWidth="1"/>
  </cols>
  <sheetData>
    <row r="1" spans="1:9" ht="105" customHeight="1">
      <c r="A1" s="47"/>
      <c r="B1" s="47"/>
      <c r="C1" s="47"/>
      <c r="D1" s="140"/>
      <c r="E1" s="48"/>
      <c r="G1" s="214" t="s">
        <v>341</v>
      </c>
      <c r="H1" s="214"/>
      <c r="I1" s="214"/>
    </row>
    <row r="2" spans="1:9" s="13" customFormat="1" ht="76.5" customHeight="1">
      <c r="A2" s="215" t="s">
        <v>196</v>
      </c>
      <c r="B2" s="215"/>
      <c r="C2" s="215"/>
      <c r="D2" s="215"/>
      <c r="E2" s="215"/>
      <c r="F2" s="215"/>
      <c r="G2" s="215"/>
      <c r="H2" s="215"/>
      <c r="I2" s="215"/>
    </row>
    <row r="3" spans="1:9" s="13" customFormat="1" ht="18">
      <c r="A3" s="216"/>
      <c r="B3" s="216"/>
      <c r="C3" s="216"/>
      <c r="D3" s="216"/>
      <c r="E3" s="216"/>
      <c r="F3" s="216"/>
      <c r="G3" s="216"/>
      <c r="H3" s="46"/>
      <c r="I3" s="46"/>
    </row>
    <row r="4" spans="1:9" ht="20.25" customHeight="1">
      <c r="A4" s="25"/>
      <c r="B4" s="8"/>
      <c r="C4" s="8"/>
      <c r="D4" s="141"/>
      <c r="E4" s="14"/>
      <c r="F4" s="9"/>
      <c r="G4" s="26"/>
      <c r="H4" s="9"/>
      <c r="I4" s="2" t="s">
        <v>13</v>
      </c>
    </row>
    <row r="5" spans="1:9" ht="134.25" customHeight="1">
      <c r="A5" s="27" t="s">
        <v>138</v>
      </c>
      <c r="B5" s="27" t="s">
        <v>139</v>
      </c>
      <c r="C5" s="27" t="s">
        <v>140</v>
      </c>
      <c r="D5" s="142" t="s">
        <v>11</v>
      </c>
      <c r="E5" s="28" t="s">
        <v>10</v>
      </c>
      <c r="F5" s="28" t="s">
        <v>4</v>
      </c>
      <c r="G5" s="28" t="s">
        <v>5</v>
      </c>
      <c r="H5" s="28" t="s">
        <v>6</v>
      </c>
      <c r="I5" s="28" t="s">
        <v>7</v>
      </c>
    </row>
    <row r="6" spans="1:9" ht="28.5" customHeight="1">
      <c r="A6" s="29" t="s">
        <v>2</v>
      </c>
      <c r="B6" s="29"/>
      <c r="C6" s="29"/>
      <c r="D6" s="143" t="s">
        <v>313</v>
      </c>
      <c r="E6" s="15"/>
      <c r="F6" s="16"/>
      <c r="G6" s="16"/>
      <c r="H6" s="16"/>
      <c r="I6" s="118">
        <f>I7</f>
        <v>1204960</v>
      </c>
    </row>
    <row r="7" spans="1:9" ht="26.25" customHeight="1">
      <c r="A7" s="30" t="s">
        <v>0</v>
      </c>
      <c r="B7" s="30"/>
      <c r="C7" s="30"/>
      <c r="D7" s="144" t="s">
        <v>113</v>
      </c>
      <c r="E7" s="17"/>
      <c r="F7" s="18"/>
      <c r="G7" s="18"/>
      <c r="H7" s="18"/>
      <c r="I7" s="117">
        <f>I8+I9</f>
        <v>1204960</v>
      </c>
    </row>
    <row r="8" spans="1:13" ht="80.25" customHeight="1">
      <c r="A8" s="5" t="s">
        <v>9</v>
      </c>
      <c r="B8" s="5" t="s">
        <v>136</v>
      </c>
      <c r="C8" s="6" t="s">
        <v>1</v>
      </c>
      <c r="D8" s="145" t="s">
        <v>314</v>
      </c>
      <c r="E8" s="22" t="s">
        <v>12</v>
      </c>
      <c r="F8" s="21"/>
      <c r="G8" s="21"/>
      <c r="H8" s="21"/>
      <c r="I8" s="114">
        <f>200000+350000+33260+46000+412700</f>
        <v>1041960</v>
      </c>
      <c r="J8" s="167"/>
      <c r="K8" s="167"/>
      <c r="L8" s="167"/>
      <c r="M8" s="167"/>
    </row>
    <row r="9" spans="1:13" ht="24.75" customHeight="1">
      <c r="A9" s="31" t="s">
        <v>14</v>
      </c>
      <c r="B9" s="32"/>
      <c r="C9" s="33"/>
      <c r="D9" s="146" t="s">
        <v>15</v>
      </c>
      <c r="E9" s="19"/>
      <c r="F9" s="20"/>
      <c r="G9" s="20"/>
      <c r="H9" s="20"/>
      <c r="I9" s="132">
        <f>I10</f>
        <v>163000</v>
      </c>
      <c r="J9" s="167"/>
      <c r="K9" s="167"/>
      <c r="L9" s="167"/>
      <c r="M9" s="167"/>
    </row>
    <row r="10" spans="1:13" ht="39" customHeight="1">
      <c r="A10" s="5" t="s">
        <v>16</v>
      </c>
      <c r="B10" s="5">
        <v>7211</v>
      </c>
      <c r="C10" s="6" t="s">
        <v>17</v>
      </c>
      <c r="D10" s="147" t="s">
        <v>123</v>
      </c>
      <c r="E10" s="22" t="s">
        <v>12</v>
      </c>
      <c r="F10" s="21"/>
      <c r="G10" s="21"/>
      <c r="H10" s="21"/>
      <c r="I10" s="114">
        <f>450000-450000+40000+5000+110000+8000</f>
        <v>163000</v>
      </c>
      <c r="J10" s="167"/>
      <c r="K10" s="167"/>
      <c r="L10" s="167"/>
      <c r="M10" s="167"/>
    </row>
    <row r="11" spans="1:13" s="178" customFormat="1" ht="52.5">
      <c r="A11" s="172"/>
      <c r="B11" s="172"/>
      <c r="C11" s="173"/>
      <c r="D11" s="174"/>
      <c r="E11" s="175" t="s">
        <v>275</v>
      </c>
      <c r="F11" s="176"/>
      <c r="G11" s="176"/>
      <c r="H11" s="176"/>
      <c r="I11" s="138">
        <v>100000</v>
      </c>
      <c r="J11" s="177"/>
      <c r="K11" s="177"/>
      <c r="L11" s="177"/>
      <c r="M11" s="177"/>
    </row>
    <row r="12" spans="1:13" ht="100.5" customHeight="1">
      <c r="A12" s="34" t="s">
        <v>18</v>
      </c>
      <c r="B12" s="35"/>
      <c r="C12" s="36"/>
      <c r="D12" s="148" t="s">
        <v>114</v>
      </c>
      <c r="E12" s="15"/>
      <c r="F12" s="16"/>
      <c r="G12" s="16"/>
      <c r="H12" s="16"/>
      <c r="I12" s="118">
        <f>I13+I19+I24</f>
        <v>1188084</v>
      </c>
      <c r="J12" s="167"/>
      <c r="K12" s="167"/>
      <c r="L12" s="167"/>
      <c r="M12" s="167"/>
    </row>
    <row r="13" spans="1:14" s="10" customFormat="1" ht="33" customHeight="1">
      <c r="A13" s="37" t="s">
        <v>109</v>
      </c>
      <c r="B13" s="38"/>
      <c r="C13" s="39"/>
      <c r="D13" s="149" t="s">
        <v>228</v>
      </c>
      <c r="E13" s="17"/>
      <c r="F13" s="18"/>
      <c r="G13" s="18"/>
      <c r="H13" s="18"/>
      <c r="I13" s="117">
        <f>I14+I15+I16</f>
        <v>340550</v>
      </c>
      <c r="J13" s="167"/>
      <c r="K13" s="167"/>
      <c r="L13" s="167"/>
      <c r="M13" s="167"/>
      <c r="N13" s="4"/>
    </row>
    <row r="14" spans="1:14" s="81" customFormat="1" ht="39" customHeight="1">
      <c r="A14" s="78" t="s">
        <v>213</v>
      </c>
      <c r="B14" s="79" t="s">
        <v>79</v>
      </c>
      <c r="C14" s="80" t="s">
        <v>1</v>
      </c>
      <c r="D14" s="150" t="s">
        <v>222</v>
      </c>
      <c r="E14" s="22" t="s">
        <v>12</v>
      </c>
      <c r="F14" s="23"/>
      <c r="G14" s="23"/>
      <c r="H14" s="23"/>
      <c r="I14" s="126">
        <f>20000-20000</f>
        <v>0</v>
      </c>
      <c r="J14" s="167"/>
      <c r="K14" s="167"/>
      <c r="L14" s="167"/>
      <c r="M14" s="167"/>
      <c r="N14" s="4"/>
    </row>
    <row r="15" spans="1:14" s="81" customFormat="1" ht="54" customHeight="1">
      <c r="A15" s="78" t="s">
        <v>233</v>
      </c>
      <c r="B15" s="5" t="s">
        <v>128</v>
      </c>
      <c r="C15" s="6" t="s">
        <v>66</v>
      </c>
      <c r="D15" s="147" t="s">
        <v>127</v>
      </c>
      <c r="E15" s="22" t="s">
        <v>12</v>
      </c>
      <c r="F15" s="23"/>
      <c r="G15" s="23"/>
      <c r="H15" s="23"/>
      <c r="I15" s="126">
        <v>30550</v>
      </c>
      <c r="J15" s="167"/>
      <c r="K15" s="167"/>
      <c r="L15" s="167"/>
      <c r="M15" s="167"/>
      <c r="N15" s="4"/>
    </row>
    <row r="16" spans="1:13" ht="36.75" customHeight="1">
      <c r="A16" s="5" t="s">
        <v>287</v>
      </c>
      <c r="B16" s="5">
        <v>6310</v>
      </c>
      <c r="C16" s="6" t="s">
        <v>8</v>
      </c>
      <c r="D16" s="147" t="s">
        <v>120</v>
      </c>
      <c r="E16" s="22"/>
      <c r="F16" s="21"/>
      <c r="G16" s="21"/>
      <c r="H16" s="21"/>
      <c r="I16" s="114">
        <f>I18</f>
        <v>310000</v>
      </c>
      <c r="J16" s="167"/>
      <c r="K16" s="167"/>
      <c r="L16" s="167"/>
      <c r="M16" s="167"/>
    </row>
    <row r="17" spans="1:13" ht="15" customHeight="1">
      <c r="A17" s="5"/>
      <c r="B17" s="5"/>
      <c r="C17" s="6"/>
      <c r="D17" s="151" t="s">
        <v>137</v>
      </c>
      <c r="E17" s="22"/>
      <c r="F17" s="21"/>
      <c r="G17" s="21"/>
      <c r="H17" s="21"/>
      <c r="I17" s="114"/>
      <c r="J17" s="167"/>
      <c r="K17" s="167"/>
      <c r="L17" s="167"/>
      <c r="M17" s="167"/>
    </row>
    <row r="18" spans="1:13" ht="50.25" customHeight="1">
      <c r="A18" s="5"/>
      <c r="B18" s="5"/>
      <c r="C18" s="6"/>
      <c r="D18" s="147"/>
      <c r="E18" s="22" t="s">
        <v>332</v>
      </c>
      <c r="F18" s="21"/>
      <c r="G18" s="21"/>
      <c r="H18" s="21"/>
      <c r="I18" s="127">
        <v>310000</v>
      </c>
      <c r="J18" s="167"/>
      <c r="K18" s="167"/>
      <c r="L18" s="167"/>
      <c r="M18" s="167"/>
    </row>
    <row r="19" spans="1:14" s="10" customFormat="1" ht="13.5">
      <c r="A19" s="37" t="s">
        <v>109</v>
      </c>
      <c r="B19" s="38"/>
      <c r="C19" s="39"/>
      <c r="D19" s="149" t="s">
        <v>19</v>
      </c>
      <c r="E19" s="17"/>
      <c r="F19" s="18"/>
      <c r="G19" s="18"/>
      <c r="H19" s="18"/>
      <c r="I19" s="117">
        <f>I23+I22+I20</f>
        <v>187534</v>
      </c>
      <c r="J19" s="167"/>
      <c r="K19" s="167"/>
      <c r="L19" s="167"/>
      <c r="M19" s="167"/>
      <c r="N19" s="4"/>
    </row>
    <row r="20" spans="1:14" s="81" customFormat="1" ht="40.5" customHeight="1">
      <c r="A20" s="78" t="s">
        <v>213</v>
      </c>
      <c r="B20" s="79" t="s">
        <v>79</v>
      </c>
      <c r="C20" s="80" t="s">
        <v>1</v>
      </c>
      <c r="D20" s="150" t="s">
        <v>222</v>
      </c>
      <c r="E20" s="22" t="s">
        <v>12</v>
      </c>
      <c r="F20" s="23"/>
      <c r="G20" s="23"/>
      <c r="H20" s="23"/>
      <c r="I20" s="126">
        <v>14050</v>
      </c>
      <c r="J20" s="167"/>
      <c r="K20" s="167"/>
      <c r="L20" s="167"/>
      <c r="M20" s="167"/>
      <c r="N20" s="4"/>
    </row>
    <row r="21" spans="1:14" s="187" customFormat="1" ht="40.5" customHeight="1">
      <c r="A21" s="179"/>
      <c r="B21" s="180"/>
      <c r="C21" s="181"/>
      <c r="D21" s="182"/>
      <c r="E21" s="115" t="s">
        <v>323</v>
      </c>
      <c r="F21" s="183"/>
      <c r="G21" s="183"/>
      <c r="H21" s="183"/>
      <c r="I21" s="184">
        <v>14050</v>
      </c>
      <c r="J21" s="185"/>
      <c r="K21" s="185"/>
      <c r="L21" s="185"/>
      <c r="M21" s="185"/>
      <c r="N21" s="186"/>
    </row>
    <row r="22" spans="1:14" s="81" customFormat="1" ht="56.25" customHeight="1">
      <c r="A22" s="78" t="s">
        <v>233</v>
      </c>
      <c r="B22" s="79">
        <v>6010</v>
      </c>
      <c r="C22" s="6" t="s">
        <v>66</v>
      </c>
      <c r="D22" s="147" t="s">
        <v>127</v>
      </c>
      <c r="E22" s="22" t="s">
        <v>12</v>
      </c>
      <c r="F22" s="23"/>
      <c r="G22" s="23"/>
      <c r="H22" s="23"/>
      <c r="I22" s="126">
        <v>99685</v>
      </c>
      <c r="J22" s="167"/>
      <c r="K22" s="167"/>
      <c r="L22" s="167"/>
      <c r="M22" s="167"/>
      <c r="N22" s="4"/>
    </row>
    <row r="23" spans="1:13" ht="18.75" customHeight="1">
      <c r="A23" s="5" t="s">
        <v>110</v>
      </c>
      <c r="B23" s="5">
        <v>6060</v>
      </c>
      <c r="C23" s="6" t="s">
        <v>20</v>
      </c>
      <c r="D23" s="147" t="s">
        <v>21</v>
      </c>
      <c r="E23" s="22" t="s">
        <v>12</v>
      </c>
      <c r="F23" s="21"/>
      <c r="G23" s="21"/>
      <c r="H23" s="21"/>
      <c r="I23" s="114">
        <f>160000+12000+54800+99685-99685-153001</f>
        <v>73799</v>
      </c>
      <c r="J23" s="167"/>
      <c r="K23" s="167"/>
      <c r="L23" s="167"/>
      <c r="M23" s="167"/>
    </row>
    <row r="24" spans="1:14" s="10" customFormat="1" ht="13.5">
      <c r="A24" s="37" t="s">
        <v>109</v>
      </c>
      <c r="B24" s="38"/>
      <c r="C24" s="39"/>
      <c r="D24" s="149" t="s">
        <v>329</v>
      </c>
      <c r="E24" s="17"/>
      <c r="F24" s="18"/>
      <c r="G24" s="18"/>
      <c r="H24" s="18"/>
      <c r="I24" s="117">
        <f>I27+I25</f>
        <v>660000</v>
      </c>
      <c r="J24" s="167"/>
      <c r="K24" s="167"/>
      <c r="L24" s="167"/>
      <c r="M24" s="167"/>
      <c r="N24" s="4"/>
    </row>
    <row r="25" spans="1:14" s="81" customFormat="1" ht="56.25" customHeight="1">
      <c r="A25" s="78" t="s">
        <v>233</v>
      </c>
      <c r="B25" s="79">
        <v>6010</v>
      </c>
      <c r="C25" s="6" t="s">
        <v>66</v>
      </c>
      <c r="D25" s="147" t="s">
        <v>127</v>
      </c>
      <c r="E25" s="22" t="s">
        <v>12</v>
      </c>
      <c r="F25" s="23"/>
      <c r="G25" s="23"/>
      <c r="H25" s="23"/>
      <c r="I25" s="126">
        <v>330000</v>
      </c>
      <c r="J25" s="167"/>
      <c r="K25" s="167"/>
      <c r="L25" s="167"/>
      <c r="M25" s="167"/>
      <c r="N25" s="4"/>
    </row>
    <row r="26" spans="1:14" s="193" customFormat="1" ht="52.5">
      <c r="A26" s="190"/>
      <c r="B26" s="191"/>
      <c r="C26" s="173"/>
      <c r="D26" s="192"/>
      <c r="E26" s="115" t="s">
        <v>275</v>
      </c>
      <c r="F26" s="84"/>
      <c r="G26" s="84"/>
      <c r="H26" s="84"/>
      <c r="I26" s="133">
        <v>300000</v>
      </c>
      <c r="J26" s="177"/>
      <c r="K26" s="177"/>
      <c r="L26" s="177"/>
      <c r="M26" s="177"/>
      <c r="N26" s="178"/>
    </row>
    <row r="27" spans="1:13" ht="18.75" customHeight="1">
      <c r="A27" s="5" t="s">
        <v>110</v>
      </c>
      <c r="B27" s="5">
        <v>6060</v>
      </c>
      <c r="C27" s="6" t="s">
        <v>20</v>
      </c>
      <c r="D27" s="147" t="s">
        <v>21</v>
      </c>
      <c r="E27" s="22" t="s">
        <v>12</v>
      </c>
      <c r="F27" s="21"/>
      <c r="G27" s="21"/>
      <c r="H27" s="21"/>
      <c r="I27" s="114">
        <v>330000</v>
      </c>
      <c r="J27" s="167"/>
      <c r="K27" s="167"/>
      <c r="L27" s="167"/>
      <c r="M27" s="167"/>
    </row>
    <row r="28" spans="1:13" s="178" customFormat="1" ht="52.5">
      <c r="A28" s="172"/>
      <c r="B28" s="172"/>
      <c r="C28" s="173"/>
      <c r="D28" s="192"/>
      <c r="E28" s="115" t="s">
        <v>275</v>
      </c>
      <c r="F28" s="176"/>
      <c r="G28" s="176"/>
      <c r="H28" s="176"/>
      <c r="I28" s="138">
        <v>300000</v>
      </c>
      <c r="J28" s="177"/>
      <c r="K28" s="177"/>
      <c r="L28" s="177"/>
      <c r="M28" s="177"/>
    </row>
    <row r="29" spans="1:14" s="11" customFormat="1" ht="31.5" customHeight="1">
      <c r="A29" s="34" t="s">
        <v>22</v>
      </c>
      <c r="B29" s="35"/>
      <c r="C29" s="36"/>
      <c r="D29" s="152" t="s">
        <v>305</v>
      </c>
      <c r="E29" s="15"/>
      <c r="F29" s="16"/>
      <c r="G29" s="16"/>
      <c r="H29" s="16"/>
      <c r="I29" s="118">
        <f>I30</f>
        <v>32580511</v>
      </c>
      <c r="J29" s="167"/>
      <c r="K29" s="167"/>
      <c r="L29" s="167"/>
      <c r="M29" s="167"/>
      <c r="N29" s="4"/>
    </row>
    <row r="30" spans="1:14" s="10" customFormat="1" ht="23.25" customHeight="1">
      <c r="A30" s="37" t="s">
        <v>23</v>
      </c>
      <c r="B30" s="38"/>
      <c r="C30" s="39"/>
      <c r="D30" s="149" t="s">
        <v>24</v>
      </c>
      <c r="E30" s="17"/>
      <c r="F30" s="18"/>
      <c r="G30" s="18"/>
      <c r="H30" s="18"/>
      <c r="I30" s="117">
        <f>I31+I34+I42+I44+I45+I47+I48+I49+I50+I53+I59</f>
        <v>32580511</v>
      </c>
      <c r="J30" s="167"/>
      <c r="K30" s="167"/>
      <c r="L30" s="167"/>
      <c r="M30" s="167"/>
      <c r="N30" s="4"/>
    </row>
    <row r="31" spans="1:14" s="43" customFormat="1" ht="21" customHeight="1">
      <c r="A31" s="40" t="s">
        <v>25</v>
      </c>
      <c r="B31" s="40">
        <v>1010</v>
      </c>
      <c r="C31" s="41" t="s">
        <v>26</v>
      </c>
      <c r="D31" s="153" t="s">
        <v>115</v>
      </c>
      <c r="E31" s="22" t="s">
        <v>12</v>
      </c>
      <c r="F31" s="42"/>
      <c r="G31" s="42"/>
      <c r="H31" s="42"/>
      <c r="I31" s="119">
        <f>5550000+7000+21799+20200+800000+46000+26000+28450+14070-383000+1194090+100000</f>
        <v>7424609</v>
      </c>
      <c r="J31" s="167"/>
      <c r="K31" s="167"/>
      <c r="L31" s="167"/>
      <c r="M31" s="167"/>
      <c r="N31" s="4"/>
    </row>
    <row r="32" spans="1:14" s="43" customFormat="1" ht="52.5">
      <c r="A32" s="40"/>
      <c r="B32" s="40"/>
      <c r="C32" s="41"/>
      <c r="D32" s="153"/>
      <c r="E32" s="83" t="s">
        <v>275</v>
      </c>
      <c r="F32" s="42"/>
      <c r="G32" s="42"/>
      <c r="H32" s="42"/>
      <c r="I32" s="120">
        <f>1194090+100000</f>
        <v>1294090</v>
      </c>
      <c r="J32" s="167"/>
      <c r="K32" s="167"/>
      <c r="L32" s="167"/>
      <c r="M32" s="167"/>
      <c r="N32" s="4"/>
    </row>
    <row r="33" spans="1:14" s="43" customFormat="1" ht="38.25" customHeight="1">
      <c r="A33" s="40"/>
      <c r="B33" s="40"/>
      <c r="C33" s="41"/>
      <c r="D33" s="153"/>
      <c r="E33" s="115" t="s">
        <v>323</v>
      </c>
      <c r="F33" s="103"/>
      <c r="G33" s="103"/>
      <c r="H33" s="103"/>
      <c r="I33" s="120">
        <f>21799+28450</f>
        <v>50249</v>
      </c>
      <c r="J33" s="167"/>
      <c r="K33" s="167"/>
      <c r="L33" s="167"/>
      <c r="M33" s="167"/>
      <c r="N33" s="4"/>
    </row>
    <row r="34" spans="1:13" ht="79.5" customHeight="1">
      <c r="A34" s="78" t="s">
        <v>27</v>
      </c>
      <c r="B34" s="78">
        <v>1020</v>
      </c>
      <c r="C34" s="82" t="s">
        <v>28</v>
      </c>
      <c r="D34" s="150" t="s">
        <v>116</v>
      </c>
      <c r="E34" s="45" t="s">
        <v>12</v>
      </c>
      <c r="F34" s="23"/>
      <c r="G34" s="23"/>
      <c r="H34" s="23"/>
      <c r="I34" s="119">
        <f>8900000+125000+1529200+17497+170462+307124+19800+11500+30000+20200-22402+21800+991000+40000+4410000+70677+12000-199800+1300-1990000+500000+50000+11000+184360+172700+598000+129981+1509650-500000+24798+770000-70000+100000+550000+79090</f>
        <v>18574937</v>
      </c>
      <c r="J34" s="167"/>
      <c r="K34" s="167"/>
      <c r="L34" s="167"/>
      <c r="M34" s="167"/>
    </row>
    <row r="35" spans="1:13" s="178" customFormat="1" ht="43.5" customHeight="1">
      <c r="A35" s="190"/>
      <c r="B35" s="190"/>
      <c r="C35" s="200"/>
      <c r="D35" s="198"/>
      <c r="E35" s="83" t="s">
        <v>311</v>
      </c>
      <c r="F35" s="84"/>
      <c r="G35" s="84"/>
      <c r="H35" s="84"/>
      <c r="I35" s="133">
        <f>1529200+87021</f>
        <v>1616221</v>
      </c>
      <c r="J35" s="177"/>
      <c r="K35" s="177"/>
      <c r="L35" s="177"/>
      <c r="M35" s="177"/>
    </row>
    <row r="36" spans="1:13" s="178" customFormat="1" ht="52.5">
      <c r="A36" s="190"/>
      <c r="B36" s="190"/>
      <c r="C36" s="200"/>
      <c r="D36" s="198"/>
      <c r="E36" s="83" t="s">
        <v>214</v>
      </c>
      <c r="F36" s="84"/>
      <c r="G36" s="84"/>
      <c r="H36" s="84"/>
      <c r="I36" s="133">
        <f>170462+184360</f>
        <v>354822</v>
      </c>
      <c r="J36" s="177"/>
      <c r="K36" s="177"/>
      <c r="L36" s="177"/>
      <c r="M36" s="177"/>
    </row>
    <row r="37" spans="1:13" s="178" customFormat="1" ht="52.5">
      <c r="A37" s="190"/>
      <c r="B37" s="190"/>
      <c r="C37" s="200"/>
      <c r="D37" s="198"/>
      <c r="E37" s="83" t="s">
        <v>275</v>
      </c>
      <c r="F37" s="84"/>
      <c r="G37" s="84"/>
      <c r="H37" s="84"/>
      <c r="I37" s="133">
        <f>4100000+500000+157000+1409650-500000+700000+100000+500000+71900</f>
        <v>7038550</v>
      </c>
      <c r="J37" s="177"/>
      <c r="K37" s="177"/>
      <c r="L37" s="177"/>
      <c r="M37" s="177"/>
    </row>
    <row r="38" spans="1:13" s="178" customFormat="1" ht="66">
      <c r="A38" s="190"/>
      <c r="B38" s="190"/>
      <c r="C38" s="200"/>
      <c r="D38" s="198"/>
      <c r="E38" s="83" t="s">
        <v>324</v>
      </c>
      <c r="F38" s="84"/>
      <c r="G38" s="84"/>
      <c r="H38" s="84"/>
      <c r="I38" s="133">
        <v>991000</v>
      </c>
      <c r="J38" s="177"/>
      <c r="K38" s="177"/>
      <c r="L38" s="177"/>
      <c r="M38" s="177"/>
    </row>
    <row r="39" spans="1:13" s="178" customFormat="1" ht="78.75">
      <c r="A39" s="190"/>
      <c r="B39" s="190"/>
      <c r="C39" s="200"/>
      <c r="D39" s="198"/>
      <c r="E39" s="199" t="s">
        <v>325</v>
      </c>
      <c r="F39" s="84"/>
      <c r="G39" s="84"/>
      <c r="H39" s="84"/>
      <c r="I39" s="133">
        <v>698000</v>
      </c>
      <c r="J39" s="177"/>
      <c r="K39" s="177"/>
      <c r="L39" s="177"/>
      <c r="M39" s="177"/>
    </row>
    <row r="40" spans="1:13" s="178" customFormat="1" ht="38.25" customHeight="1">
      <c r="A40" s="190"/>
      <c r="B40" s="190"/>
      <c r="C40" s="200"/>
      <c r="D40" s="198"/>
      <c r="E40" s="115" t="s">
        <v>323</v>
      </c>
      <c r="F40" s="84"/>
      <c r="G40" s="84"/>
      <c r="H40" s="84"/>
      <c r="I40" s="133">
        <f>12000+24798</f>
        <v>36798</v>
      </c>
      <c r="J40" s="177"/>
      <c r="K40" s="177"/>
      <c r="L40" s="177"/>
      <c r="M40" s="177"/>
    </row>
    <row r="41" spans="1:14" s="85" customFormat="1" ht="63" customHeight="1" hidden="1">
      <c r="A41" s="78"/>
      <c r="B41" s="78"/>
      <c r="C41" s="82"/>
      <c r="D41" s="154"/>
      <c r="E41" s="128"/>
      <c r="F41" s="84"/>
      <c r="G41" s="84"/>
      <c r="H41" s="84"/>
      <c r="I41" s="133"/>
      <c r="J41" s="167"/>
      <c r="K41" s="167"/>
      <c r="L41" s="167"/>
      <c r="M41" s="167"/>
      <c r="N41" s="4"/>
    </row>
    <row r="42" spans="1:13" ht="63.75" customHeight="1">
      <c r="A42" s="78" t="s">
        <v>202</v>
      </c>
      <c r="B42" s="78" t="s">
        <v>203</v>
      </c>
      <c r="C42" s="82" t="s">
        <v>204</v>
      </c>
      <c r="D42" s="150" t="s">
        <v>205</v>
      </c>
      <c r="E42" s="45" t="s">
        <v>12</v>
      </c>
      <c r="F42" s="23"/>
      <c r="G42" s="23"/>
      <c r="H42" s="23"/>
      <c r="I42" s="119">
        <f>190000+63200-87021</f>
        <v>166179</v>
      </c>
      <c r="J42" s="167"/>
      <c r="K42" s="167"/>
      <c r="L42" s="167"/>
      <c r="M42" s="167"/>
    </row>
    <row r="43" spans="1:13" s="178" customFormat="1" ht="46.5" customHeight="1">
      <c r="A43" s="190"/>
      <c r="B43" s="190"/>
      <c r="C43" s="200"/>
      <c r="D43" s="198"/>
      <c r="E43" s="83" t="s">
        <v>311</v>
      </c>
      <c r="F43" s="84"/>
      <c r="G43" s="84"/>
      <c r="H43" s="84"/>
      <c r="I43" s="133">
        <f>190000-87021</f>
        <v>102979</v>
      </c>
      <c r="J43" s="177"/>
      <c r="K43" s="177"/>
      <c r="L43" s="177"/>
      <c r="M43" s="177"/>
    </row>
    <row r="44" spans="1:43" s="87" customFormat="1" ht="41.25">
      <c r="A44" s="78" t="s">
        <v>185</v>
      </c>
      <c r="B44" s="86" t="s">
        <v>46</v>
      </c>
      <c r="C44" s="82" t="s">
        <v>33</v>
      </c>
      <c r="D44" s="150" t="s">
        <v>186</v>
      </c>
      <c r="E44" s="45" t="s">
        <v>12</v>
      </c>
      <c r="F44" s="61"/>
      <c r="G44" s="61"/>
      <c r="H44" s="61"/>
      <c r="I44" s="119">
        <f>66000+100000+40000-100000</f>
        <v>106000</v>
      </c>
      <c r="J44" s="167"/>
      <c r="K44" s="167"/>
      <c r="L44" s="167"/>
      <c r="M44" s="16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13" ht="15.75" customHeight="1">
      <c r="A45" s="78" t="s">
        <v>215</v>
      </c>
      <c r="B45" s="78" t="s">
        <v>216</v>
      </c>
      <c r="C45" s="82" t="s">
        <v>217</v>
      </c>
      <c r="D45" s="155" t="s">
        <v>221</v>
      </c>
      <c r="E45" s="45" t="s">
        <v>12</v>
      </c>
      <c r="F45" s="23"/>
      <c r="G45" s="23"/>
      <c r="H45" s="23"/>
      <c r="I45" s="61">
        <f>703000+1234000+308000+184962+873540</f>
        <v>3303502</v>
      </c>
      <c r="J45" s="167"/>
      <c r="K45" s="167"/>
      <c r="L45" s="167"/>
      <c r="M45" s="167"/>
    </row>
    <row r="46" spans="1:13" s="186" customFormat="1" ht="52.5">
      <c r="A46" s="179"/>
      <c r="B46" s="179"/>
      <c r="C46" s="197"/>
      <c r="D46" s="201"/>
      <c r="E46" s="83" t="s">
        <v>275</v>
      </c>
      <c r="F46" s="183"/>
      <c r="G46" s="183"/>
      <c r="H46" s="183"/>
      <c r="I46" s="202">
        <v>280000</v>
      </c>
      <c r="J46" s="185"/>
      <c r="K46" s="185"/>
      <c r="L46" s="185"/>
      <c r="M46" s="185"/>
    </row>
    <row r="47" spans="1:13" ht="18.75" customHeight="1">
      <c r="A47" s="78" t="s">
        <v>218</v>
      </c>
      <c r="B47" s="78" t="s">
        <v>219</v>
      </c>
      <c r="C47" s="82" t="s">
        <v>30</v>
      </c>
      <c r="D47" s="155" t="s">
        <v>220</v>
      </c>
      <c r="E47" s="45" t="s">
        <v>12</v>
      </c>
      <c r="F47" s="23"/>
      <c r="G47" s="23"/>
      <c r="H47" s="23"/>
      <c r="I47" s="126">
        <v>50000</v>
      </c>
      <c r="J47" s="167"/>
      <c r="K47" s="167"/>
      <c r="L47" s="167"/>
      <c r="M47" s="167"/>
    </row>
    <row r="48" spans="1:13" ht="18.75" customHeight="1">
      <c r="A48" s="5" t="s">
        <v>29</v>
      </c>
      <c r="B48" s="5">
        <v>4070</v>
      </c>
      <c r="C48" s="6" t="s">
        <v>30</v>
      </c>
      <c r="D48" s="147" t="s">
        <v>31</v>
      </c>
      <c r="E48" s="22" t="s">
        <v>12</v>
      </c>
      <c r="F48" s="21"/>
      <c r="G48" s="21"/>
      <c r="H48" s="21"/>
      <c r="I48" s="114">
        <v>140000</v>
      </c>
      <c r="J48" s="167"/>
      <c r="K48" s="167"/>
      <c r="L48" s="167"/>
      <c r="M48" s="167"/>
    </row>
    <row r="49" spans="1:13" ht="18.75" customHeight="1">
      <c r="A49" s="5" t="s">
        <v>32</v>
      </c>
      <c r="B49" s="5">
        <v>4100</v>
      </c>
      <c r="C49" s="6" t="s">
        <v>33</v>
      </c>
      <c r="D49" s="147" t="s">
        <v>34</v>
      </c>
      <c r="E49" s="22" t="s">
        <v>12</v>
      </c>
      <c r="F49" s="21"/>
      <c r="G49" s="21"/>
      <c r="H49" s="21"/>
      <c r="I49" s="119">
        <f>225000+48930</f>
        <v>273930</v>
      </c>
      <c r="J49" s="167"/>
      <c r="K49" s="167"/>
      <c r="L49" s="167"/>
      <c r="M49" s="167"/>
    </row>
    <row r="50" spans="1:14" s="71" customFormat="1" ht="30.75" customHeight="1">
      <c r="A50" s="31" t="s">
        <v>234</v>
      </c>
      <c r="B50" s="104"/>
      <c r="C50" s="105"/>
      <c r="D50" s="146" t="s">
        <v>235</v>
      </c>
      <c r="E50" s="106"/>
      <c r="F50" s="20"/>
      <c r="G50" s="20"/>
      <c r="H50" s="20"/>
      <c r="I50" s="132">
        <f>I51</f>
        <v>670000</v>
      </c>
      <c r="J50" s="167"/>
      <c r="K50" s="167"/>
      <c r="L50" s="167"/>
      <c r="M50" s="167"/>
      <c r="N50" s="4"/>
    </row>
    <row r="51" spans="1:13" ht="39" customHeight="1">
      <c r="A51" s="5" t="s">
        <v>236</v>
      </c>
      <c r="B51" s="5" t="s">
        <v>237</v>
      </c>
      <c r="C51" s="6" t="s">
        <v>238</v>
      </c>
      <c r="D51" s="147" t="s">
        <v>239</v>
      </c>
      <c r="E51" s="22" t="s">
        <v>12</v>
      </c>
      <c r="F51" s="21"/>
      <c r="G51" s="21"/>
      <c r="H51" s="21"/>
      <c r="I51" s="114">
        <f>10000+110000+550000</f>
        <v>670000</v>
      </c>
      <c r="J51" s="167"/>
      <c r="K51" s="167"/>
      <c r="L51" s="167"/>
      <c r="M51" s="167"/>
    </row>
    <row r="52" spans="1:13" s="178" customFormat="1" ht="52.5">
      <c r="A52" s="172"/>
      <c r="B52" s="172"/>
      <c r="C52" s="173"/>
      <c r="D52" s="174"/>
      <c r="E52" s="175" t="s">
        <v>275</v>
      </c>
      <c r="F52" s="176"/>
      <c r="G52" s="176"/>
      <c r="H52" s="176"/>
      <c r="I52" s="138">
        <f>100000+500000</f>
        <v>600000</v>
      </c>
      <c r="J52" s="177"/>
      <c r="K52" s="177"/>
      <c r="L52" s="177"/>
      <c r="M52" s="177"/>
    </row>
    <row r="53" spans="1:14" s="12" customFormat="1" ht="51" customHeight="1">
      <c r="A53" s="31">
        <v>1016350</v>
      </c>
      <c r="B53" s="31">
        <v>6350</v>
      </c>
      <c r="C53" s="125" t="s">
        <v>33</v>
      </c>
      <c r="D53" s="156" t="s">
        <v>76</v>
      </c>
      <c r="E53" s="19"/>
      <c r="F53" s="20"/>
      <c r="G53" s="20"/>
      <c r="H53" s="20"/>
      <c r="I53" s="132">
        <f>I56+I57</f>
        <v>221354</v>
      </c>
      <c r="J53" s="167"/>
      <c r="K53" s="167"/>
      <c r="L53" s="167"/>
      <c r="M53" s="167"/>
      <c r="N53" s="4"/>
    </row>
    <row r="54" spans="1:13" ht="12" customHeight="1">
      <c r="A54" s="5"/>
      <c r="B54" s="5"/>
      <c r="C54" s="6"/>
      <c r="D54" s="151" t="s">
        <v>137</v>
      </c>
      <c r="E54" s="22"/>
      <c r="F54" s="21"/>
      <c r="G54" s="21"/>
      <c r="H54" s="21"/>
      <c r="I54" s="114"/>
      <c r="J54" s="167"/>
      <c r="K54" s="167"/>
      <c r="L54" s="167"/>
      <c r="M54" s="167"/>
    </row>
    <row r="55" spans="1:13" ht="82.5" hidden="1">
      <c r="A55" s="5"/>
      <c r="B55" s="5"/>
      <c r="C55" s="6"/>
      <c r="D55" s="147"/>
      <c r="E55" s="22" t="s">
        <v>181</v>
      </c>
      <c r="F55" s="21"/>
      <c r="G55" s="21"/>
      <c r="H55" s="21"/>
      <c r="I55" s="127">
        <f>200000-200000</f>
        <v>0</v>
      </c>
      <c r="J55" s="167"/>
      <c r="K55" s="167"/>
      <c r="L55" s="167"/>
      <c r="M55" s="167"/>
    </row>
    <row r="56" spans="1:14" s="70" customFormat="1" ht="105.75" customHeight="1">
      <c r="A56" s="76"/>
      <c r="B56" s="76"/>
      <c r="C56" s="77"/>
      <c r="D56" s="157"/>
      <c r="E56" s="22" t="s">
        <v>223</v>
      </c>
      <c r="F56" s="21"/>
      <c r="G56" s="21"/>
      <c r="H56" s="21"/>
      <c r="I56" s="127">
        <f>246876-245522</f>
        <v>1354</v>
      </c>
      <c r="J56" s="167"/>
      <c r="K56" s="167"/>
      <c r="L56" s="167"/>
      <c r="M56" s="167"/>
      <c r="N56" s="4"/>
    </row>
    <row r="57" spans="1:14" s="70" customFormat="1" ht="93.75" customHeight="1">
      <c r="A57" s="76"/>
      <c r="B57" s="76"/>
      <c r="C57" s="77"/>
      <c r="D57" s="157"/>
      <c r="E57" s="22" t="s">
        <v>302</v>
      </c>
      <c r="F57" s="21"/>
      <c r="G57" s="21"/>
      <c r="H57" s="21"/>
      <c r="I57" s="114">
        <v>220000</v>
      </c>
      <c r="J57" s="167"/>
      <c r="K57" s="167"/>
      <c r="L57" s="167"/>
      <c r="M57" s="167"/>
      <c r="N57" s="4"/>
    </row>
    <row r="58" spans="1:14" s="210" customFormat="1" ht="52.5">
      <c r="A58" s="207"/>
      <c r="B58" s="207"/>
      <c r="C58" s="208"/>
      <c r="D58" s="209"/>
      <c r="E58" s="83" t="s">
        <v>275</v>
      </c>
      <c r="F58" s="176"/>
      <c r="G58" s="176"/>
      <c r="H58" s="176"/>
      <c r="I58" s="138">
        <v>200000</v>
      </c>
      <c r="J58" s="177"/>
      <c r="K58" s="177"/>
      <c r="L58" s="177"/>
      <c r="M58" s="177"/>
      <c r="N58" s="178"/>
    </row>
    <row r="59" spans="1:14" s="12" customFormat="1" ht="42.75" customHeight="1">
      <c r="A59" s="31" t="s">
        <v>35</v>
      </c>
      <c r="B59" s="31">
        <v>7470</v>
      </c>
      <c r="C59" s="125" t="s">
        <v>8</v>
      </c>
      <c r="D59" s="146" t="s">
        <v>117</v>
      </c>
      <c r="E59" s="19" t="s">
        <v>256</v>
      </c>
      <c r="F59" s="130"/>
      <c r="G59" s="130"/>
      <c r="H59" s="130"/>
      <c r="I59" s="132">
        <f>I61+I65+I69</f>
        <v>1650000</v>
      </c>
      <c r="J59" s="167"/>
      <c r="K59" s="167"/>
      <c r="L59" s="167"/>
      <c r="M59" s="167"/>
      <c r="N59" s="4"/>
    </row>
    <row r="60" spans="1:13" ht="13.5">
      <c r="A60" s="5"/>
      <c r="B60" s="5"/>
      <c r="C60" s="6"/>
      <c r="D60" s="151" t="s">
        <v>137</v>
      </c>
      <c r="E60" s="90"/>
      <c r="F60" s="21"/>
      <c r="G60" s="21"/>
      <c r="H60" s="21"/>
      <c r="I60" s="114"/>
      <c r="J60" s="167"/>
      <c r="K60" s="167"/>
      <c r="L60" s="167"/>
      <c r="M60" s="167"/>
    </row>
    <row r="61" spans="1:13" ht="36" customHeight="1">
      <c r="A61" s="5"/>
      <c r="B61" s="5"/>
      <c r="C61" s="6"/>
      <c r="D61" s="145"/>
      <c r="E61" s="74" t="s">
        <v>210</v>
      </c>
      <c r="F61" s="73"/>
      <c r="G61" s="73"/>
      <c r="H61" s="73"/>
      <c r="I61" s="134">
        <f>I62+I63+I64</f>
        <v>560000</v>
      </c>
      <c r="J61" s="167"/>
      <c r="K61" s="167"/>
      <c r="L61" s="167"/>
      <c r="M61" s="167"/>
    </row>
    <row r="62" spans="1:13" ht="93.75" customHeight="1">
      <c r="A62" s="5"/>
      <c r="B62" s="5"/>
      <c r="C62" s="6"/>
      <c r="D62" s="145"/>
      <c r="E62" s="57" t="s">
        <v>315</v>
      </c>
      <c r="F62" s="21"/>
      <c r="G62" s="21"/>
      <c r="H62" s="21"/>
      <c r="I62" s="127">
        <v>100000</v>
      </c>
      <c r="J62" s="167"/>
      <c r="K62" s="167"/>
      <c r="L62" s="167"/>
      <c r="M62" s="167"/>
    </row>
    <row r="63" spans="1:13" ht="34.5" customHeight="1">
      <c r="A63" s="5"/>
      <c r="B63" s="5"/>
      <c r="C63" s="6"/>
      <c r="D63" s="145"/>
      <c r="E63" s="57" t="s">
        <v>211</v>
      </c>
      <c r="F63" s="21"/>
      <c r="G63" s="21"/>
      <c r="H63" s="21"/>
      <c r="I63" s="127">
        <v>450000</v>
      </c>
      <c r="J63" s="167"/>
      <c r="K63" s="167"/>
      <c r="L63" s="167"/>
      <c r="M63" s="167"/>
    </row>
    <row r="64" spans="1:13" ht="42" customHeight="1">
      <c r="A64" s="5"/>
      <c r="B64" s="5"/>
      <c r="C64" s="6"/>
      <c r="D64" s="145"/>
      <c r="E64" s="57" t="s">
        <v>212</v>
      </c>
      <c r="F64" s="21"/>
      <c r="G64" s="21"/>
      <c r="H64" s="21"/>
      <c r="I64" s="127">
        <v>10000</v>
      </c>
      <c r="J64" s="167"/>
      <c r="K64" s="167"/>
      <c r="L64" s="167"/>
      <c r="M64" s="167"/>
    </row>
    <row r="65" spans="1:13" ht="51.75" customHeight="1">
      <c r="A65" s="5"/>
      <c r="B65" s="5"/>
      <c r="C65" s="6"/>
      <c r="D65" s="145"/>
      <c r="E65" s="74" t="s">
        <v>290</v>
      </c>
      <c r="F65" s="73"/>
      <c r="G65" s="73"/>
      <c r="H65" s="73"/>
      <c r="I65" s="134">
        <f>I68+I67+I66</f>
        <v>800000</v>
      </c>
      <c r="J65" s="167"/>
      <c r="K65" s="167"/>
      <c r="L65" s="167"/>
      <c r="M65" s="167"/>
    </row>
    <row r="66" spans="1:13" ht="37.5" customHeight="1" hidden="1">
      <c r="A66" s="5"/>
      <c r="B66" s="5"/>
      <c r="C66" s="6"/>
      <c r="D66" s="145"/>
      <c r="E66" s="57" t="s">
        <v>209</v>
      </c>
      <c r="F66" s="73"/>
      <c r="G66" s="73"/>
      <c r="H66" s="73"/>
      <c r="I66" s="127">
        <f>500000-500000</f>
        <v>0</v>
      </c>
      <c r="J66" s="167"/>
      <c r="K66" s="167"/>
      <c r="L66" s="167"/>
      <c r="M66" s="167"/>
    </row>
    <row r="67" spans="1:13" ht="96.75" customHeight="1">
      <c r="A67" s="5"/>
      <c r="B67" s="5"/>
      <c r="C67" s="6"/>
      <c r="D67" s="145"/>
      <c r="E67" s="57" t="s">
        <v>321</v>
      </c>
      <c r="F67" s="73"/>
      <c r="G67" s="73"/>
      <c r="H67" s="73"/>
      <c r="I67" s="127">
        <f>300000+500000</f>
        <v>800000</v>
      </c>
      <c r="J67" s="167"/>
      <c r="K67" s="167"/>
      <c r="L67" s="167"/>
      <c r="M67" s="167"/>
    </row>
    <row r="68" spans="1:43" ht="60.75" customHeight="1" hidden="1">
      <c r="A68" s="5"/>
      <c r="B68" s="5"/>
      <c r="C68" s="6"/>
      <c r="D68" s="145"/>
      <c r="E68" s="44" t="s">
        <v>182</v>
      </c>
      <c r="F68" s="21"/>
      <c r="G68" s="21"/>
      <c r="H68" s="21"/>
      <c r="I68" s="127">
        <v>0</v>
      </c>
      <c r="J68" s="167"/>
      <c r="K68" s="167"/>
      <c r="L68" s="167"/>
      <c r="M68" s="167"/>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row>
    <row r="69" spans="1:14" s="70" customFormat="1" ht="42" customHeight="1">
      <c r="A69" s="76"/>
      <c r="B69" s="76"/>
      <c r="C69" s="77"/>
      <c r="D69" s="158"/>
      <c r="E69" s="74" t="s">
        <v>291</v>
      </c>
      <c r="F69" s="73"/>
      <c r="G69" s="73"/>
      <c r="H69" s="73"/>
      <c r="I69" s="134">
        <f>I70+I71+I72+I73+I74</f>
        <v>290000</v>
      </c>
      <c r="J69" s="167"/>
      <c r="K69" s="167"/>
      <c r="L69" s="167"/>
      <c r="M69" s="167"/>
      <c r="N69" s="4"/>
    </row>
    <row r="70" spans="1:14" s="70" customFormat="1" ht="81" customHeight="1">
      <c r="A70" s="76"/>
      <c r="B70" s="76"/>
      <c r="C70" s="77"/>
      <c r="D70" s="158"/>
      <c r="E70" s="44" t="s">
        <v>317</v>
      </c>
      <c r="F70" s="73"/>
      <c r="G70" s="73"/>
      <c r="H70" s="73"/>
      <c r="I70" s="135">
        <f>180000+110000</f>
        <v>290000</v>
      </c>
      <c r="J70" s="167"/>
      <c r="K70" s="167"/>
      <c r="L70" s="167"/>
      <c r="M70" s="167"/>
      <c r="N70" s="4"/>
    </row>
    <row r="71" spans="1:14" s="70" customFormat="1" ht="21" customHeight="1" hidden="1">
      <c r="A71" s="76"/>
      <c r="B71" s="76"/>
      <c r="C71" s="77"/>
      <c r="D71" s="158"/>
      <c r="E71" s="57" t="s">
        <v>240</v>
      </c>
      <c r="F71" s="21"/>
      <c r="G71" s="21"/>
      <c r="H71" s="21"/>
      <c r="I71" s="127">
        <v>0</v>
      </c>
      <c r="J71" s="167"/>
      <c r="K71" s="167"/>
      <c r="L71" s="167"/>
      <c r="M71" s="167"/>
      <c r="N71" s="4"/>
    </row>
    <row r="72" spans="1:14" s="70" customFormat="1" ht="34.5" customHeight="1" hidden="1">
      <c r="A72" s="76"/>
      <c r="B72" s="76"/>
      <c r="C72" s="77"/>
      <c r="D72" s="158"/>
      <c r="E72" s="57" t="s">
        <v>241</v>
      </c>
      <c r="F72" s="21"/>
      <c r="G72" s="21"/>
      <c r="H72" s="21"/>
      <c r="I72" s="127">
        <v>0</v>
      </c>
      <c r="J72" s="167"/>
      <c r="K72" s="167"/>
      <c r="L72" s="167"/>
      <c r="M72" s="167"/>
      <c r="N72" s="4"/>
    </row>
    <row r="73" spans="1:14" s="70" customFormat="1" ht="18" customHeight="1" hidden="1">
      <c r="A73" s="76"/>
      <c r="B73" s="76"/>
      <c r="C73" s="77"/>
      <c r="D73" s="158"/>
      <c r="E73" s="57" t="s">
        <v>242</v>
      </c>
      <c r="F73" s="21"/>
      <c r="G73" s="21"/>
      <c r="H73" s="21"/>
      <c r="I73" s="127">
        <v>0</v>
      </c>
      <c r="J73" s="167"/>
      <c r="K73" s="167"/>
      <c r="L73" s="167"/>
      <c r="M73" s="167"/>
      <c r="N73" s="4"/>
    </row>
    <row r="74" spans="1:14" s="70" customFormat="1" ht="20.25" customHeight="1" hidden="1">
      <c r="A74" s="76"/>
      <c r="B74" s="76"/>
      <c r="C74" s="77"/>
      <c r="D74" s="158"/>
      <c r="E74" s="57" t="s">
        <v>243</v>
      </c>
      <c r="F74" s="21"/>
      <c r="G74" s="21"/>
      <c r="H74" s="21"/>
      <c r="I74" s="127">
        <v>0</v>
      </c>
      <c r="J74" s="167"/>
      <c r="K74" s="167"/>
      <c r="L74" s="167"/>
      <c r="M74" s="167"/>
      <c r="N74" s="4"/>
    </row>
    <row r="75" spans="1:43" s="11" customFormat="1" ht="24" customHeight="1">
      <c r="A75" s="34" t="s">
        <v>36</v>
      </c>
      <c r="B75" s="35"/>
      <c r="C75" s="36"/>
      <c r="D75" s="152" t="s">
        <v>306</v>
      </c>
      <c r="E75" s="15"/>
      <c r="F75" s="16"/>
      <c r="G75" s="16"/>
      <c r="H75" s="16"/>
      <c r="I75" s="118">
        <f>I76</f>
        <v>13020223.580000002</v>
      </c>
      <c r="J75" s="167"/>
      <c r="K75" s="167"/>
      <c r="L75" s="167"/>
      <c r="M75" s="167"/>
      <c r="N75" s="4"/>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s="10" customFormat="1" ht="21.75" customHeight="1">
      <c r="A76" s="37" t="s">
        <v>37</v>
      </c>
      <c r="B76" s="38"/>
      <c r="C76" s="39"/>
      <c r="D76" s="149" t="s">
        <v>326</v>
      </c>
      <c r="E76" s="17"/>
      <c r="F76" s="18"/>
      <c r="G76" s="18"/>
      <c r="H76" s="18"/>
      <c r="I76" s="117">
        <f>I77+I79+I81+I82+I84+I85+I87</f>
        <v>13020223.580000002</v>
      </c>
      <c r="J76" s="167"/>
      <c r="K76" s="167"/>
      <c r="L76" s="167"/>
      <c r="M76" s="167"/>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row>
    <row r="77" spans="1:13" ht="36.75" customHeight="1">
      <c r="A77" s="5" t="s">
        <v>38</v>
      </c>
      <c r="B77" s="5">
        <v>2010</v>
      </c>
      <c r="C77" s="6" t="s">
        <v>39</v>
      </c>
      <c r="D77" s="147" t="s">
        <v>118</v>
      </c>
      <c r="E77" s="22" t="s">
        <v>12</v>
      </c>
      <c r="F77" s="21"/>
      <c r="G77" s="21"/>
      <c r="H77" s="21"/>
      <c r="I77" s="114">
        <f>637970+68118.4+330000-30000+48260-14694</f>
        <v>1039654.3999999999</v>
      </c>
      <c r="J77" s="167"/>
      <c r="K77" s="167"/>
      <c r="L77" s="167"/>
      <c r="M77" s="167"/>
    </row>
    <row r="78" spans="1:13" s="178" customFormat="1" ht="52.5">
      <c r="A78" s="172"/>
      <c r="B78" s="172"/>
      <c r="C78" s="173"/>
      <c r="D78" s="192"/>
      <c r="E78" s="83" t="s">
        <v>275</v>
      </c>
      <c r="F78" s="176"/>
      <c r="G78" s="176"/>
      <c r="H78" s="176"/>
      <c r="I78" s="138">
        <v>300000</v>
      </c>
      <c r="J78" s="177"/>
      <c r="K78" s="177"/>
      <c r="L78" s="177"/>
      <c r="M78" s="177"/>
    </row>
    <row r="79" spans="1:43" ht="27" customHeight="1">
      <c r="A79" s="5" t="s">
        <v>40</v>
      </c>
      <c r="B79" s="5">
        <v>2180</v>
      </c>
      <c r="C79" s="6" t="s">
        <v>41</v>
      </c>
      <c r="D79" s="147" t="s">
        <v>119</v>
      </c>
      <c r="E79" s="22" t="s">
        <v>12</v>
      </c>
      <c r="F79" s="21"/>
      <c r="G79" s="21"/>
      <c r="H79" s="21"/>
      <c r="I79" s="114">
        <f>6362030-2297230-31746.4-355562+115849</f>
        <v>3793340.6</v>
      </c>
      <c r="J79" s="167"/>
      <c r="K79" s="167"/>
      <c r="L79" s="167"/>
      <c r="M79" s="167"/>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s="186" customFormat="1" ht="39" hidden="1">
      <c r="A80" s="194"/>
      <c r="B80" s="194"/>
      <c r="C80" s="188"/>
      <c r="D80" s="189"/>
      <c r="E80" s="199" t="s">
        <v>312</v>
      </c>
      <c r="F80" s="195"/>
      <c r="G80" s="195"/>
      <c r="H80" s="195"/>
      <c r="I80" s="196"/>
      <c r="J80" s="185"/>
      <c r="K80" s="185"/>
      <c r="L80" s="185"/>
      <c r="M80" s="185"/>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row>
    <row r="81" spans="1:43" s="71" customFormat="1" ht="30.75" customHeight="1">
      <c r="A81" s="5" t="s">
        <v>198</v>
      </c>
      <c r="B81" s="5" t="s">
        <v>199</v>
      </c>
      <c r="C81" s="6" t="s">
        <v>200</v>
      </c>
      <c r="D81" s="147" t="s">
        <v>201</v>
      </c>
      <c r="E81" s="22" t="s">
        <v>12</v>
      </c>
      <c r="F81" s="21"/>
      <c r="G81" s="21"/>
      <c r="H81" s="21"/>
      <c r="I81" s="114">
        <v>2297230</v>
      </c>
      <c r="J81" s="167"/>
      <c r="K81" s="167"/>
      <c r="L81" s="167"/>
      <c r="M81" s="167"/>
      <c r="N81" s="4"/>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row>
    <row r="82" spans="1:43" s="12" customFormat="1" ht="173.25" customHeight="1">
      <c r="A82" s="31" t="s">
        <v>42</v>
      </c>
      <c r="B82" s="32"/>
      <c r="C82" s="33"/>
      <c r="D82" s="156" t="s">
        <v>288</v>
      </c>
      <c r="E82" s="19"/>
      <c r="F82" s="20"/>
      <c r="G82" s="20"/>
      <c r="H82" s="20"/>
      <c r="I82" s="132">
        <f>I83</f>
        <v>2462.399999999994</v>
      </c>
      <c r="J82" s="167"/>
      <c r="K82" s="167"/>
      <c r="L82" s="167"/>
      <c r="M82" s="167"/>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13" ht="209.25" customHeight="1">
      <c r="A83" s="5" t="s">
        <v>43</v>
      </c>
      <c r="B83" s="5">
        <v>3031</v>
      </c>
      <c r="C83" s="6" t="s">
        <v>44</v>
      </c>
      <c r="D83" s="147" t="s">
        <v>289</v>
      </c>
      <c r="E83" s="22" t="s">
        <v>12</v>
      </c>
      <c r="F83" s="21"/>
      <c r="G83" s="21"/>
      <c r="H83" s="21"/>
      <c r="I83" s="114">
        <f>100000-97537.6</f>
        <v>2462.399999999994</v>
      </c>
      <c r="J83" s="167"/>
      <c r="K83" s="167"/>
      <c r="L83" s="167"/>
      <c r="M83" s="167"/>
    </row>
    <row r="84" spans="1:13" ht="21" customHeight="1">
      <c r="A84" s="5" t="s">
        <v>45</v>
      </c>
      <c r="B84" s="5">
        <v>3300</v>
      </c>
      <c r="C84" s="6" t="s">
        <v>46</v>
      </c>
      <c r="D84" s="147" t="s">
        <v>47</v>
      </c>
      <c r="E84" s="22" t="s">
        <v>12</v>
      </c>
      <c r="F84" s="21"/>
      <c r="G84" s="21"/>
      <c r="H84" s="21"/>
      <c r="I84" s="114">
        <f>560000-528188.02</f>
        <v>31811.97999999998</v>
      </c>
      <c r="J84" s="167"/>
      <c r="K84" s="167"/>
      <c r="L84" s="167"/>
      <c r="M84" s="167"/>
    </row>
    <row r="85" spans="1:43" ht="97.5" customHeight="1">
      <c r="A85" s="5" t="s">
        <v>48</v>
      </c>
      <c r="B85" s="5">
        <v>6310</v>
      </c>
      <c r="C85" s="6" t="s">
        <v>8</v>
      </c>
      <c r="D85" s="147" t="s">
        <v>131</v>
      </c>
      <c r="E85" s="22" t="s">
        <v>104</v>
      </c>
      <c r="F85" s="21">
        <v>6761400</v>
      </c>
      <c r="G85" s="21">
        <v>2.7</v>
      </c>
      <c r="H85" s="23">
        <v>70144.1</v>
      </c>
      <c r="I85" s="114">
        <f>6600000+930215-930215-90144.06-388033-307982.8</f>
        <v>5813840.140000001</v>
      </c>
      <c r="J85" s="167"/>
      <c r="K85" s="167"/>
      <c r="L85" s="167"/>
      <c r="M85" s="167"/>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3" ht="46.5" customHeight="1" hidden="1">
      <c r="A86" s="5"/>
      <c r="B86" s="5"/>
      <c r="C86" s="6"/>
      <c r="D86" s="147"/>
      <c r="E86" s="124" t="s">
        <v>312</v>
      </c>
      <c r="F86" s="21"/>
      <c r="G86" s="21"/>
      <c r="H86" s="21"/>
      <c r="I86" s="127">
        <f>930215-930215</f>
        <v>0</v>
      </c>
      <c r="J86" s="167"/>
      <c r="K86" s="167"/>
      <c r="L86" s="167"/>
      <c r="M86" s="167"/>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3" ht="75.75" customHeight="1">
      <c r="A87" s="5">
        <v>1416360</v>
      </c>
      <c r="B87" s="5">
        <v>6360</v>
      </c>
      <c r="C87" s="6" t="s">
        <v>39</v>
      </c>
      <c r="D87" s="147" t="s">
        <v>147</v>
      </c>
      <c r="E87" s="22" t="s">
        <v>300</v>
      </c>
      <c r="F87" s="21"/>
      <c r="G87" s="21"/>
      <c r="H87" s="21"/>
      <c r="I87" s="114">
        <f>41884.06</f>
        <v>41884.06</v>
      </c>
      <c r="J87" s="167"/>
      <c r="K87" s="167"/>
      <c r="L87" s="167"/>
      <c r="M87" s="167"/>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3" s="11" customFormat="1" ht="35.25" customHeight="1">
      <c r="A88" s="34" t="s">
        <v>49</v>
      </c>
      <c r="B88" s="35"/>
      <c r="C88" s="36"/>
      <c r="D88" s="148" t="s">
        <v>50</v>
      </c>
      <c r="E88" s="15"/>
      <c r="F88" s="16"/>
      <c r="G88" s="16"/>
      <c r="H88" s="16"/>
      <c r="I88" s="118">
        <f>I93+I97+I89</f>
        <v>1632841.62</v>
      </c>
      <c r="J88" s="167"/>
      <c r="K88" s="167"/>
      <c r="L88" s="167"/>
      <c r="M88" s="167"/>
      <c r="N88" s="4"/>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14" s="10" customFormat="1" ht="21.75" customHeight="1">
      <c r="A89" s="37">
        <v>1510000</v>
      </c>
      <c r="B89" s="38"/>
      <c r="C89" s="39"/>
      <c r="D89" s="144" t="s">
        <v>301</v>
      </c>
      <c r="E89" s="17"/>
      <c r="F89" s="18"/>
      <c r="G89" s="18"/>
      <c r="H89" s="18"/>
      <c r="I89" s="117">
        <f>I90+I92</f>
        <v>381125.62</v>
      </c>
      <c r="J89" s="167"/>
      <c r="K89" s="167"/>
      <c r="L89" s="167"/>
      <c r="M89" s="167"/>
      <c r="N89" s="4"/>
    </row>
    <row r="90" spans="1:43" s="12" customFormat="1" ht="165" customHeight="1">
      <c r="A90" s="31">
        <v>1513030</v>
      </c>
      <c r="B90" s="32"/>
      <c r="C90" s="33"/>
      <c r="D90" s="156" t="s">
        <v>288</v>
      </c>
      <c r="E90" s="19"/>
      <c r="F90" s="20"/>
      <c r="G90" s="20"/>
      <c r="H90" s="20"/>
      <c r="I90" s="132">
        <f>I91</f>
        <v>97537.6</v>
      </c>
      <c r="J90" s="167"/>
      <c r="K90" s="167"/>
      <c r="L90" s="167"/>
      <c r="M90" s="167"/>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13" ht="200.25" customHeight="1">
      <c r="A91" s="5">
        <v>1513031</v>
      </c>
      <c r="B91" s="5">
        <v>3031</v>
      </c>
      <c r="C91" s="6" t="s">
        <v>44</v>
      </c>
      <c r="D91" s="147" t="s">
        <v>289</v>
      </c>
      <c r="E91" s="22" t="s">
        <v>12</v>
      </c>
      <c r="F91" s="21"/>
      <c r="G91" s="21"/>
      <c r="H91" s="21"/>
      <c r="I91" s="114">
        <v>97537.6</v>
      </c>
      <c r="J91" s="167"/>
      <c r="K91" s="167"/>
      <c r="L91" s="167"/>
      <c r="M91" s="167"/>
    </row>
    <row r="92" spans="1:13" ht="21" customHeight="1">
      <c r="A92" s="5">
        <v>1513300</v>
      </c>
      <c r="B92" s="5">
        <v>3300</v>
      </c>
      <c r="C92" s="6" t="s">
        <v>46</v>
      </c>
      <c r="D92" s="147" t="s">
        <v>47</v>
      </c>
      <c r="E92" s="22" t="s">
        <v>12</v>
      </c>
      <c r="F92" s="21"/>
      <c r="G92" s="21"/>
      <c r="H92" s="21"/>
      <c r="I92" s="114">
        <f>528188.02-244600</f>
        <v>283588.02</v>
      </c>
      <c r="J92" s="167"/>
      <c r="K92" s="167"/>
      <c r="L92" s="167"/>
      <c r="M92" s="167"/>
    </row>
    <row r="93" spans="1:43" s="10" customFormat="1" ht="36.75" customHeight="1">
      <c r="A93" s="37" t="s">
        <v>111</v>
      </c>
      <c r="B93" s="38"/>
      <c r="C93" s="39"/>
      <c r="D93" s="159" t="s">
        <v>121</v>
      </c>
      <c r="E93" s="17"/>
      <c r="F93" s="18"/>
      <c r="G93" s="18"/>
      <c r="H93" s="18"/>
      <c r="I93" s="117">
        <f>I94+I96</f>
        <v>109380</v>
      </c>
      <c r="J93" s="167"/>
      <c r="K93" s="167"/>
      <c r="L93" s="167"/>
      <c r="M93" s="167"/>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14" s="12" customFormat="1" ht="56.25" customHeight="1">
      <c r="A94" s="31" t="s">
        <v>303</v>
      </c>
      <c r="B94" s="129"/>
      <c r="C94" s="33"/>
      <c r="D94" s="146" t="s">
        <v>304</v>
      </c>
      <c r="E94" s="19"/>
      <c r="F94" s="20"/>
      <c r="G94" s="20"/>
      <c r="H94" s="20"/>
      <c r="I94" s="132">
        <f>I95</f>
        <v>109380</v>
      </c>
      <c r="J94" s="167"/>
      <c r="K94" s="167"/>
      <c r="L94" s="167"/>
      <c r="M94" s="167"/>
      <c r="N94" s="4"/>
    </row>
    <row r="95" spans="1:13" ht="75" customHeight="1">
      <c r="A95" s="5" t="s">
        <v>163</v>
      </c>
      <c r="B95" s="5" t="s">
        <v>164</v>
      </c>
      <c r="C95" s="6" t="s">
        <v>165</v>
      </c>
      <c r="D95" s="147" t="s">
        <v>166</v>
      </c>
      <c r="E95" s="22" t="s">
        <v>12</v>
      </c>
      <c r="F95" s="21"/>
      <c r="G95" s="21"/>
      <c r="H95" s="21"/>
      <c r="I95" s="126">
        <f>0+100000+35800-26420</f>
        <v>109380</v>
      </c>
      <c r="J95" s="167"/>
      <c r="K95" s="167"/>
      <c r="L95" s="167"/>
      <c r="M95" s="167"/>
    </row>
    <row r="96" spans="1:43" ht="63" customHeight="1" hidden="1">
      <c r="A96" s="5" t="s">
        <v>112</v>
      </c>
      <c r="B96" s="5">
        <v>6310</v>
      </c>
      <c r="C96" s="6" t="s">
        <v>8</v>
      </c>
      <c r="D96" s="147" t="s">
        <v>120</v>
      </c>
      <c r="E96" s="22" t="s">
        <v>100</v>
      </c>
      <c r="F96" s="21"/>
      <c r="G96" s="21"/>
      <c r="H96" s="21"/>
      <c r="I96" s="126">
        <f>100000-100000</f>
        <v>0</v>
      </c>
      <c r="J96" s="167"/>
      <c r="K96" s="167"/>
      <c r="L96" s="167"/>
      <c r="M96" s="167"/>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1:43" s="123" customFormat="1" ht="35.25" customHeight="1">
      <c r="A97" s="37" t="s">
        <v>111</v>
      </c>
      <c r="B97" s="38"/>
      <c r="C97" s="39"/>
      <c r="D97" s="159" t="s">
        <v>280</v>
      </c>
      <c r="E97" s="17"/>
      <c r="F97" s="18"/>
      <c r="G97" s="18"/>
      <c r="H97" s="18"/>
      <c r="I97" s="117">
        <f>I98</f>
        <v>1142336</v>
      </c>
      <c r="J97" s="167"/>
      <c r="K97" s="167"/>
      <c r="L97" s="167"/>
      <c r="M97" s="167"/>
      <c r="N97" s="4"/>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row>
    <row r="98" spans="1:43" s="12" customFormat="1" ht="25.5" customHeight="1">
      <c r="A98" s="31" t="s">
        <v>283</v>
      </c>
      <c r="B98" s="32">
        <v>6320</v>
      </c>
      <c r="C98" s="125" t="s">
        <v>269</v>
      </c>
      <c r="D98" s="156" t="s">
        <v>284</v>
      </c>
      <c r="E98" s="19"/>
      <c r="F98" s="20"/>
      <c r="G98" s="20"/>
      <c r="H98" s="20"/>
      <c r="I98" s="132">
        <f>I99</f>
        <v>1142336</v>
      </c>
      <c r="J98" s="167"/>
      <c r="K98" s="167"/>
      <c r="L98" s="167"/>
      <c r="M98" s="167"/>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14" s="70" customFormat="1" ht="198" customHeight="1">
      <c r="A99" s="5" t="s">
        <v>281</v>
      </c>
      <c r="B99" s="5">
        <v>6324</v>
      </c>
      <c r="C99" s="82" t="s">
        <v>269</v>
      </c>
      <c r="D99" s="147" t="s">
        <v>282</v>
      </c>
      <c r="E99" s="45" t="s">
        <v>286</v>
      </c>
      <c r="F99" s="21"/>
      <c r="G99" s="21"/>
      <c r="H99" s="21"/>
      <c r="I99" s="126">
        <v>1142336</v>
      </c>
      <c r="J99" s="167"/>
      <c r="K99" s="167"/>
      <c r="L99" s="167"/>
      <c r="M99" s="167"/>
      <c r="N99" s="4"/>
    </row>
    <row r="100" spans="1:14" s="206" customFormat="1" ht="219.75" customHeight="1">
      <c r="A100" s="194"/>
      <c r="B100" s="194"/>
      <c r="C100" s="188"/>
      <c r="D100" s="212"/>
      <c r="E100" s="199" t="s">
        <v>322</v>
      </c>
      <c r="F100" s="195"/>
      <c r="G100" s="195"/>
      <c r="H100" s="195"/>
      <c r="I100" s="133">
        <v>1142336</v>
      </c>
      <c r="J100" s="185"/>
      <c r="K100" s="185"/>
      <c r="L100" s="185"/>
      <c r="M100" s="185"/>
      <c r="N100" s="186"/>
    </row>
    <row r="101" spans="1:43" s="11" customFormat="1" ht="25.5" customHeight="1">
      <c r="A101" s="34" t="s">
        <v>265</v>
      </c>
      <c r="B101" s="35"/>
      <c r="C101" s="36"/>
      <c r="D101" s="148" t="s">
        <v>266</v>
      </c>
      <c r="E101" s="15"/>
      <c r="F101" s="16"/>
      <c r="G101" s="16"/>
      <c r="H101" s="16"/>
      <c r="I101" s="118">
        <f>I102</f>
        <v>500000</v>
      </c>
      <c r="J101" s="167"/>
      <c r="K101" s="167"/>
      <c r="L101" s="167"/>
      <c r="M101" s="167"/>
      <c r="N101" s="4"/>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s="10" customFormat="1" ht="27" customHeight="1">
      <c r="A102" s="37" t="s">
        <v>267</v>
      </c>
      <c r="B102" s="38"/>
      <c r="C102" s="39"/>
      <c r="D102" s="159" t="s">
        <v>268</v>
      </c>
      <c r="E102" s="17"/>
      <c r="F102" s="18"/>
      <c r="G102" s="18"/>
      <c r="H102" s="18"/>
      <c r="I102" s="117">
        <f>I103</f>
        <v>500000</v>
      </c>
      <c r="J102" s="167"/>
      <c r="K102" s="167"/>
      <c r="L102" s="167"/>
      <c r="M102" s="167"/>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row>
    <row r="103" spans="1:13" ht="81" customHeight="1">
      <c r="A103" s="5">
        <v>2011060</v>
      </c>
      <c r="B103" s="5" t="s">
        <v>269</v>
      </c>
      <c r="C103" s="6" t="s">
        <v>26</v>
      </c>
      <c r="D103" s="147" t="s">
        <v>270</v>
      </c>
      <c r="E103" s="22" t="s">
        <v>12</v>
      </c>
      <c r="F103" s="21"/>
      <c r="G103" s="21"/>
      <c r="H103" s="21"/>
      <c r="I103" s="126">
        <v>500000</v>
      </c>
      <c r="J103" s="167"/>
      <c r="K103" s="167"/>
      <c r="L103" s="167"/>
      <c r="M103" s="167"/>
    </row>
    <row r="104" spans="1:43" s="11" customFormat="1" ht="44.25" customHeight="1">
      <c r="A104" s="34" t="s">
        <v>51</v>
      </c>
      <c r="B104" s="35"/>
      <c r="C104" s="36"/>
      <c r="D104" s="148" t="s">
        <v>52</v>
      </c>
      <c r="E104" s="15"/>
      <c r="F104" s="16"/>
      <c r="G104" s="16"/>
      <c r="H104" s="16"/>
      <c r="I104" s="118">
        <f>I105</f>
        <v>800520</v>
      </c>
      <c r="J104" s="167"/>
      <c r="K104" s="167"/>
      <c r="L104" s="167"/>
      <c r="M104" s="167"/>
      <c r="N104" s="4"/>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s="10" customFormat="1" ht="42.75" customHeight="1">
      <c r="A105" s="37" t="s">
        <v>53</v>
      </c>
      <c r="B105" s="38"/>
      <c r="C105" s="39"/>
      <c r="D105" s="159" t="s">
        <v>122</v>
      </c>
      <c r="E105" s="17"/>
      <c r="F105" s="18"/>
      <c r="G105" s="18"/>
      <c r="H105" s="18"/>
      <c r="I105" s="117">
        <f>I106+I107+I108</f>
        <v>800520</v>
      </c>
      <c r="J105" s="167"/>
      <c r="K105" s="167"/>
      <c r="L105" s="167"/>
      <c r="M105" s="167"/>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row>
    <row r="106" spans="1:43" ht="47.25" customHeight="1">
      <c r="A106" s="5" t="s">
        <v>54</v>
      </c>
      <c r="B106" s="5" t="s">
        <v>79</v>
      </c>
      <c r="C106" s="6" t="s">
        <v>1</v>
      </c>
      <c r="D106" s="145" t="s">
        <v>222</v>
      </c>
      <c r="E106" s="22" t="s">
        <v>12</v>
      </c>
      <c r="F106" s="21"/>
      <c r="G106" s="21"/>
      <c r="H106" s="21"/>
      <c r="I106" s="119">
        <f>50000+354000</f>
        <v>404000</v>
      </c>
      <c r="J106" s="167"/>
      <c r="K106" s="167"/>
      <c r="L106" s="167"/>
      <c r="M106" s="167"/>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row>
    <row r="107" spans="1:43" ht="47.25" customHeight="1" hidden="1">
      <c r="A107" s="5" t="s">
        <v>244</v>
      </c>
      <c r="B107" s="108" t="s">
        <v>245</v>
      </c>
      <c r="C107" s="6" t="s">
        <v>8</v>
      </c>
      <c r="D107" s="145" t="s">
        <v>120</v>
      </c>
      <c r="E107" s="45" t="s">
        <v>247</v>
      </c>
      <c r="F107" s="21"/>
      <c r="G107" s="21"/>
      <c r="H107" s="21"/>
      <c r="I107" s="119">
        <f>338405+100000-438405</f>
        <v>0</v>
      </c>
      <c r="J107" s="167"/>
      <c r="K107" s="167"/>
      <c r="L107" s="167"/>
      <c r="M107" s="167"/>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row>
    <row r="108" spans="1:14" s="70" customFormat="1" ht="33.75" customHeight="1">
      <c r="A108" s="5" t="s">
        <v>246</v>
      </c>
      <c r="B108" s="5">
        <v>7470</v>
      </c>
      <c r="C108" s="6" t="s">
        <v>8</v>
      </c>
      <c r="D108" s="147" t="s">
        <v>117</v>
      </c>
      <c r="E108" s="22" t="s">
        <v>256</v>
      </c>
      <c r="F108" s="75"/>
      <c r="G108" s="75"/>
      <c r="H108" s="75"/>
      <c r="I108" s="126">
        <f>I110</f>
        <v>396520</v>
      </c>
      <c r="J108" s="167"/>
      <c r="K108" s="167"/>
      <c r="L108" s="167"/>
      <c r="M108" s="167"/>
      <c r="N108" s="4"/>
    </row>
    <row r="109" spans="1:13" ht="13.5">
      <c r="A109" s="5"/>
      <c r="B109" s="5"/>
      <c r="C109" s="6"/>
      <c r="D109" s="151" t="s">
        <v>137</v>
      </c>
      <c r="E109" s="90"/>
      <c r="F109" s="21"/>
      <c r="G109" s="21"/>
      <c r="H109" s="21"/>
      <c r="I109" s="114"/>
      <c r="J109" s="167"/>
      <c r="K109" s="167"/>
      <c r="L109" s="167"/>
      <c r="M109" s="167"/>
    </row>
    <row r="110" spans="1:14" s="70" customFormat="1" ht="36" customHeight="1">
      <c r="A110" s="5"/>
      <c r="B110" s="5"/>
      <c r="C110" s="6"/>
      <c r="D110" s="147"/>
      <c r="E110" s="95" t="s">
        <v>248</v>
      </c>
      <c r="F110" s="75"/>
      <c r="G110" s="75"/>
      <c r="H110" s="75"/>
      <c r="I110" s="137">
        <f>SUM(I111:I116)</f>
        <v>396520</v>
      </c>
      <c r="J110" s="167"/>
      <c r="K110" s="167"/>
      <c r="L110" s="167"/>
      <c r="M110" s="167"/>
      <c r="N110" s="4"/>
    </row>
    <row r="111" spans="1:14" s="70" customFormat="1" ht="18.75" customHeight="1">
      <c r="A111" s="5"/>
      <c r="B111" s="5"/>
      <c r="C111" s="6"/>
      <c r="D111" s="147"/>
      <c r="E111" s="89" t="s">
        <v>249</v>
      </c>
      <c r="F111" s="23"/>
      <c r="G111" s="23"/>
      <c r="H111" s="23"/>
      <c r="I111" s="136">
        <v>35200</v>
      </c>
      <c r="J111" s="167"/>
      <c r="K111" s="167"/>
      <c r="L111" s="167"/>
      <c r="M111" s="167"/>
      <c r="N111" s="4"/>
    </row>
    <row r="112" spans="1:14" s="70" customFormat="1" ht="33.75" customHeight="1">
      <c r="A112" s="5"/>
      <c r="B112" s="5"/>
      <c r="C112" s="6"/>
      <c r="D112" s="147"/>
      <c r="E112" s="7" t="s">
        <v>250</v>
      </c>
      <c r="F112" s="23"/>
      <c r="G112" s="23"/>
      <c r="H112" s="23"/>
      <c r="I112" s="136">
        <v>7780</v>
      </c>
      <c r="J112" s="167"/>
      <c r="K112" s="167"/>
      <c r="L112" s="167"/>
      <c r="M112" s="167"/>
      <c r="N112" s="4"/>
    </row>
    <row r="113" spans="1:14" s="70" customFormat="1" ht="35.25" customHeight="1">
      <c r="A113" s="5"/>
      <c r="B113" s="5"/>
      <c r="C113" s="6"/>
      <c r="D113" s="147"/>
      <c r="E113" s="7" t="s">
        <v>251</v>
      </c>
      <c r="F113" s="23"/>
      <c r="G113" s="23"/>
      <c r="H113" s="23"/>
      <c r="I113" s="136">
        <v>7080</v>
      </c>
      <c r="J113" s="167"/>
      <c r="K113" s="167"/>
      <c r="L113" s="167"/>
      <c r="M113" s="167"/>
      <c r="N113" s="4"/>
    </row>
    <row r="114" spans="1:14" s="70" customFormat="1" ht="62.25" customHeight="1">
      <c r="A114" s="5"/>
      <c r="B114" s="5"/>
      <c r="C114" s="6"/>
      <c r="D114" s="147"/>
      <c r="E114" s="7" t="s">
        <v>252</v>
      </c>
      <c r="F114" s="23"/>
      <c r="G114" s="23"/>
      <c r="H114" s="23"/>
      <c r="I114" s="136">
        <v>53160</v>
      </c>
      <c r="J114" s="167"/>
      <c r="K114" s="167"/>
      <c r="L114" s="167"/>
      <c r="M114" s="167"/>
      <c r="N114" s="4"/>
    </row>
    <row r="115" spans="1:14" s="70" customFormat="1" ht="21" customHeight="1">
      <c r="A115" s="5"/>
      <c r="B115" s="5"/>
      <c r="C115" s="6"/>
      <c r="D115" s="147"/>
      <c r="E115" s="7" t="s">
        <v>253</v>
      </c>
      <c r="F115" s="23"/>
      <c r="G115" s="23"/>
      <c r="H115" s="23"/>
      <c r="I115" s="136">
        <v>142300</v>
      </c>
      <c r="J115" s="167"/>
      <c r="K115" s="167"/>
      <c r="L115" s="167"/>
      <c r="M115" s="167"/>
      <c r="N115" s="4"/>
    </row>
    <row r="116" spans="1:14" s="70" customFormat="1" ht="34.5" customHeight="1">
      <c r="A116" s="5"/>
      <c r="B116" s="5"/>
      <c r="C116" s="6"/>
      <c r="D116" s="147"/>
      <c r="E116" s="7" t="s">
        <v>254</v>
      </c>
      <c r="F116" s="23"/>
      <c r="G116" s="23"/>
      <c r="H116" s="23"/>
      <c r="I116" s="136">
        <v>151000</v>
      </c>
      <c r="J116" s="167"/>
      <c r="K116" s="167"/>
      <c r="L116" s="167"/>
      <c r="M116" s="167"/>
      <c r="N116" s="4"/>
    </row>
    <row r="117" spans="1:43" s="11" customFormat="1" ht="24" customHeight="1">
      <c r="A117" s="34" t="s">
        <v>55</v>
      </c>
      <c r="B117" s="35"/>
      <c r="C117" s="36"/>
      <c r="D117" s="148" t="s">
        <v>56</v>
      </c>
      <c r="E117" s="15"/>
      <c r="F117" s="16"/>
      <c r="G117" s="16"/>
      <c r="H117" s="16"/>
      <c r="I117" s="118">
        <f>I118</f>
        <v>240000</v>
      </c>
      <c r="J117" s="167"/>
      <c r="K117" s="167"/>
      <c r="L117" s="167"/>
      <c r="M117" s="167"/>
      <c r="N117" s="4"/>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s="10" customFormat="1" ht="60" customHeight="1">
      <c r="A118" s="37" t="s">
        <v>57</v>
      </c>
      <c r="B118" s="38"/>
      <c r="C118" s="39"/>
      <c r="D118" s="149" t="s">
        <v>124</v>
      </c>
      <c r="E118" s="17"/>
      <c r="F118" s="18"/>
      <c r="G118" s="18"/>
      <c r="H118" s="18"/>
      <c r="I118" s="117">
        <f>I119+I120</f>
        <v>240000</v>
      </c>
      <c r="J118" s="167"/>
      <c r="K118" s="167"/>
      <c r="L118" s="167"/>
      <c r="M118" s="167"/>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row>
    <row r="119" spans="1:43" ht="80.25" customHeight="1">
      <c r="A119" s="5" t="s">
        <v>58</v>
      </c>
      <c r="B119" s="5" t="s">
        <v>125</v>
      </c>
      <c r="C119" s="6" t="s">
        <v>59</v>
      </c>
      <c r="D119" s="147" t="s">
        <v>126</v>
      </c>
      <c r="E119" s="22" t="s">
        <v>101</v>
      </c>
      <c r="F119" s="21"/>
      <c r="G119" s="21"/>
      <c r="H119" s="21"/>
      <c r="I119" s="114">
        <v>90000</v>
      </c>
      <c r="J119" s="167"/>
      <c r="K119" s="167"/>
      <c r="L119" s="167"/>
      <c r="M119" s="167"/>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row>
    <row r="120" spans="1:43" ht="94.5" customHeight="1">
      <c r="A120" s="5">
        <v>4518070</v>
      </c>
      <c r="B120" s="5">
        <v>8070</v>
      </c>
      <c r="C120" s="6" t="s">
        <v>8</v>
      </c>
      <c r="D120" s="147" t="s">
        <v>206</v>
      </c>
      <c r="E120" s="22" t="s">
        <v>207</v>
      </c>
      <c r="F120" s="21"/>
      <c r="G120" s="21"/>
      <c r="H120" s="21"/>
      <c r="I120" s="114">
        <v>150000</v>
      </c>
      <c r="J120" s="167"/>
      <c r="K120" s="167"/>
      <c r="L120" s="167"/>
      <c r="M120" s="167"/>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row>
    <row r="121" spans="1:43" s="11" customFormat="1" ht="36" customHeight="1">
      <c r="A121" s="34" t="s">
        <v>63</v>
      </c>
      <c r="B121" s="35"/>
      <c r="C121" s="36"/>
      <c r="D121" s="148" t="s">
        <v>64</v>
      </c>
      <c r="E121" s="15"/>
      <c r="F121" s="16"/>
      <c r="G121" s="16"/>
      <c r="H121" s="16"/>
      <c r="I121" s="118">
        <f>I122</f>
        <v>178596296.69</v>
      </c>
      <c r="J121" s="167"/>
      <c r="K121" s="167"/>
      <c r="L121" s="167"/>
      <c r="M121" s="167"/>
      <c r="N121" s="4"/>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s="10" customFormat="1" ht="45" customHeight="1">
      <c r="A122" s="37" t="s">
        <v>60</v>
      </c>
      <c r="B122" s="38"/>
      <c r="C122" s="39"/>
      <c r="D122" s="149" t="s">
        <v>61</v>
      </c>
      <c r="E122" s="17"/>
      <c r="F122" s="18"/>
      <c r="G122" s="18"/>
      <c r="H122" s="18"/>
      <c r="I122" s="117">
        <f>I123+I124+I125+I128+I130+I132+I160+I163+I167+I170+I171+I201</f>
        <v>178596296.69</v>
      </c>
      <c r="J122" s="167"/>
      <c r="K122" s="167"/>
      <c r="L122" s="167"/>
      <c r="M122" s="167"/>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1:13" ht="35.25" customHeight="1">
      <c r="A123" s="5" t="s">
        <v>62</v>
      </c>
      <c r="B123" s="5" t="s">
        <v>79</v>
      </c>
      <c r="C123" s="6" t="s">
        <v>1</v>
      </c>
      <c r="D123" s="145" t="s">
        <v>222</v>
      </c>
      <c r="E123" s="22" t="s">
        <v>12</v>
      </c>
      <c r="F123" s="21"/>
      <c r="G123" s="21"/>
      <c r="H123" s="21"/>
      <c r="I123" s="114">
        <v>38000</v>
      </c>
      <c r="J123" s="167"/>
      <c r="K123" s="167"/>
      <c r="L123" s="167"/>
      <c r="M123" s="167"/>
    </row>
    <row r="124" spans="1:43" ht="48.75" customHeight="1">
      <c r="A124" s="5" t="s">
        <v>65</v>
      </c>
      <c r="B124" s="5" t="s">
        <v>128</v>
      </c>
      <c r="C124" s="6" t="s">
        <v>66</v>
      </c>
      <c r="D124" s="147" t="s">
        <v>127</v>
      </c>
      <c r="E124" s="22" t="s">
        <v>12</v>
      </c>
      <c r="F124" s="21"/>
      <c r="G124" s="21"/>
      <c r="H124" s="21"/>
      <c r="I124" s="114">
        <f>1200000-50000+50000-200000+70100+115520-75520+214500+30000-23000</f>
        <v>1331600</v>
      </c>
      <c r="J124" s="167"/>
      <c r="K124" s="167"/>
      <c r="L124" s="167"/>
      <c r="M124" s="16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s="12" customFormat="1" ht="37.5" customHeight="1">
      <c r="A125" s="31" t="s">
        <v>67</v>
      </c>
      <c r="B125" s="32"/>
      <c r="C125" s="33"/>
      <c r="D125" s="146" t="s">
        <v>68</v>
      </c>
      <c r="E125" s="19"/>
      <c r="F125" s="20"/>
      <c r="G125" s="20"/>
      <c r="H125" s="20"/>
      <c r="I125" s="132">
        <f>I126</f>
        <v>21197188</v>
      </c>
      <c r="J125" s="167"/>
      <c r="K125" s="167"/>
      <c r="L125" s="167"/>
      <c r="M125" s="167"/>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43" ht="29.25" customHeight="1">
      <c r="A126" s="5" t="s">
        <v>69</v>
      </c>
      <c r="B126" s="5">
        <v>6021</v>
      </c>
      <c r="C126" s="6" t="s">
        <v>66</v>
      </c>
      <c r="D126" s="147" t="s">
        <v>129</v>
      </c>
      <c r="E126" s="22" t="s">
        <v>12</v>
      </c>
      <c r="F126" s="21"/>
      <c r="G126" s="21"/>
      <c r="H126" s="21"/>
      <c r="I126" s="114">
        <f>3100000+7352436-190000+7642060+764213-60000+2694000+269400-58000-288112-28809</f>
        <v>21197188</v>
      </c>
      <c r="J126" s="167"/>
      <c r="K126" s="167"/>
      <c r="L126" s="167"/>
      <c r="M126" s="167"/>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s="186" customFormat="1" ht="59.25" customHeight="1">
      <c r="A127" s="194"/>
      <c r="B127" s="194"/>
      <c r="C127" s="188"/>
      <c r="D127" s="189"/>
      <c r="E127" s="115" t="s">
        <v>275</v>
      </c>
      <c r="F127" s="195"/>
      <c r="G127" s="195"/>
      <c r="H127" s="195"/>
      <c r="I127" s="138">
        <f>7642060+2694000-288112</f>
        <v>10047948</v>
      </c>
      <c r="J127" s="185"/>
      <c r="K127" s="185"/>
      <c r="L127" s="185"/>
      <c r="M127" s="185"/>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row>
    <row r="128" spans="1:43" s="12" customFormat="1" ht="0.75" customHeight="1" hidden="1">
      <c r="A128" s="31" t="s">
        <v>70</v>
      </c>
      <c r="B128" s="32"/>
      <c r="C128" s="33"/>
      <c r="D128" s="146" t="s">
        <v>71</v>
      </c>
      <c r="E128" s="19"/>
      <c r="F128" s="20"/>
      <c r="G128" s="20"/>
      <c r="H128" s="20"/>
      <c r="I128" s="132">
        <f>I129</f>
        <v>0</v>
      </c>
      <c r="J128" s="167"/>
      <c r="K128" s="167"/>
      <c r="L128" s="167"/>
      <c r="M128" s="167"/>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13" ht="36.75" customHeight="1" hidden="1">
      <c r="A129" s="5" t="s">
        <v>72</v>
      </c>
      <c r="B129" s="5">
        <v>6051</v>
      </c>
      <c r="C129" s="6" t="s">
        <v>20</v>
      </c>
      <c r="D129" s="147" t="s">
        <v>130</v>
      </c>
      <c r="E129" s="22" t="s">
        <v>12</v>
      </c>
      <c r="F129" s="21"/>
      <c r="G129" s="21"/>
      <c r="H129" s="21"/>
      <c r="I129" s="114">
        <f>5000000-4000000-1000000</f>
        <v>0</v>
      </c>
      <c r="J129" s="167"/>
      <c r="K129" s="167"/>
      <c r="L129" s="167"/>
      <c r="M129" s="167"/>
    </row>
    <row r="130" spans="1:14" s="12" customFormat="1" ht="26.25" customHeight="1">
      <c r="A130" s="31" t="s">
        <v>73</v>
      </c>
      <c r="B130" s="31">
        <v>6060</v>
      </c>
      <c r="C130" s="125" t="s">
        <v>20</v>
      </c>
      <c r="D130" s="156" t="s">
        <v>21</v>
      </c>
      <c r="E130" s="19" t="s">
        <v>12</v>
      </c>
      <c r="F130" s="20"/>
      <c r="G130" s="20"/>
      <c r="H130" s="20"/>
      <c r="I130" s="132">
        <f>9500000+500000+955822+18982.2-873610+84000+120000+1675000+750000+199000-95500+28000-910000-500000-50000-660000+127000+1820000</f>
        <v>12688694.2</v>
      </c>
      <c r="J130" s="167"/>
      <c r="K130" s="167"/>
      <c r="L130" s="167"/>
      <c r="M130" s="167"/>
      <c r="N130" s="4"/>
    </row>
    <row r="131" spans="1:13" s="178" customFormat="1" ht="48.75" customHeight="1">
      <c r="A131" s="172"/>
      <c r="B131" s="172"/>
      <c r="C131" s="173"/>
      <c r="D131" s="192"/>
      <c r="E131" s="115" t="s">
        <v>323</v>
      </c>
      <c r="F131" s="176"/>
      <c r="G131" s="176"/>
      <c r="H131" s="176"/>
      <c r="I131" s="138">
        <v>28000</v>
      </c>
      <c r="J131" s="177"/>
      <c r="K131" s="177"/>
      <c r="L131" s="177"/>
      <c r="M131" s="177"/>
    </row>
    <row r="132" spans="1:14" s="12" customFormat="1" ht="44.25" customHeight="1">
      <c r="A132" s="31" t="s">
        <v>74</v>
      </c>
      <c r="B132" s="31">
        <v>6310</v>
      </c>
      <c r="C132" s="125" t="s">
        <v>8</v>
      </c>
      <c r="D132" s="156" t="s">
        <v>120</v>
      </c>
      <c r="E132" s="19"/>
      <c r="F132" s="20"/>
      <c r="G132" s="20"/>
      <c r="H132" s="20"/>
      <c r="I132" s="132">
        <f>I134+I135+I136+I137+I139+I140+I141+I143+I145+I146+I147+I148+I151+I152+I153+I154+I155+I156+I157+I158+I159</f>
        <v>9138144</v>
      </c>
      <c r="J132" s="167"/>
      <c r="K132" s="167"/>
      <c r="L132" s="167"/>
      <c r="M132" s="167"/>
      <c r="N132" s="4"/>
    </row>
    <row r="133" spans="1:13" ht="20.25" customHeight="1">
      <c r="A133" s="5"/>
      <c r="B133" s="5"/>
      <c r="C133" s="6"/>
      <c r="D133" s="151" t="s">
        <v>137</v>
      </c>
      <c r="E133" s="22"/>
      <c r="F133" s="21"/>
      <c r="G133" s="21"/>
      <c r="H133" s="21"/>
      <c r="I133" s="114"/>
      <c r="J133" s="167"/>
      <c r="K133" s="167"/>
      <c r="L133" s="167"/>
      <c r="M133" s="167"/>
    </row>
    <row r="134" spans="1:13" ht="57" customHeight="1">
      <c r="A134" s="5"/>
      <c r="B134" s="5"/>
      <c r="C134" s="6"/>
      <c r="D134" s="147"/>
      <c r="E134" s="22" t="s">
        <v>333</v>
      </c>
      <c r="F134" s="21">
        <v>293518</v>
      </c>
      <c r="G134" s="21">
        <v>6.5</v>
      </c>
      <c r="H134" s="21">
        <v>4516</v>
      </c>
      <c r="I134" s="127">
        <v>270000</v>
      </c>
      <c r="J134" s="168"/>
      <c r="K134" s="168"/>
      <c r="L134" s="168"/>
      <c r="M134" s="168"/>
    </row>
    <row r="135" spans="1:13" ht="63.75" customHeight="1">
      <c r="A135" s="5"/>
      <c r="B135" s="5"/>
      <c r="C135" s="6"/>
      <c r="D135" s="147"/>
      <c r="E135" s="22" t="s">
        <v>334</v>
      </c>
      <c r="F135" s="21"/>
      <c r="G135" s="21"/>
      <c r="H135" s="21"/>
      <c r="I135" s="127">
        <f>4000000-2792926+40000</f>
        <v>1247074</v>
      </c>
      <c r="J135" s="167"/>
      <c r="K135" s="167"/>
      <c r="L135" s="167"/>
      <c r="M135" s="167"/>
    </row>
    <row r="136" spans="1:13" ht="62.25" customHeight="1">
      <c r="A136" s="5"/>
      <c r="B136" s="5"/>
      <c r="C136" s="6"/>
      <c r="D136" s="147"/>
      <c r="E136" s="22" t="s">
        <v>335</v>
      </c>
      <c r="F136" s="21"/>
      <c r="G136" s="21"/>
      <c r="H136" s="21"/>
      <c r="I136" s="127">
        <f>100000+100000</f>
        <v>200000</v>
      </c>
      <c r="J136" s="167"/>
      <c r="K136" s="167"/>
      <c r="L136" s="167"/>
      <c r="M136" s="167"/>
    </row>
    <row r="137" spans="1:14" s="70" customFormat="1" ht="60.75" customHeight="1">
      <c r="A137" s="76"/>
      <c r="B137" s="76"/>
      <c r="C137" s="77"/>
      <c r="D137" s="157"/>
      <c r="E137" s="22" t="s">
        <v>327</v>
      </c>
      <c r="F137" s="21"/>
      <c r="G137" s="21"/>
      <c r="H137" s="21"/>
      <c r="I137" s="127">
        <f>917400+113300</f>
        <v>1030700</v>
      </c>
      <c r="J137" s="167"/>
      <c r="K137" s="167"/>
      <c r="L137" s="167"/>
      <c r="M137" s="167"/>
      <c r="N137" s="4"/>
    </row>
    <row r="138" spans="1:14" s="206" customFormat="1" ht="59.25" customHeight="1">
      <c r="A138" s="203"/>
      <c r="B138" s="203"/>
      <c r="C138" s="204"/>
      <c r="D138" s="205"/>
      <c r="E138" s="115" t="s">
        <v>275</v>
      </c>
      <c r="F138" s="195"/>
      <c r="G138" s="195"/>
      <c r="H138" s="195"/>
      <c r="I138" s="138">
        <f>834000+103000</f>
        <v>937000</v>
      </c>
      <c r="J138" s="185"/>
      <c r="K138" s="185"/>
      <c r="L138" s="185"/>
      <c r="M138" s="185"/>
      <c r="N138" s="186"/>
    </row>
    <row r="139" spans="1:14" s="70" customFormat="1" ht="55.5" customHeight="1">
      <c r="A139" s="5"/>
      <c r="B139" s="5"/>
      <c r="C139" s="6"/>
      <c r="D139" s="147"/>
      <c r="E139" s="22" t="s">
        <v>342</v>
      </c>
      <c r="F139" s="21"/>
      <c r="G139" s="21"/>
      <c r="H139" s="21"/>
      <c r="I139" s="127">
        <f>150000+150000</f>
        <v>300000</v>
      </c>
      <c r="J139" s="167"/>
      <c r="K139" s="167"/>
      <c r="L139" s="167"/>
      <c r="M139" s="167"/>
      <c r="N139" s="4"/>
    </row>
    <row r="140" spans="1:13" ht="81" customHeight="1">
      <c r="A140" s="5"/>
      <c r="B140" s="5"/>
      <c r="C140" s="6"/>
      <c r="D140" s="147"/>
      <c r="E140" s="22" t="s">
        <v>105</v>
      </c>
      <c r="F140" s="21">
        <v>300000</v>
      </c>
      <c r="G140" s="21"/>
      <c r="H140" s="21"/>
      <c r="I140" s="127">
        <f>300000+117600+281000</f>
        <v>698600</v>
      </c>
      <c r="J140" s="167"/>
      <c r="K140" s="167"/>
      <c r="L140" s="167"/>
      <c r="M140" s="167"/>
    </row>
    <row r="141" spans="1:13" ht="92.25" customHeight="1">
      <c r="A141" s="5"/>
      <c r="B141" s="5"/>
      <c r="C141" s="6"/>
      <c r="D141" s="147"/>
      <c r="E141" s="22" t="s">
        <v>279</v>
      </c>
      <c r="F141" s="21">
        <v>190000</v>
      </c>
      <c r="G141" s="21"/>
      <c r="H141" s="21"/>
      <c r="I141" s="127">
        <v>190000</v>
      </c>
      <c r="J141" s="167"/>
      <c r="K141" s="167"/>
      <c r="L141" s="167"/>
      <c r="M141" s="167"/>
    </row>
    <row r="142" spans="1:13" ht="27" hidden="1">
      <c r="A142" s="5"/>
      <c r="B142" s="5"/>
      <c r="C142" s="6"/>
      <c r="D142" s="147"/>
      <c r="E142" s="22" t="s">
        <v>106</v>
      </c>
      <c r="F142" s="21"/>
      <c r="G142" s="21"/>
      <c r="H142" s="21"/>
      <c r="I142" s="127">
        <f>5000000-764213-4235787</f>
        <v>0</v>
      </c>
      <c r="J142" s="167"/>
      <c r="K142" s="167"/>
      <c r="L142" s="167"/>
      <c r="M142" s="167"/>
    </row>
    <row r="143" spans="1:13" ht="108.75" customHeight="1">
      <c r="A143" s="5"/>
      <c r="B143" s="5"/>
      <c r="C143" s="6"/>
      <c r="D143" s="147"/>
      <c r="E143" s="22" t="s">
        <v>328</v>
      </c>
      <c r="F143" s="21">
        <v>1079386</v>
      </c>
      <c r="G143" s="21"/>
      <c r="H143" s="21"/>
      <c r="I143" s="127">
        <f>1079386</f>
        <v>1079386</v>
      </c>
      <c r="J143" s="167"/>
      <c r="K143" s="167"/>
      <c r="L143" s="167"/>
      <c r="M143" s="167"/>
    </row>
    <row r="144" spans="1:13" s="186" customFormat="1" ht="62.25" customHeight="1">
      <c r="A144" s="194"/>
      <c r="B144" s="194"/>
      <c r="C144" s="188"/>
      <c r="D144" s="189"/>
      <c r="E144" s="115" t="s">
        <v>275</v>
      </c>
      <c r="F144" s="195"/>
      <c r="G144" s="195"/>
      <c r="H144" s="195"/>
      <c r="I144" s="138">
        <v>981260</v>
      </c>
      <c r="J144" s="185"/>
      <c r="K144" s="185"/>
      <c r="L144" s="185"/>
      <c r="M144" s="185"/>
    </row>
    <row r="145" spans="1:14" s="70" customFormat="1" ht="102.75" customHeight="1">
      <c r="A145" s="5"/>
      <c r="B145" s="5"/>
      <c r="C145" s="6"/>
      <c r="D145" s="147"/>
      <c r="E145" s="22" t="s">
        <v>331</v>
      </c>
      <c r="F145" s="21"/>
      <c r="G145" s="21"/>
      <c r="H145" s="21"/>
      <c r="I145" s="127">
        <f>1000000-600000</f>
        <v>400000</v>
      </c>
      <c r="J145" s="167"/>
      <c r="K145" s="167"/>
      <c r="L145" s="167"/>
      <c r="M145" s="167"/>
      <c r="N145" s="4"/>
    </row>
    <row r="146" spans="1:14" s="70" customFormat="1" ht="55.5" customHeight="1">
      <c r="A146" s="5"/>
      <c r="B146" s="5"/>
      <c r="C146" s="6"/>
      <c r="D146" s="147"/>
      <c r="E146" s="22" t="s">
        <v>285</v>
      </c>
      <c r="F146" s="21">
        <v>988640</v>
      </c>
      <c r="G146" s="23">
        <v>53.3</v>
      </c>
      <c r="H146" s="23">
        <v>62180</v>
      </c>
      <c r="I146" s="127">
        <v>400000</v>
      </c>
      <c r="J146" s="167"/>
      <c r="K146" s="167"/>
      <c r="L146" s="167"/>
      <c r="M146" s="167"/>
      <c r="N146" s="4"/>
    </row>
    <row r="147" spans="1:14" s="70" customFormat="1" ht="60.75" customHeight="1">
      <c r="A147" s="5"/>
      <c r="B147" s="5"/>
      <c r="C147" s="6"/>
      <c r="D147" s="147"/>
      <c r="E147" s="22" t="s">
        <v>343</v>
      </c>
      <c r="F147" s="21"/>
      <c r="G147" s="23"/>
      <c r="H147" s="23"/>
      <c r="I147" s="136">
        <f>0+642441</f>
        <v>642441</v>
      </c>
      <c r="J147" s="167"/>
      <c r="K147" s="167"/>
      <c r="L147" s="167"/>
      <c r="M147" s="167"/>
      <c r="N147" s="4"/>
    </row>
    <row r="148" spans="1:14" s="70" customFormat="1" ht="55.5" customHeight="1">
      <c r="A148" s="5"/>
      <c r="B148" s="5"/>
      <c r="C148" s="6"/>
      <c r="D148" s="147"/>
      <c r="E148" s="45" t="s">
        <v>330</v>
      </c>
      <c r="F148" s="21"/>
      <c r="G148" s="21"/>
      <c r="H148" s="21"/>
      <c r="I148" s="127">
        <f>338405+50000+1991538</f>
        <v>2379943</v>
      </c>
      <c r="J148" s="167"/>
      <c r="K148" s="167"/>
      <c r="L148" s="167"/>
      <c r="M148" s="167"/>
      <c r="N148" s="4"/>
    </row>
    <row r="149" spans="1:13" ht="27" hidden="1">
      <c r="A149" s="5"/>
      <c r="B149" s="5"/>
      <c r="C149" s="6"/>
      <c r="D149" s="147"/>
      <c r="E149" s="22" t="s">
        <v>108</v>
      </c>
      <c r="F149" s="21"/>
      <c r="G149" s="21"/>
      <c r="H149" s="21"/>
      <c r="I149" s="127">
        <f>1000000-1000000</f>
        <v>0</v>
      </c>
      <c r="J149" s="167"/>
      <c r="K149" s="167"/>
      <c r="L149" s="167"/>
      <c r="M149" s="167"/>
    </row>
    <row r="150" spans="1:13" ht="27" hidden="1">
      <c r="A150" s="5"/>
      <c r="B150" s="5"/>
      <c r="C150" s="6"/>
      <c r="D150" s="147"/>
      <c r="E150" s="22" t="s">
        <v>208</v>
      </c>
      <c r="F150" s="21"/>
      <c r="G150" s="21"/>
      <c r="H150" s="21"/>
      <c r="I150" s="127">
        <f>1500000-1500000</f>
        <v>0</v>
      </c>
      <c r="J150" s="167"/>
      <c r="K150" s="167"/>
      <c r="L150" s="167"/>
      <c r="M150" s="167"/>
    </row>
    <row r="151" spans="1:14" s="71" customFormat="1" ht="65.25" customHeight="1">
      <c r="A151" s="5"/>
      <c r="B151" s="5"/>
      <c r="C151" s="6"/>
      <c r="D151" s="147"/>
      <c r="E151" s="22" t="s">
        <v>197</v>
      </c>
      <c r="F151" s="21">
        <v>203112</v>
      </c>
      <c r="G151" s="21">
        <v>4.9</v>
      </c>
      <c r="H151" s="21">
        <v>0</v>
      </c>
      <c r="I151" s="127">
        <v>193143</v>
      </c>
      <c r="J151" s="167"/>
      <c r="K151" s="167"/>
      <c r="L151" s="167"/>
      <c r="M151" s="167"/>
      <c r="N151" s="4"/>
    </row>
    <row r="152" spans="1:14" s="70" customFormat="1" ht="66.75" customHeight="1">
      <c r="A152" s="5"/>
      <c r="B152" s="5"/>
      <c r="C152" s="6"/>
      <c r="D152" s="147"/>
      <c r="E152" s="22" t="s">
        <v>292</v>
      </c>
      <c r="F152" s="21"/>
      <c r="G152" s="21"/>
      <c r="H152" s="21"/>
      <c r="I152" s="127">
        <v>10475</v>
      </c>
      <c r="J152" s="167"/>
      <c r="K152" s="167"/>
      <c r="L152" s="167"/>
      <c r="M152" s="167"/>
      <c r="N152" s="4"/>
    </row>
    <row r="153" spans="1:14" s="70" customFormat="1" ht="67.5" customHeight="1">
      <c r="A153" s="5"/>
      <c r="B153" s="5"/>
      <c r="C153" s="6"/>
      <c r="D153" s="147"/>
      <c r="E153" s="22" t="s">
        <v>293</v>
      </c>
      <c r="F153" s="21"/>
      <c r="G153" s="21"/>
      <c r="H153" s="21"/>
      <c r="I153" s="127">
        <v>10475</v>
      </c>
      <c r="J153" s="167"/>
      <c r="K153" s="167"/>
      <c r="L153" s="167"/>
      <c r="M153" s="167"/>
      <c r="N153" s="4"/>
    </row>
    <row r="154" spans="1:14" s="70" customFormat="1" ht="62.25" customHeight="1">
      <c r="A154" s="5"/>
      <c r="B154" s="5"/>
      <c r="C154" s="6"/>
      <c r="D154" s="147"/>
      <c r="E154" s="22" t="s">
        <v>294</v>
      </c>
      <c r="F154" s="21"/>
      <c r="G154" s="21"/>
      <c r="H154" s="21"/>
      <c r="I154" s="127">
        <v>10475</v>
      </c>
      <c r="J154" s="167"/>
      <c r="K154" s="167"/>
      <c r="L154" s="167"/>
      <c r="M154" s="167"/>
      <c r="N154" s="4"/>
    </row>
    <row r="155" spans="1:14" s="70" customFormat="1" ht="71.25" customHeight="1">
      <c r="A155" s="5"/>
      <c r="B155" s="5"/>
      <c r="C155" s="6"/>
      <c r="D155" s="147"/>
      <c r="E155" s="22" t="s">
        <v>295</v>
      </c>
      <c r="F155" s="21"/>
      <c r="G155" s="21"/>
      <c r="H155" s="21"/>
      <c r="I155" s="127">
        <v>10475</v>
      </c>
      <c r="J155" s="167"/>
      <c r="K155" s="167"/>
      <c r="L155" s="167"/>
      <c r="M155" s="167"/>
      <c r="N155" s="4"/>
    </row>
    <row r="156" spans="1:14" s="70" customFormat="1" ht="75" customHeight="1">
      <c r="A156" s="5"/>
      <c r="B156" s="5"/>
      <c r="C156" s="6"/>
      <c r="D156" s="147"/>
      <c r="E156" s="22" t="s">
        <v>296</v>
      </c>
      <c r="F156" s="21"/>
      <c r="G156" s="21"/>
      <c r="H156" s="21"/>
      <c r="I156" s="127">
        <v>33532</v>
      </c>
      <c r="J156" s="167"/>
      <c r="K156" s="167"/>
      <c r="L156" s="167"/>
      <c r="M156" s="167"/>
      <c r="N156" s="4"/>
    </row>
    <row r="157" spans="1:14" s="70" customFormat="1" ht="67.5" customHeight="1">
      <c r="A157" s="5"/>
      <c r="B157" s="5"/>
      <c r="C157" s="6"/>
      <c r="D157" s="147"/>
      <c r="E157" s="22" t="s">
        <v>297</v>
      </c>
      <c r="F157" s="21"/>
      <c r="G157" s="21"/>
      <c r="H157" s="21"/>
      <c r="I157" s="127">
        <v>10475</v>
      </c>
      <c r="J157" s="167"/>
      <c r="K157" s="167"/>
      <c r="L157" s="167"/>
      <c r="M157" s="167"/>
      <c r="N157" s="4"/>
    </row>
    <row r="158" spans="1:14" s="70" customFormat="1" ht="65.25" customHeight="1">
      <c r="A158" s="5"/>
      <c r="B158" s="5"/>
      <c r="C158" s="6"/>
      <c r="D158" s="147"/>
      <c r="E158" s="22" t="s">
        <v>298</v>
      </c>
      <c r="F158" s="21"/>
      <c r="G158" s="21"/>
      <c r="H158" s="21"/>
      <c r="I158" s="127">
        <v>10475</v>
      </c>
      <c r="J158" s="167"/>
      <c r="K158" s="167"/>
      <c r="L158" s="167"/>
      <c r="M158" s="167"/>
      <c r="N158" s="4"/>
    </row>
    <row r="159" spans="1:14" s="70" customFormat="1" ht="69.75" customHeight="1">
      <c r="A159" s="5"/>
      <c r="B159" s="5"/>
      <c r="C159" s="6"/>
      <c r="D159" s="147"/>
      <c r="E159" s="22" t="s">
        <v>299</v>
      </c>
      <c r="F159" s="21"/>
      <c r="G159" s="21"/>
      <c r="H159" s="21"/>
      <c r="I159" s="127">
        <v>10475</v>
      </c>
      <c r="J159" s="167"/>
      <c r="K159" s="167"/>
      <c r="L159" s="167"/>
      <c r="M159" s="167"/>
      <c r="N159" s="4"/>
    </row>
    <row r="160" spans="1:14" s="12" customFormat="1" ht="58.5" customHeight="1">
      <c r="A160" s="31" t="s">
        <v>271</v>
      </c>
      <c r="B160" s="31">
        <v>6330</v>
      </c>
      <c r="C160" s="125" t="s">
        <v>28</v>
      </c>
      <c r="D160" s="156" t="s">
        <v>272</v>
      </c>
      <c r="E160" s="19"/>
      <c r="F160" s="20"/>
      <c r="G160" s="20"/>
      <c r="H160" s="20"/>
      <c r="I160" s="132">
        <f>I162</f>
        <v>300000</v>
      </c>
      <c r="J160" s="167"/>
      <c r="K160" s="167"/>
      <c r="L160" s="167"/>
      <c r="M160" s="167"/>
      <c r="N160" s="4"/>
    </row>
    <row r="161" spans="1:13" ht="16.5" customHeight="1">
      <c r="A161" s="5"/>
      <c r="B161" s="5"/>
      <c r="C161" s="6"/>
      <c r="D161" s="151" t="s">
        <v>137</v>
      </c>
      <c r="E161" s="22"/>
      <c r="F161" s="21"/>
      <c r="G161" s="21"/>
      <c r="H161" s="21"/>
      <c r="I161" s="114"/>
      <c r="J161" s="167"/>
      <c r="K161" s="167"/>
      <c r="L161" s="167"/>
      <c r="M161" s="167"/>
    </row>
    <row r="162" spans="1:13" ht="84" customHeight="1">
      <c r="A162" s="5"/>
      <c r="B162" s="5"/>
      <c r="C162" s="6"/>
      <c r="D162" s="147"/>
      <c r="E162" s="22" t="s">
        <v>273</v>
      </c>
      <c r="F162" s="21"/>
      <c r="G162" s="21"/>
      <c r="H162" s="21"/>
      <c r="I162" s="127">
        <f>600000-300000</f>
        <v>300000</v>
      </c>
      <c r="J162" s="167"/>
      <c r="K162" s="167"/>
      <c r="L162" s="167"/>
      <c r="M162" s="167"/>
    </row>
    <row r="163" spans="1:13" ht="63.75" customHeight="1" hidden="1">
      <c r="A163" s="5" t="s">
        <v>75</v>
      </c>
      <c r="B163" s="5">
        <v>6350</v>
      </c>
      <c r="C163" s="6" t="s">
        <v>33</v>
      </c>
      <c r="D163" s="147" t="s">
        <v>76</v>
      </c>
      <c r="E163" s="22"/>
      <c r="F163" s="21"/>
      <c r="G163" s="21"/>
      <c r="H163" s="21"/>
      <c r="I163" s="114">
        <f>I165+I166</f>
        <v>0</v>
      </c>
      <c r="J163" s="167"/>
      <c r="K163" s="167"/>
      <c r="L163" s="167"/>
      <c r="M163" s="167"/>
    </row>
    <row r="164" spans="1:13" ht="16.5" customHeight="1" hidden="1">
      <c r="A164" s="5"/>
      <c r="B164" s="5"/>
      <c r="C164" s="6"/>
      <c r="D164" s="151" t="s">
        <v>137</v>
      </c>
      <c r="E164" s="22"/>
      <c r="F164" s="21"/>
      <c r="G164" s="21"/>
      <c r="H164" s="21"/>
      <c r="I164" s="114"/>
      <c r="J164" s="167"/>
      <c r="K164" s="167"/>
      <c r="L164" s="167"/>
      <c r="M164" s="167"/>
    </row>
    <row r="165" spans="1:13" ht="90.75" customHeight="1" hidden="1">
      <c r="A165" s="5"/>
      <c r="B165" s="5"/>
      <c r="C165" s="6"/>
      <c r="D165" s="147"/>
      <c r="E165" s="22" t="s">
        <v>107</v>
      </c>
      <c r="F165" s="21"/>
      <c r="G165" s="21"/>
      <c r="H165" s="21"/>
      <c r="I165" s="127">
        <f>500000-500000</f>
        <v>0</v>
      </c>
      <c r="J165" s="167"/>
      <c r="K165" s="167"/>
      <c r="L165" s="167"/>
      <c r="M165" s="167"/>
    </row>
    <row r="166" spans="1:13" ht="48" customHeight="1" hidden="1">
      <c r="A166" s="5"/>
      <c r="B166" s="5"/>
      <c r="C166" s="6"/>
      <c r="D166" s="147"/>
      <c r="E166" s="22" t="s">
        <v>231</v>
      </c>
      <c r="F166" s="21"/>
      <c r="G166" s="21"/>
      <c r="H166" s="21"/>
      <c r="I166" s="114">
        <v>0</v>
      </c>
      <c r="J166" s="167"/>
      <c r="K166" s="167"/>
      <c r="L166" s="167"/>
      <c r="M166" s="167"/>
    </row>
    <row r="167" spans="1:14" s="12" customFormat="1" ht="62.25" customHeight="1">
      <c r="A167" s="31">
        <v>4716360</v>
      </c>
      <c r="B167" s="31">
        <v>6360</v>
      </c>
      <c r="C167" s="125" t="s">
        <v>39</v>
      </c>
      <c r="D167" s="156" t="s">
        <v>147</v>
      </c>
      <c r="E167" s="19"/>
      <c r="F167" s="20"/>
      <c r="G167" s="20"/>
      <c r="H167" s="20"/>
      <c r="I167" s="132">
        <f>I169</f>
        <v>983400</v>
      </c>
      <c r="J167" s="167"/>
      <c r="K167" s="167"/>
      <c r="L167" s="167"/>
      <c r="M167" s="167"/>
      <c r="N167" s="4"/>
    </row>
    <row r="168" spans="1:13" ht="16.5" customHeight="1">
      <c r="A168" s="5"/>
      <c r="B168" s="5"/>
      <c r="C168" s="6"/>
      <c r="D168" s="151" t="s">
        <v>137</v>
      </c>
      <c r="E168" s="22"/>
      <c r="F168" s="21"/>
      <c r="G168" s="21"/>
      <c r="H168" s="21"/>
      <c r="I168" s="114"/>
      <c r="J168" s="167"/>
      <c r="K168" s="167"/>
      <c r="L168" s="167"/>
      <c r="M168" s="167"/>
    </row>
    <row r="169" spans="1:13" ht="99" customHeight="1">
      <c r="A169" s="5"/>
      <c r="B169" s="5"/>
      <c r="C169" s="6"/>
      <c r="D169" s="147"/>
      <c r="E169" s="22" t="s">
        <v>148</v>
      </c>
      <c r="F169" s="21"/>
      <c r="G169" s="21"/>
      <c r="H169" s="21"/>
      <c r="I169" s="127">
        <f>0+1146000-117600-45000</f>
        <v>983400</v>
      </c>
      <c r="J169" s="167"/>
      <c r="K169" s="167"/>
      <c r="L169" s="167"/>
      <c r="M169" s="167"/>
    </row>
    <row r="170" spans="1:13" ht="34.5" customHeight="1">
      <c r="A170" s="5">
        <v>4716650</v>
      </c>
      <c r="B170" s="5">
        <v>6650</v>
      </c>
      <c r="C170" s="60" t="s">
        <v>230</v>
      </c>
      <c r="D170" s="109" t="s">
        <v>229</v>
      </c>
      <c r="E170" s="22" t="s">
        <v>12</v>
      </c>
      <c r="F170" s="21"/>
      <c r="G170" s="21"/>
      <c r="H170" s="21"/>
      <c r="I170" s="114">
        <f>50000+190000-50000-94500-45500</f>
        <v>50000</v>
      </c>
      <c r="J170" s="167"/>
      <c r="K170" s="167"/>
      <c r="L170" s="167"/>
      <c r="M170" s="167"/>
    </row>
    <row r="171" spans="1:13" ht="38.25" customHeight="1">
      <c r="A171" s="5" t="s">
        <v>77</v>
      </c>
      <c r="B171" s="5">
        <v>7470</v>
      </c>
      <c r="C171" s="6" t="s">
        <v>8</v>
      </c>
      <c r="D171" s="147" t="s">
        <v>117</v>
      </c>
      <c r="E171" s="22" t="s">
        <v>256</v>
      </c>
      <c r="F171" s="21"/>
      <c r="G171" s="21"/>
      <c r="H171" s="21"/>
      <c r="I171" s="126">
        <f>I173+I176+I181+I186+I188+I190+I192+I197+I199</f>
        <v>92369270.49000001</v>
      </c>
      <c r="J171" s="167"/>
      <c r="K171" s="167"/>
      <c r="L171" s="167"/>
      <c r="M171" s="167"/>
    </row>
    <row r="172" spans="1:13" ht="13.5">
      <c r="A172" s="5"/>
      <c r="B172" s="5"/>
      <c r="C172" s="6"/>
      <c r="D172" s="151" t="s">
        <v>137</v>
      </c>
      <c r="E172" s="22"/>
      <c r="F172" s="21"/>
      <c r="G172" s="21"/>
      <c r="H172" s="21"/>
      <c r="I172" s="114"/>
      <c r="J172" s="167"/>
      <c r="K172" s="167"/>
      <c r="L172" s="167"/>
      <c r="M172" s="167"/>
    </row>
    <row r="173" spans="1:14" s="69" customFormat="1" ht="20.25" customHeight="1">
      <c r="A173" s="65"/>
      <c r="B173" s="65"/>
      <c r="C173" s="66"/>
      <c r="D173" s="160"/>
      <c r="E173" s="67" t="s">
        <v>144</v>
      </c>
      <c r="F173" s="68"/>
      <c r="G173" s="68"/>
      <c r="H173" s="68"/>
      <c r="I173" s="113">
        <f>I174+I175</f>
        <v>22022062</v>
      </c>
      <c r="J173" s="167"/>
      <c r="K173" s="167"/>
      <c r="L173" s="167"/>
      <c r="M173" s="167"/>
      <c r="N173" s="4"/>
    </row>
    <row r="174" spans="1:13" ht="45.75" customHeight="1">
      <c r="A174" s="5"/>
      <c r="B174" s="5"/>
      <c r="C174" s="6"/>
      <c r="D174" s="147"/>
      <c r="E174" s="22" t="s">
        <v>150</v>
      </c>
      <c r="F174" s="21"/>
      <c r="G174" s="21"/>
      <c r="H174" s="21"/>
      <c r="I174" s="127">
        <v>9000000</v>
      </c>
      <c r="J174" s="167"/>
      <c r="K174" s="167"/>
      <c r="L174" s="167"/>
      <c r="M174" s="167"/>
    </row>
    <row r="175" spans="1:13" ht="87.75" customHeight="1">
      <c r="A175" s="5"/>
      <c r="B175" s="5"/>
      <c r="C175" s="6"/>
      <c r="D175" s="147"/>
      <c r="E175" s="22" t="s">
        <v>318</v>
      </c>
      <c r="F175" s="21"/>
      <c r="G175" s="21"/>
      <c r="H175" s="21"/>
      <c r="I175" s="127">
        <f>0+10000000-4000000+22062+7000000</f>
        <v>13022062</v>
      </c>
      <c r="J175" s="167"/>
      <c r="K175" s="167"/>
      <c r="L175" s="167"/>
      <c r="M175" s="167"/>
    </row>
    <row r="176" spans="1:14" s="69" customFormat="1" ht="20.25" customHeight="1">
      <c r="A176" s="65"/>
      <c r="B176" s="65"/>
      <c r="C176" s="66"/>
      <c r="D176" s="160"/>
      <c r="E176" s="67" t="s">
        <v>145</v>
      </c>
      <c r="F176" s="68"/>
      <c r="G176" s="68"/>
      <c r="H176" s="68"/>
      <c r="I176" s="113">
        <f>I177+I180+I179+I178</f>
        <v>37045787</v>
      </c>
      <c r="J176" s="167"/>
      <c r="K176" s="167"/>
      <c r="L176" s="167"/>
      <c r="M176" s="167"/>
      <c r="N176" s="4"/>
    </row>
    <row r="177" spans="1:14" s="112" customFormat="1" ht="75" customHeight="1">
      <c r="A177" s="110"/>
      <c r="B177" s="110"/>
      <c r="C177" s="111"/>
      <c r="D177" s="161"/>
      <c r="E177" s="90" t="s">
        <v>319</v>
      </c>
      <c r="F177" s="68"/>
      <c r="G177" s="68"/>
      <c r="H177" s="68"/>
      <c r="I177" s="138">
        <f>0+500000+20000000+4500000+12045787-4000000+4000000</f>
        <v>37045787</v>
      </c>
      <c r="J177" s="167"/>
      <c r="K177" s="167"/>
      <c r="L177" s="167"/>
      <c r="M177" s="167"/>
      <c r="N177" s="4"/>
    </row>
    <row r="178" spans="1:14" s="69" customFormat="1" ht="41.25" hidden="1">
      <c r="A178" s="65"/>
      <c r="B178" s="65"/>
      <c r="C178" s="66"/>
      <c r="D178" s="160"/>
      <c r="E178" s="89" t="s">
        <v>226</v>
      </c>
      <c r="F178" s="68"/>
      <c r="G178" s="68"/>
      <c r="H178" s="68"/>
      <c r="I178" s="138">
        <f>500000-500000</f>
        <v>0</v>
      </c>
      <c r="J178" s="167"/>
      <c r="K178" s="167"/>
      <c r="L178" s="167"/>
      <c r="M178" s="167"/>
      <c r="N178" s="4"/>
    </row>
    <row r="179" spans="1:14" s="69" customFormat="1" ht="27" hidden="1">
      <c r="A179" s="65"/>
      <c r="B179" s="65"/>
      <c r="C179" s="66"/>
      <c r="D179" s="160"/>
      <c r="E179" s="90" t="s">
        <v>224</v>
      </c>
      <c r="F179" s="68"/>
      <c r="G179" s="68"/>
      <c r="H179" s="68"/>
      <c r="I179" s="138">
        <f>20000000-20000000</f>
        <v>0</v>
      </c>
      <c r="J179" s="167"/>
      <c r="K179" s="167"/>
      <c r="L179" s="167"/>
      <c r="M179" s="167"/>
      <c r="N179" s="4"/>
    </row>
    <row r="180" spans="1:13" ht="27" hidden="1">
      <c r="A180" s="5"/>
      <c r="B180" s="5"/>
      <c r="C180" s="6"/>
      <c r="D180" s="147"/>
      <c r="E180" s="7" t="s">
        <v>225</v>
      </c>
      <c r="F180" s="21"/>
      <c r="G180" s="21"/>
      <c r="H180" s="21"/>
      <c r="I180" s="127">
        <f>5000000-5000000</f>
        <v>0</v>
      </c>
      <c r="J180" s="167"/>
      <c r="K180" s="167"/>
      <c r="L180" s="167"/>
      <c r="M180" s="167"/>
    </row>
    <row r="181" spans="1:14" s="69" customFormat="1" ht="27" customHeight="1">
      <c r="A181" s="65"/>
      <c r="B181" s="65"/>
      <c r="C181" s="66"/>
      <c r="D181" s="160"/>
      <c r="E181" s="91" t="s">
        <v>146</v>
      </c>
      <c r="F181" s="68"/>
      <c r="G181" s="68"/>
      <c r="H181" s="68"/>
      <c r="I181" s="113">
        <f>I182+I183+I184+I185</f>
        <v>4726000</v>
      </c>
      <c r="J181" s="167"/>
      <c r="K181" s="167"/>
      <c r="L181" s="167"/>
      <c r="M181" s="167"/>
      <c r="N181" s="4"/>
    </row>
    <row r="182" spans="1:13" ht="108" customHeight="1">
      <c r="A182" s="5"/>
      <c r="B182" s="5"/>
      <c r="C182" s="6"/>
      <c r="D182" s="147"/>
      <c r="E182" s="7" t="s">
        <v>320</v>
      </c>
      <c r="F182" s="21"/>
      <c r="G182" s="21"/>
      <c r="H182" s="21"/>
      <c r="I182" s="127">
        <f>1690000+2000000+1500000-200000-200000-395000-1000000+536000</f>
        <v>3931000</v>
      </c>
      <c r="J182" s="167"/>
      <c r="K182" s="167"/>
      <c r="L182" s="167"/>
      <c r="M182" s="167"/>
    </row>
    <row r="183" spans="1:13" ht="66.75" customHeight="1">
      <c r="A183" s="5"/>
      <c r="B183" s="5"/>
      <c r="C183" s="6"/>
      <c r="D183" s="147"/>
      <c r="E183" s="7" t="s">
        <v>259</v>
      </c>
      <c r="F183" s="21"/>
      <c r="G183" s="21"/>
      <c r="H183" s="21"/>
      <c r="I183" s="127">
        <f>0+200000</f>
        <v>200000</v>
      </c>
      <c r="J183" s="167"/>
      <c r="K183" s="167"/>
      <c r="L183" s="167"/>
      <c r="M183" s="167"/>
    </row>
    <row r="184" spans="1:13" ht="36.75" customHeight="1">
      <c r="A184" s="5"/>
      <c r="B184" s="5"/>
      <c r="C184" s="6"/>
      <c r="D184" s="147"/>
      <c r="E184" s="7" t="s">
        <v>260</v>
      </c>
      <c r="F184" s="21"/>
      <c r="G184" s="21"/>
      <c r="H184" s="21"/>
      <c r="I184" s="127">
        <f>0+200000</f>
        <v>200000</v>
      </c>
      <c r="J184" s="167"/>
      <c r="K184" s="167"/>
      <c r="L184" s="167"/>
      <c r="M184" s="167"/>
    </row>
    <row r="185" spans="1:13" ht="48.75" customHeight="1">
      <c r="A185" s="5"/>
      <c r="B185" s="5"/>
      <c r="C185" s="6"/>
      <c r="D185" s="147"/>
      <c r="E185" s="7" t="s">
        <v>261</v>
      </c>
      <c r="F185" s="21"/>
      <c r="G185" s="21"/>
      <c r="H185" s="21"/>
      <c r="I185" s="127">
        <f>0+395000</f>
        <v>395000</v>
      </c>
      <c r="J185" s="167"/>
      <c r="K185" s="167"/>
      <c r="L185" s="167"/>
      <c r="M185" s="167"/>
    </row>
    <row r="186" spans="1:14" s="69" customFormat="1" ht="38.25" customHeight="1">
      <c r="A186" s="65"/>
      <c r="B186" s="65"/>
      <c r="C186" s="66"/>
      <c r="D186" s="160"/>
      <c r="E186" s="91" t="s">
        <v>340</v>
      </c>
      <c r="F186" s="68"/>
      <c r="G186" s="68"/>
      <c r="H186" s="68"/>
      <c r="I186" s="113">
        <f>I187</f>
        <v>2000000</v>
      </c>
      <c r="J186" s="167"/>
      <c r="K186" s="167"/>
      <c r="L186" s="167"/>
      <c r="M186" s="167"/>
      <c r="N186" s="4"/>
    </row>
    <row r="187" spans="1:13" ht="105.75" customHeight="1">
      <c r="A187" s="5"/>
      <c r="B187" s="5"/>
      <c r="C187" s="6"/>
      <c r="D187" s="147"/>
      <c r="E187" s="92" t="s">
        <v>336</v>
      </c>
      <c r="F187" s="21"/>
      <c r="G187" s="21"/>
      <c r="H187" s="21"/>
      <c r="I187" s="127">
        <f>500000+900000+600000</f>
        <v>2000000</v>
      </c>
      <c r="J187" s="167"/>
      <c r="K187" s="167"/>
      <c r="L187" s="167"/>
      <c r="M187" s="167"/>
    </row>
    <row r="188" spans="1:14" s="69" customFormat="1" ht="21" customHeight="1">
      <c r="A188" s="65"/>
      <c r="B188" s="65"/>
      <c r="C188" s="66"/>
      <c r="D188" s="160"/>
      <c r="E188" s="91" t="s">
        <v>167</v>
      </c>
      <c r="F188" s="68"/>
      <c r="G188" s="68"/>
      <c r="H188" s="68"/>
      <c r="I188" s="113">
        <f>I189</f>
        <v>200000</v>
      </c>
      <c r="J188" s="167"/>
      <c r="K188" s="167"/>
      <c r="L188" s="167"/>
      <c r="M188" s="167"/>
      <c r="N188" s="4"/>
    </row>
    <row r="189" spans="1:13" ht="37.5" customHeight="1">
      <c r="A189" s="5"/>
      <c r="B189" s="5"/>
      <c r="C189" s="6"/>
      <c r="D189" s="147"/>
      <c r="E189" s="90" t="s">
        <v>168</v>
      </c>
      <c r="F189" s="21"/>
      <c r="G189" s="21"/>
      <c r="H189" s="21"/>
      <c r="I189" s="127">
        <v>200000</v>
      </c>
      <c r="J189" s="167"/>
      <c r="K189" s="167"/>
      <c r="L189" s="167"/>
      <c r="M189" s="167"/>
    </row>
    <row r="190" spans="1:14" s="112" customFormat="1" ht="18" customHeight="1">
      <c r="A190" s="110"/>
      <c r="B190" s="110"/>
      <c r="C190" s="111"/>
      <c r="D190" s="161"/>
      <c r="E190" s="91" t="s">
        <v>262</v>
      </c>
      <c r="F190" s="68"/>
      <c r="G190" s="68"/>
      <c r="H190" s="68"/>
      <c r="I190" s="113">
        <f>I191</f>
        <v>100000</v>
      </c>
      <c r="J190" s="167"/>
      <c r="K190" s="167"/>
      <c r="L190" s="167"/>
      <c r="M190" s="167"/>
      <c r="N190" s="4"/>
    </row>
    <row r="191" spans="1:14" s="70" customFormat="1" ht="91.5" customHeight="1">
      <c r="A191" s="76"/>
      <c r="B191" s="76"/>
      <c r="C191" s="77"/>
      <c r="D191" s="157"/>
      <c r="E191" s="90" t="s">
        <v>263</v>
      </c>
      <c r="F191" s="21"/>
      <c r="G191" s="21"/>
      <c r="H191" s="21"/>
      <c r="I191" s="127">
        <f>0+100000</f>
        <v>100000</v>
      </c>
      <c r="J191" s="167"/>
      <c r="K191" s="167"/>
      <c r="L191" s="167"/>
      <c r="M191" s="167"/>
      <c r="N191" s="4"/>
    </row>
    <row r="192" spans="1:14" s="69" customFormat="1" ht="33.75" customHeight="1">
      <c r="A192" s="65"/>
      <c r="B192" s="65"/>
      <c r="C192" s="66"/>
      <c r="D192" s="160"/>
      <c r="E192" s="91" t="s">
        <v>149</v>
      </c>
      <c r="F192" s="68"/>
      <c r="G192" s="68"/>
      <c r="H192" s="68"/>
      <c r="I192" s="113">
        <f>I193</f>
        <v>25919421.490000006</v>
      </c>
      <c r="J192" s="167"/>
      <c r="K192" s="167"/>
      <c r="L192" s="167"/>
      <c r="M192" s="167"/>
      <c r="N192" s="4"/>
    </row>
    <row r="193" spans="1:13" ht="114.75" customHeight="1">
      <c r="A193" s="5"/>
      <c r="B193" s="5"/>
      <c r="C193" s="6"/>
      <c r="D193" s="147"/>
      <c r="E193" s="90" t="s">
        <v>227</v>
      </c>
      <c r="F193" s="21"/>
      <c r="G193" s="21"/>
      <c r="H193" s="21"/>
      <c r="I193" s="127">
        <f>26600000+748946+267184.67+3077387.94+36000+150000+8063.76-183000+11350+16957.5-2000000+178200-1000000-36000+2850+41481.62-2000000-3000000+3000000</f>
        <v>25919421.490000006</v>
      </c>
      <c r="J193" s="167"/>
      <c r="K193" s="167"/>
      <c r="L193" s="167"/>
      <c r="M193" s="167"/>
    </row>
    <row r="194" spans="1:13" s="85" customFormat="1" ht="39" customHeight="1">
      <c r="A194" s="169"/>
      <c r="B194" s="169"/>
      <c r="C194" s="170"/>
      <c r="D194" s="151"/>
      <c r="E194" s="115" t="s">
        <v>323</v>
      </c>
      <c r="F194" s="73"/>
      <c r="G194" s="73"/>
      <c r="H194" s="73"/>
      <c r="I194" s="127">
        <f>I196</f>
        <v>10500</v>
      </c>
      <c r="J194" s="171"/>
      <c r="K194" s="171"/>
      <c r="L194" s="171"/>
      <c r="M194" s="171"/>
    </row>
    <row r="195" spans="1:13" ht="13.5">
      <c r="A195" s="5"/>
      <c r="B195" s="5"/>
      <c r="C195" s="6"/>
      <c r="D195" s="151" t="s">
        <v>137</v>
      </c>
      <c r="E195" s="102"/>
      <c r="F195" s="21"/>
      <c r="G195" s="21"/>
      <c r="H195" s="21"/>
      <c r="I195" s="127"/>
      <c r="J195" s="167"/>
      <c r="K195" s="167"/>
      <c r="L195" s="167"/>
      <c r="M195" s="167"/>
    </row>
    <row r="196" spans="1:13" ht="200.25" customHeight="1">
      <c r="A196" s="5"/>
      <c r="B196" s="5"/>
      <c r="C196" s="6"/>
      <c r="D196" s="147"/>
      <c r="E196" s="22" t="s">
        <v>264</v>
      </c>
      <c r="F196" s="21"/>
      <c r="G196" s="21"/>
      <c r="H196" s="21"/>
      <c r="I196" s="127">
        <v>10500</v>
      </c>
      <c r="J196" s="167"/>
      <c r="K196" s="167"/>
      <c r="L196" s="167"/>
      <c r="M196" s="167"/>
    </row>
    <row r="197" spans="1:13" ht="27" customHeight="1">
      <c r="A197" s="5"/>
      <c r="B197" s="5"/>
      <c r="C197" s="6"/>
      <c r="D197" s="147"/>
      <c r="E197" s="101" t="s">
        <v>232</v>
      </c>
      <c r="F197" s="21"/>
      <c r="G197" s="21"/>
      <c r="H197" s="21"/>
      <c r="I197" s="113">
        <f>I198</f>
        <v>306000</v>
      </c>
      <c r="J197" s="167"/>
      <c r="K197" s="167"/>
      <c r="L197" s="167"/>
      <c r="M197" s="167"/>
    </row>
    <row r="198" spans="1:13" ht="82.5" customHeight="1">
      <c r="A198" s="5"/>
      <c r="B198" s="5"/>
      <c r="C198" s="6"/>
      <c r="D198" s="147"/>
      <c r="E198" s="90" t="s">
        <v>337</v>
      </c>
      <c r="F198" s="21"/>
      <c r="G198" s="21"/>
      <c r="H198" s="21"/>
      <c r="I198" s="127">
        <f>56000+250000</f>
        <v>306000</v>
      </c>
      <c r="J198" s="167"/>
      <c r="K198" s="167"/>
      <c r="L198" s="167"/>
      <c r="M198" s="167"/>
    </row>
    <row r="199" spans="1:13" ht="36.75" customHeight="1">
      <c r="A199" s="5"/>
      <c r="B199" s="5"/>
      <c r="C199" s="6"/>
      <c r="D199" s="147"/>
      <c r="E199" s="91" t="s">
        <v>339</v>
      </c>
      <c r="F199" s="21"/>
      <c r="G199" s="21"/>
      <c r="H199" s="21"/>
      <c r="I199" s="113">
        <f>I200</f>
        <v>50000</v>
      </c>
      <c r="J199" s="167"/>
      <c r="K199" s="167"/>
      <c r="L199" s="167"/>
      <c r="M199" s="167"/>
    </row>
    <row r="200" spans="1:13" ht="101.25" customHeight="1">
      <c r="A200" s="5"/>
      <c r="B200" s="5"/>
      <c r="C200" s="6"/>
      <c r="D200" s="147"/>
      <c r="E200" s="90" t="s">
        <v>338</v>
      </c>
      <c r="F200" s="21"/>
      <c r="G200" s="21"/>
      <c r="H200" s="21"/>
      <c r="I200" s="127">
        <v>50000</v>
      </c>
      <c r="J200" s="167"/>
      <c r="K200" s="167"/>
      <c r="L200" s="167"/>
      <c r="M200" s="167"/>
    </row>
    <row r="201" spans="1:13" ht="66" customHeight="1">
      <c r="A201" s="5" t="s">
        <v>78</v>
      </c>
      <c r="B201" s="5">
        <v>8800</v>
      </c>
      <c r="C201" s="6" t="s">
        <v>79</v>
      </c>
      <c r="D201" s="147" t="s">
        <v>80</v>
      </c>
      <c r="E201" s="90" t="s">
        <v>310</v>
      </c>
      <c r="F201" s="21"/>
      <c r="G201" s="21"/>
      <c r="H201" s="21"/>
      <c r="I201" s="114">
        <f>I204+I205</f>
        <v>40500000</v>
      </c>
      <c r="J201" s="167"/>
      <c r="K201" s="167"/>
      <c r="L201" s="167"/>
      <c r="M201" s="167"/>
    </row>
    <row r="202" spans="1:13" ht="14.25" customHeight="1">
      <c r="A202" s="5"/>
      <c r="B202" s="5"/>
      <c r="C202" s="6"/>
      <c r="D202" s="151" t="s">
        <v>137</v>
      </c>
      <c r="E202" s="90"/>
      <c r="F202" s="21"/>
      <c r="G202" s="21"/>
      <c r="H202" s="21"/>
      <c r="I202" s="114"/>
      <c r="J202" s="167"/>
      <c r="K202" s="167"/>
      <c r="L202" s="167"/>
      <c r="M202" s="167"/>
    </row>
    <row r="203" spans="1:13" ht="33.75" customHeight="1" hidden="1">
      <c r="A203" s="5"/>
      <c r="B203" s="5"/>
      <c r="C203" s="6"/>
      <c r="D203" s="147"/>
      <c r="E203" s="116" t="s">
        <v>102</v>
      </c>
      <c r="F203" s="21"/>
      <c r="G203" s="21"/>
      <c r="H203" s="21"/>
      <c r="I203" s="127">
        <f>40000000-40000000</f>
        <v>0</v>
      </c>
      <c r="J203" s="167"/>
      <c r="K203" s="167"/>
      <c r="L203" s="167"/>
      <c r="M203" s="167"/>
    </row>
    <row r="204" spans="1:43" ht="40.5" customHeight="1">
      <c r="A204" s="5"/>
      <c r="B204" s="5"/>
      <c r="C204" s="6"/>
      <c r="D204" s="147"/>
      <c r="E204" s="116" t="s">
        <v>103</v>
      </c>
      <c r="F204" s="21"/>
      <c r="G204" s="21"/>
      <c r="H204" s="21"/>
      <c r="I204" s="127">
        <f>20000000+20000000</f>
        <v>40000000</v>
      </c>
      <c r="J204" s="167"/>
      <c r="K204" s="167"/>
      <c r="L204" s="167"/>
      <c r="M204" s="167"/>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row>
    <row r="205" spans="1:13" ht="28.5" customHeight="1">
      <c r="A205" s="78"/>
      <c r="B205" s="78"/>
      <c r="C205" s="82"/>
      <c r="D205" s="155"/>
      <c r="E205" s="131" t="s">
        <v>309</v>
      </c>
      <c r="F205" s="23"/>
      <c r="G205" s="23"/>
      <c r="H205" s="23"/>
      <c r="I205" s="136">
        <f>2000000-1500000</f>
        <v>500000</v>
      </c>
      <c r="J205" s="167"/>
      <c r="K205" s="167"/>
      <c r="L205" s="167"/>
      <c r="M205" s="167"/>
    </row>
    <row r="206" spans="1:43" s="11" customFormat="1" ht="31.5" customHeight="1">
      <c r="A206" s="34" t="s">
        <v>81</v>
      </c>
      <c r="B206" s="35"/>
      <c r="C206" s="36"/>
      <c r="D206" s="148" t="s">
        <v>82</v>
      </c>
      <c r="E206" s="93"/>
      <c r="F206" s="16"/>
      <c r="G206" s="16"/>
      <c r="H206" s="16"/>
      <c r="I206" s="118">
        <f>I207</f>
        <v>369480</v>
      </c>
      <c r="J206" s="167"/>
      <c r="K206" s="167"/>
      <c r="L206" s="167"/>
      <c r="M206" s="167"/>
      <c r="N206" s="4"/>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s="10" customFormat="1" ht="36.75" customHeight="1">
      <c r="A207" s="37" t="s">
        <v>83</v>
      </c>
      <c r="B207" s="38"/>
      <c r="C207" s="39"/>
      <c r="D207" s="149" t="s">
        <v>132</v>
      </c>
      <c r="E207" s="94"/>
      <c r="F207" s="18"/>
      <c r="G207" s="18"/>
      <c r="H207" s="18"/>
      <c r="I207" s="117">
        <f>I208+I209</f>
        <v>369480</v>
      </c>
      <c r="J207" s="167"/>
      <c r="K207" s="167"/>
      <c r="L207" s="167"/>
      <c r="M207" s="167"/>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row>
    <row r="208" spans="1:13" ht="38.25" customHeight="1">
      <c r="A208" s="5" t="s">
        <v>84</v>
      </c>
      <c r="B208" s="5">
        <v>6430</v>
      </c>
      <c r="C208" s="6" t="s">
        <v>85</v>
      </c>
      <c r="D208" s="147" t="s">
        <v>86</v>
      </c>
      <c r="E208" s="92" t="s">
        <v>141</v>
      </c>
      <c r="F208" s="23"/>
      <c r="G208" s="23"/>
      <c r="H208" s="23"/>
      <c r="I208" s="126">
        <f>1500000-1234000</f>
        <v>266000</v>
      </c>
      <c r="J208" s="167"/>
      <c r="K208" s="167"/>
      <c r="L208" s="167"/>
      <c r="M208" s="167"/>
    </row>
    <row r="209" spans="1:13" ht="40.5" customHeight="1">
      <c r="A209" s="5" t="s">
        <v>87</v>
      </c>
      <c r="B209" s="5">
        <v>7470</v>
      </c>
      <c r="C209" s="6" t="s">
        <v>8</v>
      </c>
      <c r="D209" s="147" t="s">
        <v>117</v>
      </c>
      <c r="E209" s="22" t="s">
        <v>256</v>
      </c>
      <c r="F209" s="75"/>
      <c r="G209" s="75"/>
      <c r="H209" s="75"/>
      <c r="I209" s="126">
        <f>I211</f>
        <v>103480</v>
      </c>
      <c r="J209" s="167"/>
      <c r="K209" s="167"/>
      <c r="L209" s="167"/>
      <c r="M209" s="167"/>
    </row>
    <row r="210" spans="1:13" ht="15" customHeight="1">
      <c r="A210" s="5"/>
      <c r="B210" s="5"/>
      <c r="C210" s="6"/>
      <c r="D210" s="151" t="s">
        <v>137</v>
      </c>
      <c r="E210" s="90"/>
      <c r="F210" s="21"/>
      <c r="G210" s="21"/>
      <c r="H210" s="21"/>
      <c r="I210" s="114"/>
      <c r="J210" s="167"/>
      <c r="K210" s="167"/>
      <c r="L210" s="167"/>
      <c r="M210" s="167"/>
    </row>
    <row r="211" spans="1:13" ht="36" customHeight="1">
      <c r="A211" s="5"/>
      <c r="B211" s="5"/>
      <c r="C211" s="6"/>
      <c r="D211" s="147"/>
      <c r="E211" s="95" t="s">
        <v>248</v>
      </c>
      <c r="F211" s="75"/>
      <c r="G211" s="75"/>
      <c r="H211" s="75"/>
      <c r="I211" s="139">
        <f>I212+I213+I214+I215+I216+I217+I218</f>
        <v>103480</v>
      </c>
      <c r="J211" s="167"/>
      <c r="K211" s="167"/>
      <c r="L211" s="167"/>
      <c r="M211" s="167"/>
    </row>
    <row r="212" spans="1:13" ht="37.5" customHeight="1">
      <c r="A212" s="5"/>
      <c r="B212" s="5"/>
      <c r="C212" s="6"/>
      <c r="D212" s="147"/>
      <c r="E212" s="89" t="s">
        <v>151</v>
      </c>
      <c r="F212" s="23"/>
      <c r="G212" s="23"/>
      <c r="H212" s="23"/>
      <c r="I212" s="136">
        <f>105600-35200</f>
        <v>70400</v>
      </c>
      <c r="J212" s="167"/>
      <c r="K212" s="167"/>
      <c r="L212" s="167"/>
      <c r="M212" s="167"/>
    </row>
    <row r="213" spans="1:13" ht="53.25" customHeight="1">
      <c r="A213" s="5"/>
      <c r="B213" s="5"/>
      <c r="C213" s="6"/>
      <c r="D213" s="147"/>
      <c r="E213" s="7" t="s">
        <v>152</v>
      </c>
      <c r="F213" s="23"/>
      <c r="G213" s="23"/>
      <c r="H213" s="23"/>
      <c r="I213" s="136">
        <f>23300-7780</f>
        <v>15520</v>
      </c>
      <c r="J213" s="167"/>
      <c r="K213" s="167"/>
      <c r="L213" s="167"/>
      <c r="M213" s="167"/>
    </row>
    <row r="214" spans="1:13" ht="50.25" customHeight="1">
      <c r="A214" s="5"/>
      <c r="B214" s="5"/>
      <c r="C214" s="6"/>
      <c r="D214" s="147"/>
      <c r="E214" s="7" t="s">
        <v>153</v>
      </c>
      <c r="F214" s="23"/>
      <c r="G214" s="23"/>
      <c r="H214" s="23"/>
      <c r="I214" s="136">
        <f>8500-7080</f>
        <v>1420</v>
      </c>
      <c r="J214" s="167"/>
      <c r="K214" s="167"/>
      <c r="L214" s="167"/>
      <c r="M214" s="167"/>
    </row>
    <row r="215" spans="1:13" ht="83.25" customHeight="1">
      <c r="A215" s="5"/>
      <c r="B215" s="5"/>
      <c r="C215" s="6"/>
      <c r="D215" s="147"/>
      <c r="E215" s="7" t="s">
        <v>157</v>
      </c>
      <c r="F215" s="23"/>
      <c r="G215" s="23"/>
      <c r="H215" s="23"/>
      <c r="I215" s="136">
        <f>63800-53160</f>
        <v>10640</v>
      </c>
      <c r="J215" s="167"/>
      <c r="K215" s="167"/>
      <c r="L215" s="167"/>
      <c r="M215" s="167"/>
    </row>
    <row r="216" spans="1:13" ht="36" customHeight="1">
      <c r="A216" s="5"/>
      <c r="B216" s="5"/>
      <c r="C216" s="6"/>
      <c r="D216" s="147"/>
      <c r="E216" s="7" t="s">
        <v>156</v>
      </c>
      <c r="F216" s="23"/>
      <c r="G216" s="23"/>
      <c r="H216" s="23"/>
      <c r="I216" s="136">
        <v>5500</v>
      </c>
      <c r="J216" s="167"/>
      <c r="K216" s="167"/>
      <c r="L216" s="167"/>
      <c r="M216" s="167"/>
    </row>
    <row r="217" spans="1:13" ht="38.25" customHeight="1">
      <c r="A217" s="5"/>
      <c r="B217" s="5"/>
      <c r="C217" s="6"/>
      <c r="D217" s="147"/>
      <c r="E217" s="7" t="s">
        <v>154</v>
      </c>
      <c r="F217" s="23"/>
      <c r="G217" s="23"/>
      <c r="H217" s="23"/>
      <c r="I217" s="136">
        <f>142300-142300</f>
        <v>0</v>
      </c>
      <c r="J217" s="167"/>
      <c r="K217" s="167"/>
      <c r="L217" s="167"/>
      <c r="M217" s="167"/>
    </row>
    <row r="218" spans="1:43" ht="49.5" customHeight="1">
      <c r="A218" s="5"/>
      <c r="B218" s="5"/>
      <c r="C218" s="6"/>
      <c r="D218" s="147"/>
      <c r="E218" s="7" t="s">
        <v>155</v>
      </c>
      <c r="F218" s="23"/>
      <c r="G218" s="23"/>
      <c r="H218" s="23"/>
      <c r="I218" s="136">
        <f>151000-151000</f>
        <v>0</v>
      </c>
      <c r="J218" s="167"/>
      <c r="K218" s="167"/>
      <c r="L218" s="167"/>
      <c r="M218" s="167"/>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row>
    <row r="219" spans="1:43" s="11" customFormat="1" ht="52.5" customHeight="1">
      <c r="A219" s="34" t="s">
        <v>88</v>
      </c>
      <c r="B219" s="35"/>
      <c r="C219" s="36"/>
      <c r="D219" s="148" t="s">
        <v>89</v>
      </c>
      <c r="E219" s="93"/>
      <c r="F219" s="16"/>
      <c r="G219" s="16"/>
      <c r="H219" s="16"/>
      <c r="I219" s="118">
        <f>I220</f>
        <v>2881100</v>
      </c>
      <c r="J219" s="167"/>
      <c r="K219" s="167"/>
      <c r="L219" s="167"/>
      <c r="M219" s="167"/>
      <c r="N219" s="4"/>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s="10" customFormat="1" ht="41.25" customHeight="1">
      <c r="A220" s="37" t="s">
        <v>90</v>
      </c>
      <c r="B220" s="38"/>
      <c r="C220" s="39"/>
      <c r="D220" s="149" t="s">
        <v>133</v>
      </c>
      <c r="E220" s="94"/>
      <c r="F220" s="18"/>
      <c r="G220" s="18"/>
      <c r="H220" s="18"/>
      <c r="I220" s="117">
        <f>I221+I229</f>
        <v>2881100</v>
      </c>
      <c r="J220" s="167"/>
      <c r="K220" s="167"/>
      <c r="L220" s="167"/>
      <c r="M220" s="167"/>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row>
    <row r="221" spans="1:13" ht="48" customHeight="1">
      <c r="A221" s="5" t="s">
        <v>91</v>
      </c>
      <c r="B221" s="5">
        <v>7470</v>
      </c>
      <c r="C221" s="6" t="s">
        <v>8</v>
      </c>
      <c r="D221" s="147" t="s">
        <v>117</v>
      </c>
      <c r="E221" s="22" t="s">
        <v>256</v>
      </c>
      <c r="F221" s="75"/>
      <c r="G221" s="75"/>
      <c r="H221" s="75"/>
      <c r="I221" s="126">
        <f>I223</f>
        <v>650000</v>
      </c>
      <c r="J221" s="167"/>
      <c r="K221" s="167"/>
      <c r="L221" s="167"/>
      <c r="M221" s="167"/>
    </row>
    <row r="222" spans="1:13" ht="15" customHeight="1">
      <c r="A222" s="5"/>
      <c r="B222" s="5"/>
      <c r="C222" s="6"/>
      <c r="D222" s="151" t="s">
        <v>137</v>
      </c>
      <c r="E222" s="90"/>
      <c r="F222" s="21"/>
      <c r="G222" s="21"/>
      <c r="H222" s="21"/>
      <c r="I222" s="114"/>
      <c r="J222" s="167"/>
      <c r="K222" s="167"/>
      <c r="L222" s="167"/>
      <c r="M222" s="167"/>
    </row>
    <row r="223" spans="1:13" ht="36" customHeight="1">
      <c r="A223" s="5"/>
      <c r="B223" s="5"/>
      <c r="C223" s="6"/>
      <c r="D223" s="147"/>
      <c r="E223" s="95" t="s">
        <v>255</v>
      </c>
      <c r="F223" s="75"/>
      <c r="G223" s="75"/>
      <c r="H223" s="75"/>
      <c r="I223" s="139">
        <f>I224+I225+I226+I227+I228</f>
        <v>650000</v>
      </c>
      <c r="J223" s="167"/>
      <c r="K223" s="167"/>
      <c r="L223" s="167"/>
      <c r="M223" s="167"/>
    </row>
    <row r="224" spans="1:13" ht="32.25" customHeight="1">
      <c r="A224" s="5"/>
      <c r="B224" s="5"/>
      <c r="C224" s="6"/>
      <c r="D224" s="147"/>
      <c r="E224" s="7" t="s">
        <v>162</v>
      </c>
      <c r="F224" s="23"/>
      <c r="G224" s="23"/>
      <c r="H224" s="23"/>
      <c r="I224" s="136">
        <f>87000+315700</f>
        <v>402700</v>
      </c>
      <c r="J224" s="167"/>
      <c r="K224" s="167"/>
      <c r="L224" s="167"/>
      <c r="M224" s="167"/>
    </row>
    <row r="225" spans="1:13" ht="38.25" customHeight="1">
      <c r="A225" s="5"/>
      <c r="B225" s="5"/>
      <c r="C225" s="6"/>
      <c r="D225" s="147"/>
      <c r="E225" s="7" t="s">
        <v>158</v>
      </c>
      <c r="F225" s="23"/>
      <c r="G225" s="23"/>
      <c r="H225" s="23"/>
      <c r="I225" s="136">
        <f>19200+69300</f>
        <v>88500</v>
      </c>
      <c r="J225" s="167"/>
      <c r="K225" s="167"/>
      <c r="L225" s="167"/>
      <c r="M225" s="167"/>
    </row>
    <row r="226" spans="1:13" ht="41.25" customHeight="1">
      <c r="A226" s="5"/>
      <c r="B226" s="5"/>
      <c r="C226" s="6"/>
      <c r="D226" s="147"/>
      <c r="E226" s="7" t="s">
        <v>159</v>
      </c>
      <c r="F226" s="23"/>
      <c r="G226" s="23"/>
      <c r="H226" s="23"/>
      <c r="I226" s="136">
        <f>9000</f>
        <v>9000</v>
      </c>
      <c r="J226" s="167"/>
      <c r="K226" s="167"/>
      <c r="L226" s="167"/>
      <c r="M226" s="167"/>
    </row>
    <row r="227" spans="1:13" ht="34.5" customHeight="1">
      <c r="A227" s="5"/>
      <c r="B227" s="5"/>
      <c r="C227" s="6"/>
      <c r="D227" s="147"/>
      <c r="E227" s="7" t="s">
        <v>160</v>
      </c>
      <c r="F227" s="23"/>
      <c r="G227" s="23"/>
      <c r="H227" s="23"/>
      <c r="I227" s="136">
        <f>73800+30000</f>
        <v>103800</v>
      </c>
      <c r="J227" s="167"/>
      <c r="K227" s="167"/>
      <c r="L227" s="167"/>
      <c r="M227" s="167"/>
    </row>
    <row r="228" spans="1:13" ht="53.25" customHeight="1">
      <c r="A228" s="5"/>
      <c r="B228" s="5"/>
      <c r="C228" s="6"/>
      <c r="D228" s="147"/>
      <c r="E228" s="7" t="s">
        <v>161</v>
      </c>
      <c r="F228" s="23"/>
      <c r="G228" s="23"/>
      <c r="H228" s="23"/>
      <c r="I228" s="136">
        <f>11000+35000</f>
        <v>46000</v>
      </c>
      <c r="J228" s="167"/>
      <c r="K228" s="167"/>
      <c r="L228" s="167"/>
      <c r="M228" s="167"/>
    </row>
    <row r="229" spans="1:13" ht="30.75" customHeight="1">
      <c r="A229" s="5">
        <v>6017700</v>
      </c>
      <c r="B229" s="5">
        <v>7700</v>
      </c>
      <c r="C229" s="6" t="s">
        <v>308</v>
      </c>
      <c r="D229" s="147" t="s">
        <v>307</v>
      </c>
      <c r="E229" s="7" t="s">
        <v>12</v>
      </c>
      <c r="F229" s="23"/>
      <c r="G229" s="23"/>
      <c r="H229" s="23"/>
      <c r="I229" s="136">
        <v>2231100</v>
      </c>
      <c r="J229" s="167"/>
      <c r="K229" s="167"/>
      <c r="L229" s="167"/>
      <c r="M229" s="167"/>
    </row>
    <row r="230" spans="1:13" ht="38.25" customHeight="1">
      <c r="A230" s="34" t="s">
        <v>92</v>
      </c>
      <c r="B230" s="35"/>
      <c r="C230" s="36"/>
      <c r="D230" s="148" t="s">
        <v>93</v>
      </c>
      <c r="E230" s="93"/>
      <c r="F230" s="16"/>
      <c r="G230" s="16"/>
      <c r="H230" s="16"/>
      <c r="I230" s="118">
        <f>I231</f>
        <v>2200000</v>
      </c>
      <c r="J230" s="167"/>
      <c r="K230" s="167"/>
      <c r="L230" s="167"/>
      <c r="M230" s="167"/>
    </row>
    <row r="231" spans="1:13" ht="43.5" customHeight="1">
      <c r="A231" s="37" t="s">
        <v>94</v>
      </c>
      <c r="B231" s="38"/>
      <c r="C231" s="39"/>
      <c r="D231" s="149" t="s">
        <v>134</v>
      </c>
      <c r="E231" s="94"/>
      <c r="F231" s="18"/>
      <c r="G231" s="18"/>
      <c r="H231" s="18"/>
      <c r="I231" s="117">
        <f>I232</f>
        <v>2200000</v>
      </c>
      <c r="J231" s="167"/>
      <c r="K231" s="167"/>
      <c r="L231" s="167"/>
      <c r="M231" s="167"/>
    </row>
    <row r="232" spans="1:13" ht="41.25" customHeight="1">
      <c r="A232" s="5" t="s">
        <v>95</v>
      </c>
      <c r="B232" s="5">
        <v>7470</v>
      </c>
      <c r="C232" s="6" t="s">
        <v>8</v>
      </c>
      <c r="D232" s="147" t="s">
        <v>117</v>
      </c>
      <c r="E232" s="22" t="s">
        <v>256</v>
      </c>
      <c r="F232" s="75"/>
      <c r="G232" s="75"/>
      <c r="H232" s="75"/>
      <c r="I232" s="126">
        <f>I235+I236</f>
        <v>2200000</v>
      </c>
      <c r="J232" s="167"/>
      <c r="K232" s="167"/>
      <c r="L232" s="167"/>
      <c r="M232" s="167"/>
    </row>
    <row r="233" spans="1:13" ht="13.5">
      <c r="A233" s="5"/>
      <c r="B233" s="5"/>
      <c r="C233" s="6"/>
      <c r="D233" s="151" t="s">
        <v>137</v>
      </c>
      <c r="E233" s="90"/>
      <c r="F233" s="21"/>
      <c r="G233" s="21"/>
      <c r="H233" s="21"/>
      <c r="I233" s="114"/>
      <c r="J233" s="167"/>
      <c r="K233" s="167"/>
      <c r="L233" s="167"/>
      <c r="M233" s="167"/>
    </row>
    <row r="234" spans="1:13" ht="30" customHeight="1">
      <c r="A234" s="5"/>
      <c r="B234" s="5"/>
      <c r="C234" s="6"/>
      <c r="D234" s="147"/>
      <c r="E234" s="95" t="s">
        <v>258</v>
      </c>
      <c r="F234" s="75"/>
      <c r="G234" s="75"/>
      <c r="H234" s="75"/>
      <c r="I234" s="139">
        <f>I235+I236</f>
        <v>2200000</v>
      </c>
      <c r="J234" s="167"/>
      <c r="K234" s="167"/>
      <c r="L234" s="167"/>
      <c r="M234" s="167"/>
    </row>
    <row r="235" spans="1:43" ht="37.5" customHeight="1">
      <c r="A235" s="76"/>
      <c r="B235" s="5"/>
      <c r="C235" s="6"/>
      <c r="D235" s="147"/>
      <c r="E235" s="92" t="s">
        <v>257</v>
      </c>
      <c r="F235" s="75"/>
      <c r="G235" s="75"/>
      <c r="H235" s="75"/>
      <c r="I235" s="136">
        <f>5000000-2000000-3000000</f>
        <v>0</v>
      </c>
      <c r="J235" s="167"/>
      <c r="K235" s="167"/>
      <c r="L235" s="167"/>
      <c r="M235" s="167"/>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row>
    <row r="236" spans="1:43" s="70" customFormat="1" ht="183" customHeight="1">
      <c r="A236" s="76"/>
      <c r="B236" s="76"/>
      <c r="C236" s="77"/>
      <c r="D236" s="157"/>
      <c r="E236" s="92" t="s">
        <v>274</v>
      </c>
      <c r="F236" s="75"/>
      <c r="G236" s="75"/>
      <c r="H236" s="75"/>
      <c r="I236" s="136">
        <f>0+2000000+200000</f>
        <v>2200000</v>
      </c>
      <c r="J236" s="167"/>
      <c r="K236" s="167"/>
      <c r="L236" s="167"/>
      <c r="M236" s="167"/>
      <c r="N236" s="4"/>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row>
    <row r="237" spans="1:43" s="11" customFormat="1" ht="25.5" customHeight="1">
      <c r="A237" s="34" t="s">
        <v>96</v>
      </c>
      <c r="B237" s="35"/>
      <c r="C237" s="36"/>
      <c r="D237" s="148" t="s">
        <v>97</v>
      </c>
      <c r="E237" s="93"/>
      <c r="F237" s="16"/>
      <c r="G237" s="16"/>
      <c r="H237" s="16"/>
      <c r="I237" s="118">
        <f>I238</f>
        <v>2230155</v>
      </c>
      <c r="J237" s="167"/>
      <c r="K237" s="167"/>
      <c r="L237" s="167"/>
      <c r="M237" s="167"/>
      <c r="N237" s="4"/>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s="10" customFormat="1" ht="46.5" customHeight="1">
      <c r="A238" s="37" t="s">
        <v>98</v>
      </c>
      <c r="B238" s="38"/>
      <c r="C238" s="39"/>
      <c r="D238" s="149" t="s">
        <v>135</v>
      </c>
      <c r="E238" s="94"/>
      <c r="F238" s="18"/>
      <c r="G238" s="18"/>
      <c r="H238" s="18"/>
      <c r="I238" s="117">
        <f>I239+I240+I241</f>
        <v>2230155</v>
      </c>
      <c r="J238" s="167"/>
      <c r="K238" s="167"/>
      <c r="L238" s="167"/>
      <c r="M238" s="167"/>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row>
    <row r="239" spans="1:13" ht="38.25" customHeight="1">
      <c r="A239" s="5" t="s">
        <v>99</v>
      </c>
      <c r="B239" s="5" t="s">
        <v>79</v>
      </c>
      <c r="C239" s="6" t="s">
        <v>1</v>
      </c>
      <c r="D239" s="145" t="s">
        <v>222</v>
      </c>
      <c r="E239" s="90" t="s">
        <v>12</v>
      </c>
      <c r="F239" s="21"/>
      <c r="G239" s="21"/>
      <c r="H239" s="21"/>
      <c r="I239" s="114">
        <v>76000</v>
      </c>
      <c r="J239" s="167"/>
      <c r="K239" s="167"/>
      <c r="L239" s="167"/>
      <c r="M239" s="167"/>
    </row>
    <row r="240" spans="1:13" ht="76.5" customHeight="1">
      <c r="A240" s="5" t="s">
        <v>169</v>
      </c>
      <c r="B240" s="5" t="s">
        <v>170</v>
      </c>
      <c r="C240" s="6" t="s">
        <v>20</v>
      </c>
      <c r="D240" s="147" t="s">
        <v>171</v>
      </c>
      <c r="E240" s="90" t="s">
        <v>172</v>
      </c>
      <c r="F240" s="21"/>
      <c r="G240" s="21"/>
      <c r="H240" s="21"/>
      <c r="I240" s="119">
        <f>2370600-251945</f>
        <v>2118655</v>
      </c>
      <c r="J240" s="167"/>
      <c r="K240" s="167"/>
      <c r="L240" s="167"/>
      <c r="M240" s="167"/>
    </row>
    <row r="241" spans="1:43" ht="53.25" customHeight="1">
      <c r="A241" s="5">
        <v>6717810</v>
      </c>
      <c r="B241" s="5">
        <v>7810</v>
      </c>
      <c r="C241" s="60" t="s">
        <v>184</v>
      </c>
      <c r="D241" s="147" t="s">
        <v>183</v>
      </c>
      <c r="E241" s="90" t="s">
        <v>12</v>
      </c>
      <c r="F241" s="21"/>
      <c r="G241" s="21"/>
      <c r="H241" s="21"/>
      <c r="I241" s="114">
        <v>35500</v>
      </c>
      <c r="J241" s="167"/>
      <c r="K241" s="167"/>
      <c r="L241" s="167"/>
      <c r="M241" s="167"/>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row>
    <row r="242" spans="1:43" s="11" customFormat="1" ht="25.5" customHeight="1">
      <c r="A242" s="62" t="s">
        <v>187</v>
      </c>
      <c r="B242" s="63"/>
      <c r="C242" s="64"/>
      <c r="D242" s="162" t="s">
        <v>188</v>
      </c>
      <c r="E242" s="93"/>
      <c r="F242" s="16"/>
      <c r="G242" s="16"/>
      <c r="H242" s="16"/>
      <c r="I242" s="118">
        <f>I243</f>
        <v>400000</v>
      </c>
      <c r="J242" s="167"/>
      <c r="K242" s="167"/>
      <c r="L242" s="167"/>
      <c r="M242" s="167"/>
      <c r="N242" s="4"/>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s="10" customFormat="1" ht="45.75" customHeight="1">
      <c r="A243" s="37" t="s">
        <v>189</v>
      </c>
      <c r="B243" s="30"/>
      <c r="C243" s="39"/>
      <c r="D243" s="149" t="s">
        <v>190</v>
      </c>
      <c r="E243" s="94"/>
      <c r="F243" s="18"/>
      <c r="G243" s="18"/>
      <c r="H243" s="18"/>
      <c r="I243" s="117">
        <f>I244</f>
        <v>400000</v>
      </c>
      <c r="J243" s="167"/>
      <c r="K243" s="167"/>
      <c r="L243" s="167"/>
      <c r="M243" s="167"/>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row>
    <row r="244" spans="1:43" ht="42" customHeight="1">
      <c r="A244" s="5" t="s">
        <v>191</v>
      </c>
      <c r="B244" s="60" t="s">
        <v>79</v>
      </c>
      <c r="C244" s="60" t="s">
        <v>1</v>
      </c>
      <c r="D244" s="145" t="s">
        <v>222</v>
      </c>
      <c r="E244" s="90" t="s">
        <v>12</v>
      </c>
      <c r="F244" s="21"/>
      <c r="G244" s="21"/>
      <c r="H244" s="21"/>
      <c r="I244" s="114">
        <v>400000</v>
      </c>
      <c r="J244" s="167"/>
      <c r="K244" s="167"/>
      <c r="L244" s="167"/>
      <c r="M244" s="167"/>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row>
    <row r="245" spans="1:43" s="11" customFormat="1" ht="24" customHeight="1">
      <c r="A245" s="34" t="s">
        <v>192</v>
      </c>
      <c r="B245" s="35"/>
      <c r="C245" s="36"/>
      <c r="D245" s="148" t="s">
        <v>195</v>
      </c>
      <c r="E245" s="93"/>
      <c r="F245" s="16"/>
      <c r="G245" s="16"/>
      <c r="H245" s="16"/>
      <c r="I245" s="118">
        <f>I246</f>
        <v>1181020</v>
      </c>
      <c r="J245" s="167"/>
      <c r="K245" s="167"/>
      <c r="L245" s="167"/>
      <c r="M245" s="167"/>
      <c r="N245" s="4"/>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s="10" customFormat="1" ht="45.75" customHeight="1">
      <c r="A246" s="37" t="s">
        <v>193</v>
      </c>
      <c r="B246" s="38"/>
      <c r="C246" s="39"/>
      <c r="D246" s="149" t="s">
        <v>175</v>
      </c>
      <c r="E246" s="94"/>
      <c r="F246" s="18"/>
      <c r="G246" s="18"/>
      <c r="H246" s="18"/>
      <c r="I246" s="117">
        <f>I247</f>
        <v>1181020</v>
      </c>
      <c r="J246" s="167"/>
      <c r="K246" s="167"/>
      <c r="L246" s="167"/>
      <c r="M246" s="167"/>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row>
    <row r="247" spans="1:43" ht="40.5" customHeight="1">
      <c r="A247" s="5" t="s">
        <v>194</v>
      </c>
      <c r="B247" s="60" t="s">
        <v>79</v>
      </c>
      <c r="C247" s="60" t="s">
        <v>1</v>
      </c>
      <c r="D247" s="145" t="s">
        <v>222</v>
      </c>
      <c r="E247" s="90" t="s">
        <v>12</v>
      </c>
      <c r="F247" s="21"/>
      <c r="G247" s="21"/>
      <c r="H247" s="21"/>
      <c r="I247" s="119">
        <f>1290000-108980</f>
        <v>1181020</v>
      </c>
      <c r="J247" s="167"/>
      <c r="K247" s="167"/>
      <c r="L247" s="167"/>
      <c r="M247" s="167"/>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row>
    <row r="248" spans="1:43" s="11" customFormat="1" ht="46.5" customHeight="1">
      <c r="A248" s="34" t="s">
        <v>173</v>
      </c>
      <c r="B248" s="35"/>
      <c r="C248" s="36"/>
      <c r="D248" s="148" t="s">
        <v>180</v>
      </c>
      <c r="E248" s="93"/>
      <c r="F248" s="16"/>
      <c r="G248" s="16"/>
      <c r="H248" s="16"/>
      <c r="I248" s="118">
        <f>I249</f>
        <v>567000</v>
      </c>
      <c r="J248" s="167"/>
      <c r="K248" s="167"/>
      <c r="L248" s="167"/>
      <c r="M248" s="167"/>
      <c r="N248" s="4"/>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s="10" customFormat="1" ht="48.75" customHeight="1">
      <c r="A249" s="37" t="s">
        <v>174</v>
      </c>
      <c r="B249" s="38"/>
      <c r="C249" s="39"/>
      <c r="D249" s="149" t="s">
        <v>316</v>
      </c>
      <c r="E249" s="94"/>
      <c r="F249" s="18"/>
      <c r="G249" s="18"/>
      <c r="H249" s="18"/>
      <c r="I249" s="117">
        <f>I250+I252</f>
        <v>567000</v>
      </c>
      <c r="J249" s="167"/>
      <c r="K249" s="167"/>
      <c r="L249" s="167"/>
      <c r="M249" s="167"/>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row>
    <row r="250" spans="1:43" ht="15">
      <c r="A250" s="5">
        <v>7618600</v>
      </c>
      <c r="B250" s="5">
        <v>8600</v>
      </c>
      <c r="C250" s="6" t="s">
        <v>276</v>
      </c>
      <c r="D250" s="147" t="s">
        <v>277</v>
      </c>
      <c r="E250" s="92" t="s">
        <v>12</v>
      </c>
      <c r="F250" s="21"/>
      <c r="G250" s="21"/>
      <c r="H250" s="21"/>
      <c r="I250" s="114">
        <f>550000-550000+500000+50000+250000+25000+200000-500000-50000</f>
        <v>475000</v>
      </c>
      <c r="J250" s="167"/>
      <c r="K250" s="167"/>
      <c r="L250" s="167"/>
      <c r="M250" s="167"/>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row>
    <row r="251" spans="1:43" s="210" customFormat="1" ht="58.5" customHeight="1">
      <c r="A251" s="207"/>
      <c r="B251" s="207"/>
      <c r="C251" s="208"/>
      <c r="D251" s="209"/>
      <c r="E251" s="213" t="s">
        <v>278</v>
      </c>
      <c r="F251" s="176"/>
      <c r="G251" s="176"/>
      <c r="H251" s="176"/>
      <c r="I251" s="138">
        <f>500000-500000+500000+250000+200000-500000</f>
        <v>450000</v>
      </c>
      <c r="J251" s="185"/>
      <c r="K251" s="185"/>
      <c r="L251" s="185"/>
      <c r="M251" s="185"/>
      <c r="N251" s="186"/>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row>
    <row r="252" spans="1:43" ht="66.75" customHeight="1">
      <c r="A252" s="5" t="s">
        <v>176</v>
      </c>
      <c r="B252" s="5" t="s">
        <v>177</v>
      </c>
      <c r="C252" s="6" t="s">
        <v>79</v>
      </c>
      <c r="D252" s="147" t="s">
        <v>178</v>
      </c>
      <c r="E252" s="90" t="s">
        <v>179</v>
      </c>
      <c r="F252" s="21"/>
      <c r="G252" s="21"/>
      <c r="H252" s="21"/>
      <c r="I252" s="114">
        <v>92000</v>
      </c>
      <c r="J252" s="167"/>
      <c r="K252" s="167"/>
      <c r="L252" s="167"/>
      <c r="M252" s="167"/>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row>
    <row r="253" spans="1:43" s="56" customFormat="1" ht="15">
      <c r="A253" s="53"/>
      <c r="B253" s="53"/>
      <c r="C253" s="54"/>
      <c r="D253" s="163" t="s">
        <v>3</v>
      </c>
      <c r="E253" s="96"/>
      <c r="F253" s="55"/>
      <c r="G253" s="55"/>
      <c r="H253" s="55"/>
      <c r="I253" s="88">
        <f>I6+I12+I29+I75+I88+I101+I104+I117+I121+I206+I219+I230+I237+I248+I245+I242</f>
        <v>239592191.89</v>
      </c>
      <c r="J253" s="167"/>
      <c r="K253" s="167"/>
      <c r="L253" s="167"/>
      <c r="M253" s="167"/>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row>
    <row r="254" ht="13.5">
      <c r="E254" s="97"/>
    </row>
    <row r="255" spans="5:43" ht="14.25" customHeight="1">
      <c r="E255" s="97"/>
      <c r="I255" s="121"/>
      <c r="J255" s="24"/>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row>
    <row r="256" spans="1:43" s="13" customFormat="1" ht="51" customHeight="1" hidden="1">
      <c r="A256" s="49"/>
      <c r="B256" s="50"/>
      <c r="C256" s="49"/>
      <c r="D256" s="165"/>
      <c r="E256" s="98"/>
      <c r="F256" s="51"/>
      <c r="G256" s="51"/>
      <c r="H256" s="52"/>
      <c r="I256" s="122"/>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row>
    <row r="257" spans="1:43" s="59" customFormat="1" ht="24.75">
      <c r="A257" s="58"/>
      <c r="B257" s="58" t="s">
        <v>142</v>
      </c>
      <c r="C257" s="58"/>
      <c r="D257" s="166"/>
      <c r="E257" s="99"/>
      <c r="G257" s="58"/>
      <c r="H257" s="58" t="s">
        <v>143</v>
      </c>
      <c r="I257" s="58"/>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row>
    <row r="258" spans="1:9" s="13" customFormat="1" ht="30">
      <c r="A258" s="47"/>
      <c r="B258" s="47"/>
      <c r="C258" s="47"/>
      <c r="D258" s="140"/>
      <c r="E258" s="100"/>
      <c r="F258" s="47"/>
      <c r="G258" s="47"/>
      <c r="H258" s="52"/>
      <c r="I258" s="47"/>
    </row>
    <row r="259" spans="1:43" s="13" customFormat="1" ht="30">
      <c r="A259" s="47"/>
      <c r="B259" s="47"/>
      <c r="C259" s="47"/>
      <c r="D259" s="140"/>
      <c r="E259" s="100"/>
      <c r="F259" s="47"/>
      <c r="G259" s="217"/>
      <c r="H259" s="217"/>
      <c r="I259" s="217"/>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row>
    <row r="260" ht="13.5">
      <c r="E260" s="97"/>
    </row>
    <row r="261" ht="13.5">
      <c r="E261" s="97"/>
    </row>
    <row r="262" ht="13.5">
      <c r="E262" s="97"/>
    </row>
    <row r="263" ht="13.5">
      <c r="E263" s="97"/>
    </row>
    <row r="264" ht="13.5">
      <c r="E264" s="97"/>
    </row>
    <row r="265" ht="13.5">
      <c r="E265" s="97"/>
    </row>
    <row r="266" ht="13.5">
      <c r="E266" s="97"/>
    </row>
    <row r="267" ht="13.5">
      <c r="E267" s="97"/>
    </row>
    <row r="268" ht="13.5">
      <c r="E268" s="97"/>
    </row>
    <row r="269" ht="13.5">
      <c r="E269" s="97"/>
    </row>
    <row r="270" ht="13.5">
      <c r="E270" s="97"/>
    </row>
    <row r="271" ht="13.5">
      <c r="E271" s="97"/>
    </row>
    <row r="272" ht="13.5">
      <c r="E272" s="97"/>
    </row>
    <row r="273" ht="13.5">
      <c r="E273" s="97"/>
    </row>
    <row r="274" ht="13.5">
      <c r="E274" s="97"/>
    </row>
    <row r="275" ht="13.5">
      <c r="E275" s="97"/>
    </row>
    <row r="276" ht="13.5">
      <c r="E276" s="97"/>
    </row>
    <row r="277" ht="13.5">
      <c r="E277" s="97"/>
    </row>
    <row r="278" ht="13.5">
      <c r="E278" s="97"/>
    </row>
    <row r="279" ht="13.5">
      <c r="E279" s="97"/>
    </row>
    <row r="280" ht="13.5">
      <c r="E280" s="97"/>
    </row>
    <row r="281" ht="13.5">
      <c r="E281" s="97"/>
    </row>
    <row r="282" ht="13.5">
      <c r="E282" s="97"/>
    </row>
    <row r="283" ht="13.5">
      <c r="E283" s="97"/>
    </row>
    <row r="284" ht="13.5">
      <c r="E284" s="97"/>
    </row>
    <row r="285" ht="13.5">
      <c r="E285" s="97"/>
    </row>
  </sheetData>
  <sheetProtection/>
  <mergeCells count="4">
    <mergeCell ref="G1:I1"/>
    <mergeCell ref="A2:I2"/>
    <mergeCell ref="A3:G3"/>
    <mergeCell ref="G259:I259"/>
  </mergeCells>
  <printOptions horizontalCentered="1"/>
  <pageMargins left="1.03" right="0.41" top="0.7086614173228347" bottom="0.3937007874015748" header="0.1968503937007874" footer="0.1968503937007874"/>
  <pageSetup fitToHeight="35" horizontalDpi="600" verticalDpi="600" orientation="portrait" paperSize="9" scale="50" r:id="rId1"/>
  <headerFooter alignWithMargins="0">
    <oddFooter>&amp;R&amp;P</oddFooter>
  </headerFooter>
  <rowBreaks count="1" manualBreakCount="1">
    <brk id="168"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2017-11-21T14:26:17Z</cp:lastPrinted>
  <dcterms:created xsi:type="dcterms:W3CDTF">2014-01-17T10:52:16Z</dcterms:created>
  <dcterms:modified xsi:type="dcterms:W3CDTF">2017-11-22T08:56:00Z</dcterms:modified>
  <cp:category/>
  <cp:version/>
  <cp:contentType/>
  <cp:contentStatus/>
</cp:coreProperties>
</file>