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0380" windowHeight="8796" activeTab="0"/>
  </bookViews>
  <sheets>
    <sheet name="исправлен." sheetId="1" r:id="rId1"/>
  </sheets>
  <definedNames>
    <definedName name="OLE_LINK1" localSheetId="0">'исправлен.'!$D$244</definedName>
    <definedName name="_xlnm.Print_Titles" localSheetId="0">'исправлен.'!$9:$13</definedName>
    <definedName name="_xlnm.Print_Area" localSheetId="0">'исправлен.'!$A$1:$P$490</definedName>
  </definedNames>
  <calcPr fullCalcOnLoad="1"/>
</workbook>
</file>

<file path=xl/sharedStrings.xml><?xml version="1.0" encoding="utf-8"?>
<sst xmlns="http://schemas.openxmlformats.org/spreadsheetml/2006/main" count="1386" uniqueCount="682">
  <si>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</si>
  <si>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0813180</t>
  </si>
  <si>
    <t>3180</t>
  </si>
  <si>
    <t>Соціальний захист ветеранів війни та праці</t>
  </si>
  <si>
    <t>0900000</t>
  </si>
  <si>
    <t>Орган у справах дітей</t>
  </si>
  <si>
    <t>0910000</t>
  </si>
  <si>
    <t>0910160</t>
  </si>
  <si>
    <t>0910180</t>
  </si>
  <si>
    <t>0913110</t>
  </si>
  <si>
    <t>3110</t>
  </si>
  <si>
    <t>Заклади і заходи з питань дітей та їх соціального захисту</t>
  </si>
  <si>
    <t>0913111</t>
  </si>
  <si>
    <t>3111</t>
  </si>
  <si>
    <t>0913112</t>
  </si>
  <si>
    <t>3112</t>
  </si>
  <si>
    <t>Заходи державної політики з питань дітей та їх соціального захисту</t>
  </si>
  <si>
    <t>1500000</t>
  </si>
  <si>
    <t>Орган з питань будівництва</t>
  </si>
  <si>
    <t>1510000</t>
  </si>
  <si>
    <t>Департамент житлово-комунального господарства та будівництва міської ради</t>
  </si>
  <si>
    <t>1510160</t>
  </si>
  <si>
    <t>1510180</t>
  </si>
  <si>
    <t>1050</t>
  </si>
  <si>
    <t>Організація та проведення громадських робіт</t>
  </si>
  <si>
    <t>1516011</t>
  </si>
  <si>
    <t>0620</t>
  </si>
  <si>
    <t>6011</t>
  </si>
  <si>
    <t>Експлуатація та технічне обслуговування житлового фонду</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</si>
  <si>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</si>
  <si>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</si>
  <si>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</si>
  <si>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1516030</t>
  </si>
  <si>
    <t>6030</t>
  </si>
  <si>
    <t>Організація благоустрою населених пунктів</t>
  </si>
  <si>
    <t>1516086</t>
  </si>
  <si>
    <t>0610</t>
  </si>
  <si>
    <t>6086</t>
  </si>
  <si>
    <t>Інша діяльність щодо забезпечення житлом громадян</t>
  </si>
  <si>
    <t>1516090</t>
  </si>
  <si>
    <t>0640</t>
  </si>
  <si>
    <t>6090</t>
  </si>
  <si>
    <t>Інша діяльність у сфері житлово-комунального господарства</t>
  </si>
  <si>
    <t>1517310</t>
  </si>
  <si>
    <t>7310</t>
  </si>
  <si>
    <t>Будівництво об`єктів житлово-комунального господарства</t>
  </si>
  <si>
    <t>1517322</t>
  </si>
  <si>
    <t>1517323</t>
  </si>
  <si>
    <t>7323</t>
  </si>
  <si>
    <t>Будівництво установ та закладів соціальної сфери</t>
  </si>
  <si>
    <t>1517325</t>
  </si>
  <si>
    <t>7325</t>
  </si>
  <si>
    <t>Будівництво споруд, установ та закладів фізичної культури і спорту</t>
  </si>
  <si>
    <t>0456</t>
  </si>
  <si>
    <t>1517670</t>
  </si>
  <si>
    <t>9770</t>
  </si>
  <si>
    <t>Інші субвенції з місцевого бюджету</t>
  </si>
  <si>
    <t>1600000</t>
  </si>
  <si>
    <t>Орган з питань містобудування та архітектури</t>
  </si>
  <si>
    <t>1610000</t>
  </si>
  <si>
    <t>1610160</t>
  </si>
  <si>
    <t>1610180</t>
  </si>
  <si>
    <t>1619770</t>
  </si>
  <si>
    <t>1700000</t>
  </si>
  <si>
    <t>Орган з питань державного архітектурно-будівельного контролю</t>
  </si>
  <si>
    <t>1710000</t>
  </si>
  <si>
    <t>1710160</t>
  </si>
  <si>
    <t>1710180</t>
  </si>
  <si>
    <t>1900000</t>
  </si>
  <si>
    <t>1910000</t>
  </si>
  <si>
    <t>1910160</t>
  </si>
  <si>
    <t>1910180</t>
  </si>
  <si>
    <t>1917413</t>
  </si>
  <si>
    <t>0451</t>
  </si>
  <si>
    <t>7413</t>
  </si>
  <si>
    <t>Інші заходи у сфері автотранспорту</t>
  </si>
  <si>
    <t>1917426</t>
  </si>
  <si>
    <t>0453</t>
  </si>
  <si>
    <t>7426</t>
  </si>
  <si>
    <t>Інші заходи у сфері електротранспорту</t>
  </si>
  <si>
    <t>1917670</t>
  </si>
  <si>
    <t>2700000</t>
  </si>
  <si>
    <t>Орган з питань економічного розвитку, торгівлі та інвестицій</t>
  </si>
  <si>
    <t>2710000</t>
  </si>
  <si>
    <t>2710160</t>
  </si>
  <si>
    <t>2710180</t>
  </si>
  <si>
    <t>2717622</t>
  </si>
  <si>
    <t>7622</t>
  </si>
  <si>
    <t>Реалізація програм і заходів в галузі туризму та курортів</t>
  </si>
  <si>
    <t>2717640</t>
  </si>
  <si>
    <t>7690</t>
  </si>
  <si>
    <t>Інша економічна діяльність</t>
  </si>
  <si>
    <t>2717693</t>
  </si>
  <si>
    <t>7693</t>
  </si>
  <si>
    <t>Інші заходи, пов`язані з економічною діяльністю</t>
  </si>
  <si>
    <t>2800000</t>
  </si>
  <si>
    <t>2810000</t>
  </si>
  <si>
    <t>2810160</t>
  </si>
  <si>
    <t>2810180</t>
  </si>
  <si>
    <t>2817670</t>
  </si>
  <si>
    <t>2818340</t>
  </si>
  <si>
    <t>0540</t>
  </si>
  <si>
    <t>8340</t>
  </si>
  <si>
    <t>Природоохоронні заходи за рахунок цільових фондів</t>
  </si>
  <si>
    <t>2900000</t>
  </si>
  <si>
    <t>2910000</t>
  </si>
  <si>
    <t>2910160</t>
  </si>
  <si>
    <t>2910180</t>
  </si>
  <si>
    <t>2918110</t>
  </si>
  <si>
    <t>0320</t>
  </si>
  <si>
    <t>8110</t>
  </si>
  <si>
    <t>3100000</t>
  </si>
  <si>
    <t>Орган з питань управління комунальним майном</t>
  </si>
  <si>
    <t>3110000</t>
  </si>
  <si>
    <t>3110160</t>
  </si>
  <si>
    <t>3110180</t>
  </si>
  <si>
    <t>3116082</t>
  </si>
  <si>
    <t>6082</t>
  </si>
  <si>
    <t>Придбання житла для окремих категорій населення відповідно до законодавства</t>
  </si>
  <si>
    <t>3116086</t>
  </si>
  <si>
    <t>3117130</t>
  </si>
  <si>
    <t>0421</t>
  </si>
  <si>
    <t>7130</t>
  </si>
  <si>
    <t>Здійснення заходів із землеустрою</t>
  </si>
  <si>
    <t>3117660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</si>
  <si>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</si>
  <si>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</si>
  <si>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3117693</t>
  </si>
  <si>
    <t>3200000</t>
  </si>
  <si>
    <t>Орган з питань реклами та масових заходів</t>
  </si>
  <si>
    <t>3210000</t>
  </si>
  <si>
    <t>3210160</t>
  </si>
  <si>
    <t>3210180</t>
  </si>
  <si>
    <t>3216030</t>
  </si>
  <si>
    <t>3400000</t>
  </si>
  <si>
    <t>Орган з питань надання адміністративних послуг</t>
  </si>
  <si>
    <t>3410000</t>
  </si>
  <si>
    <t>3410160</t>
  </si>
  <si>
    <t>3410180</t>
  </si>
  <si>
    <t>3417610</t>
  </si>
  <si>
    <t>0411</t>
  </si>
  <si>
    <t>7610</t>
  </si>
  <si>
    <t>Сприяння розвитку малого та середнього підприємництва</t>
  </si>
  <si>
    <t>3417670</t>
  </si>
  <si>
    <t>3700000</t>
  </si>
  <si>
    <t>Орган з питань фінансів</t>
  </si>
  <si>
    <t>3710000</t>
  </si>
  <si>
    <t>3710160</t>
  </si>
  <si>
    <t>3710180</t>
  </si>
  <si>
    <t>3717690</t>
  </si>
  <si>
    <t>3717693</t>
  </si>
  <si>
    <t>3718600</t>
  </si>
  <si>
    <t>0170</t>
  </si>
  <si>
    <t>8600</t>
  </si>
  <si>
    <t>Обслуговування місцевого боргу</t>
  </si>
  <si>
    <t>3718700</t>
  </si>
  <si>
    <t>8700</t>
  </si>
  <si>
    <t>Резервний фонд</t>
  </si>
  <si>
    <t>4100000</t>
  </si>
  <si>
    <t>Районні державні адміністрації у містах з районним поділом за відсутності районних у містах рад</t>
  </si>
  <si>
    <t>4110000</t>
  </si>
  <si>
    <t>4110160</t>
  </si>
  <si>
    <t>4110180</t>
  </si>
  <si>
    <t>4116030</t>
  </si>
  <si>
    <t>4200000</t>
  </si>
  <si>
    <t>4210000</t>
  </si>
  <si>
    <t>4210160</t>
  </si>
  <si>
    <t>4210180</t>
  </si>
  <si>
    <t>4216030</t>
  </si>
  <si>
    <t>4300000</t>
  </si>
  <si>
    <t>4310000</t>
  </si>
  <si>
    <t>4310160</t>
  </si>
  <si>
    <t>4310180</t>
  </si>
  <si>
    <t>4316030</t>
  </si>
  <si>
    <t>Управління  соціальної політики міської ради</t>
  </si>
  <si>
    <t>Управління  соціального захисту населення адміністрації Південного району міської ради</t>
  </si>
  <si>
    <t>1515041</t>
  </si>
  <si>
    <t>в.з. з.ф.</t>
  </si>
  <si>
    <t>в.з.с.ф.</t>
  </si>
  <si>
    <t>НЕФКО</t>
  </si>
  <si>
    <t>в т.ч. 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</si>
  <si>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Управління  соціального захисту населення адміністрації Дніпровського району міської ради</t>
  </si>
  <si>
    <t>Управління  соціального захисту населення адміністрації Заводського району міської ради</t>
  </si>
  <si>
    <t>Служба у справах дітей міської ради</t>
  </si>
  <si>
    <t>Служба у справах дітей адміністрації Південного району міської ради</t>
  </si>
  <si>
    <t>Служба у справах дітей адміністрації Дніпровського району міської ради</t>
  </si>
  <si>
    <t>Служба у справах дітей адміністрації Заводського району міської ради</t>
  </si>
  <si>
    <t>1917450</t>
  </si>
  <si>
    <t>Інша діяльність у сфері транспорту</t>
  </si>
  <si>
    <t>Кам'янська міська рада</t>
  </si>
  <si>
    <t>Архівне управління міської ради</t>
  </si>
  <si>
    <t>Управління охорони здоров'я  міської ради</t>
  </si>
  <si>
    <t>Департамент економічного розвитку міської ради</t>
  </si>
  <si>
    <t>Департамент комунальної власності, земельних відносин та реєстрації речових прав на нерухоме майно міської ради</t>
  </si>
  <si>
    <t xml:space="preserve">Орган з питань екології, охорони навколишнього середовища та природних ресурсів </t>
  </si>
  <si>
    <t>Управління екології та природних ресурсів міської ради</t>
  </si>
  <si>
    <t>Управління транспортної інфраструктури та зв'язку міської ради</t>
  </si>
  <si>
    <t>Управління державного архітектурно-будівельного контролю міської ради</t>
  </si>
  <si>
    <t>Управління містобудування та архітектури міської ради</t>
  </si>
  <si>
    <t>Управління з питань надзвичайних ситуацій та цивільного захисту населення міської ради</t>
  </si>
  <si>
    <t>перевірка по КВК</t>
  </si>
  <si>
    <t>1516012</t>
  </si>
  <si>
    <t>Забезпечення діяльності з виробництва, транспортування, постачання теплової енергії</t>
  </si>
  <si>
    <t>3719510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</si>
  <si>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</si>
  <si>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0813086</t>
  </si>
  <si>
    <t>від ____________№__________)</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</si>
  <si>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</si>
  <si>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r>
      <t xml:space="preserve">за рахунок </t>
    </r>
    <r>
      <rPr>
        <b/>
        <i/>
        <sz val="11"/>
        <rFont val="Times New Roman"/>
        <family val="1"/>
      </rPr>
      <t xml:space="preserve">залишку </t>
    </r>
    <r>
      <rPr>
        <b/>
        <i/>
        <sz val="11"/>
        <color indexed="8"/>
        <rFont val="Times New Roman"/>
        <family val="1"/>
      </rPr>
      <t>медичної субвенції</t>
    </r>
    <r>
      <rPr>
        <i/>
        <sz val="11"/>
        <color indexed="8"/>
        <rFont val="Times New Roman"/>
        <family val="1"/>
      </rPr>
      <t xml:space="preserve"> з державного бюджету місцевим бюджетам</t>
    </r>
    <r>
      <rPr>
        <i/>
        <sz val="11"/>
        <rFont val="Times New Roman"/>
        <family val="1"/>
      </rPr>
      <t>, що утворився на 01.01.2019 року</t>
    </r>
  </si>
  <si>
    <t xml:space="preserve">в тому числі за рахунок залишку субвенціїї з місцевого бюджету на здійснення переданих видатків у сфері охорони здоров'я за рахунок коштів медичної субвенції,ї що утворився на 01.01.2019 року </t>
  </si>
  <si>
    <t>(у редакції рішення міської ради</t>
  </si>
  <si>
    <r>
      <t xml:space="preserve">від </t>
    </r>
    <r>
      <rPr>
        <u val="single"/>
        <sz val="12"/>
        <rFont val="Times New Roman"/>
        <family val="1"/>
      </rPr>
      <t>21.12.2018</t>
    </r>
    <r>
      <rPr>
        <sz val="12"/>
        <rFont val="Times New Roman"/>
        <family val="1"/>
      </rPr>
      <t xml:space="preserve">  № </t>
    </r>
    <r>
      <rPr>
        <u val="single"/>
        <sz val="12"/>
        <rFont val="Times New Roman"/>
        <family val="1"/>
      </rPr>
      <t>1305-30/VII</t>
    </r>
  </si>
  <si>
    <t>Відділ реклами міської ради</t>
  </si>
  <si>
    <t>Департмент муніципальних послуг та регуляторної політики міської ради</t>
  </si>
  <si>
    <t>Департамент фінансів міської ради</t>
  </si>
  <si>
    <t>Адміністрація Південного району міської ради</t>
  </si>
  <si>
    <t>Адміністрація Дніпровського району міської ради</t>
  </si>
  <si>
    <t>Адміністрація Заводського району міської ради</t>
  </si>
  <si>
    <t>1516017</t>
  </si>
  <si>
    <t>Інша діяльність, пов'язана з експлуатацією об`єктів житлово-комунального господарства</t>
  </si>
  <si>
    <t xml:space="preserve">в т.ч. за рахунок зовнішнього місцевого запозичення шляхом залучення кредиту від Північної Екологічної Фінансвової Корпорації (НЕФКО) </t>
  </si>
  <si>
    <t>2918120</t>
  </si>
  <si>
    <t>8120</t>
  </si>
  <si>
    <t>Заходи щодо реагування та ліквідації наслідків надзвичайних ситуацій</t>
  </si>
  <si>
    <t>4216017</t>
  </si>
  <si>
    <t>1519750</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</si>
  <si>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</si>
  <si>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1519730</t>
  </si>
  <si>
    <t>Субвенція з місцевого бюджету на співфінансування інвестиційних проектів</t>
  </si>
  <si>
    <t>у тому числі за рахунок субвенції Петриківському району на виготовлення планів земельних ділянок для учасників АТО</t>
  </si>
  <si>
    <t>у тому числі за рахунок освітньої субвенції з державного бюджету місцевим бюджетам</t>
  </si>
  <si>
    <t>у тому числі за рахунок освітньої субвенціїз державного бюджету місцевим бюджетам</t>
  </si>
  <si>
    <t>у тому числі за рахунок медичної субвенції з державного бюджету місцевим бюджетам</t>
  </si>
  <si>
    <t>0117680</t>
  </si>
  <si>
    <t>7680</t>
  </si>
  <si>
    <t xml:space="preserve">Членські внески до асоціацій органів місцевого самоврядування </t>
  </si>
  <si>
    <t xml:space="preserve">Амбулаторно-поліклінічна допомога населенню,крім первинної медичної допомоги </t>
  </si>
  <si>
    <t>0726</t>
  </si>
  <si>
    <t>Забезпечення діяльності інших закладів у сфері охорони здоров"я</t>
  </si>
  <si>
    <t>Інші програми та заходи у сфері охорони здоров"я</t>
  </si>
  <si>
    <t>0712151</t>
  </si>
  <si>
    <t>0712152</t>
  </si>
  <si>
    <t>Здійснення фізкультурно-спортивної та реабілітаційної роботи серед осіб з інвалідністю</t>
  </si>
  <si>
    <t>Утримання центрів фізичної культури і спорту осіб з інвалідністю і реабілітаційних шкіл</t>
  </si>
  <si>
    <t>Проведення навчально-тренувальних зборів і змагань та заходів зі спорту осіб з інвалідністю</t>
  </si>
  <si>
    <t>1513210</t>
  </si>
  <si>
    <t>4113210</t>
  </si>
  <si>
    <t>3210</t>
  </si>
  <si>
    <t>4213210</t>
  </si>
  <si>
    <t>4313210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</si>
  <si>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</si>
  <si>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0613240</t>
  </si>
  <si>
    <t>0613242</t>
  </si>
  <si>
    <t>Інші заходи у сфері соціального захисту і соціального забезпечення</t>
  </si>
  <si>
    <t>0913242</t>
  </si>
  <si>
    <t>0813190</t>
  </si>
  <si>
    <t>0813192</t>
  </si>
  <si>
    <t>Надання фінансової підтримки громадським організаціям ветеранів  і осіб з інвалідністю, діяльність яких має соціальну спрямованість</t>
  </si>
  <si>
    <t>0813240</t>
  </si>
  <si>
    <t>Інші заклади  та заходи</t>
  </si>
  <si>
    <t>0813241</t>
  </si>
  <si>
    <t>Забезпечення діяльності  інших закладів у сфері соціального захисту і  соціального забезпечення</t>
  </si>
  <si>
    <t>0813242</t>
  </si>
  <si>
    <t>3242</t>
  </si>
  <si>
    <t>Надання допомоги сім`ям з дітьми, малозабезпеченим сім`ям,тимчасової допомоги дітям</t>
  </si>
  <si>
    <t>0813042</t>
  </si>
  <si>
    <t>Надання державної соціальної  допомоги малозабезпеченим сімям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</si>
  <si>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</si>
  <si>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</si>
  <si>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Надання державної соціальної допомоги особам з інвалідністю з дитинства та дітям з інвалідністю</t>
  </si>
  <si>
    <t>0813082</t>
  </si>
  <si>
    <t>1507130</t>
  </si>
  <si>
    <t>'Здійснення заходів із землеустрою</t>
  </si>
  <si>
    <t>1517324</t>
  </si>
  <si>
    <t>7324</t>
  </si>
  <si>
    <t>Будівництво установ та закладів культури</t>
  </si>
  <si>
    <t xml:space="preserve">в т.ч. на заходи та роботи з територіальної оборони та мобілізаційної підготовки місцевого значення </t>
  </si>
  <si>
    <t>в т.ч.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</si>
  <si>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</si>
  <si>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</si>
  <si>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</si>
  <si>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</si>
  <si>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</si>
  <si>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</si>
  <si>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</si>
  <si>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</si>
  <si>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</si>
  <si>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</si>
  <si>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</si>
  <si>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3192</t>
  </si>
  <si>
    <t>3190</t>
  </si>
  <si>
    <t>Надання фінансової підтримки громадським організаціям ветеранів і осіб з інвалідністю, діяльність яких має соціальну спрямованість</t>
  </si>
  <si>
    <t>3240</t>
  </si>
  <si>
    <t>Надання допомоги сім'ям з дітьми, малозабезпеченим сім’ям, тимчасової допомоги дітям</t>
  </si>
  <si>
    <t>3042</t>
  </si>
  <si>
    <t>Надання державної соціальної допомоги малозабезпеченим сім’ям</t>
  </si>
  <si>
    <t xml:space="preserve">в т.ч. за рахунок субвенції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 </t>
  </si>
  <si>
    <t>0611161</t>
  </si>
  <si>
    <t>Забезпечення діяльності інших закладів у сфері освіти</t>
  </si>
  <si>
    <t>0614082</t>
  </si>
  <si>
    <t>4082</t>
  </si>
  <si>
    <t>0829</t>
  </si>
  <si>
    <t>Інші заходи в галузі культури і мистецтва</t>
  </si>
  <si>
    <t>Інші заклади та заходи в галузі культури і мистецтва</t>
  </si>
  <si>
    <t>0614080</t>
  </si>
  <si>
    <t>Заходи із запобігання та ліквідації надзвичайних ситуацій та наслідків стихійного лиха</t>
  </si>
  <si>
    <t>0617325</t>
  </si>
  <si>
    <t>Додаток 3</t>
  </si>
  <si>
    <t>до рішення міської ради</t>
  </si>
  <si>
    <t>0712146</t>
  </si>
  <si>
    <t>Відшкодування вартості лікарських засобів для лікування окремих захворювань</t>
  </si>
  <si>
    <t xml:space="preserve">у тому числі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</si>
  <si>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3117650</t>
  </si>
  <si>
    <t>Проведення експертної грошової оцінки земельної ділянки чи права на неї</t>
  </si>
  <si>
    <t>0913240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</si>
  <si>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</si>
  <si>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0813032</t>
  </si>
  <si>
    <t>Надання пільг окремим категоріям громадян з оплати послуг зв'язку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</si>
  <si>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</si>
  <si>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</si>
  <si>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0617363</t>
  </si>
  <si>
    <t>0717363</t>
  </si>
  <si>
    <t>1517363</t>
  </si>
  <si>
    <t>4317363</t>
  </si>
  <si>
    <t>Утримання та розвиток автомобільних доріг та дорожньої інфраструктури за рахунок коштів місцевого бюджету</t>
  </si>
  <si>
    <t>4210170</t>
  </si>
  <si>
    <t>0131</t>
  </si>
  <si>
    <t>Підвищення кваліфікації депутатів місцевих рад та посадових осіб місцевого самоврядування</t>
  </si>
  <si>
    <t>у тому числі за рахунок освітньої субвенціїз державного бюджету місцевим бюджетам (залишки)</t>
  </si>
  <si>
    <t>2818330</t>
  </si>
  <si>
    <t>Інша діяльність у сфері екології та охорони природних ресурсів</t>
  </si>
  <si>
    <t>1517321</t>
  </si>
  <si>
    <t>1517640</t>
  </si>
  <si>
    <t>0813230</t>
  </si>
  <si>
    <t>0614070</t>
  </si>
  <si>
    <t>Фінансова підтримка кінематографії</t>
  </si>
  <si>
    <t>0823</t>
  </si>
  <si>
    <t>1617350</t>
  </si>
  <si>
    <t>7350</t>
  </si>
  <si>
    <t>Розроблення схем планування та забудови територій (містобудівної документації)</t>
  </si>
  <si>
    <t>3719800</t>
  </si>
  <si>
    <t xml:space="preserve">Субвенція з місцевого бюджету державному бюджету на виконання програм соціально-економічного розвитку регіонів </t>
  </si>
  <si>
    <t>3719770</t>
  </si>
  <si>
    <t>1517330</t>
  </si>
  <si>
    <t>7330</t>
  </si>
  <si>
    <t>1517530</t>
  </si>
  <si>
    <t>7530</t>
  </si>
  <si>
    <t>Інші заходи у сфері зв'язку, телекомунікації та інформатики</t>
  </si>
  <si>
    <t>0460</t>
  </si>
  <si>
    <t>1518230</t>
  </si>
  <si>
    <t>8230</t>
  </si>
  <si>
    <t>Інші заходи громадського порядку та безпеки</t>
  </si>
  <si>
    <t>0380</t>
  </si>
  <si>
    <t>0712144</t>
  </si>
  <si>
    <t>Централізовані заходи з лікування хворих на цукровий та нецукровий діабет</t>
  </si>
  <si>
    <t>в тому числі за рахунок субвенції з місцевого бюджету на здійснення переданих видатків у сфері охорони здоров"я за рахунок коштів медичної субвенції</t>
  </si>
  <si>
    <t>4116017</t>
  </si>
  <si>
    <t>1516013</t>
  </si>
  <si>
    <t>Забезпечення діяльності водопровідно-каналізаційного господарства</t>
  </si>
  <si>
    <t>0617340</t>
  </si>
  <si>
    <t>Проектування, реставрація та охорона пам'яток архітектури</t>
  </si>
  <si>
    <t>в тому числі за рахунок субвенції з місцеввого бюджету за рахунок залишку коштів медичноїсубвенції, що утворився на початок бюджетного періоду</t>
  </si>
  <si>
    <t>Виконання інвестиційних проектів за рахунок субвенцій з інших бюджетів</t>
  </si>
  <si>
    <t>1517368</t>
  </si>
  <si>
    <t>у тому числі субвенція з місцевого бюджету за рахунок залишку коштів освітньої субвенції, що утворився на початок бюджетного періоду (на оновлення матеріально-технічної бази)</t>
  </si>
  <si>
    <t>у тому числі інші субвенції з місцевого бюджету (субвенція з обласного бюджету до місцевих бюджетів на впровадження новітніх технологій)</t>
  </si>
  <si>
    <t>у тому числі інші субвенції з місцевого бюджету (субвенція з обласного бюджету до місцевих бюджетів на створення ресурсних кімнат для дітей з особливими освітніми потребами, що потребують інклюзивної освіти)</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</si>
  <si>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та витратних матеріалів для початкової школи)</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</si>
  <si>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інноваційного навчально-тренінгового класу)</t>
  </si>
  <si>
    <t>у тому числі субвенція з місцевого бюджету за рахунок залишку коштів освітньої субвенції, що утворився на початок бюджетного періоду (на придбання обладнання для створення умов для підготовки та проведення зовнішнього незалежного оцінювання з іноземних мов)</t>
  </si>
  <si>
    <t xml:space="preserve">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 </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</si>
  <si>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</si>
  <si>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</si>
  <si>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 xml:space="preserve">у тому числі Субвенція з місцевого бюджету на забезпечення якісної, сучасної та доступної загальної середньої освіти "Нова українська школа" на придбання дидактичного матеріалу та сучасних меблів, на придбання комп'ютерного обладнання, відповідного мультимедійного контенту для початкових класів </t>
  </si>
  <si>
    <t>0813220</t>
  </si>
  <si>
    <t>Грошова компенсація за належні для отримання жилі приміщення для окремих категорій населення відповідно до законодавства</t>
  </si>
  <si>
    <t>0813221</t>
  </si>
  <si>
    <t>Грошова компенсація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</si>
  <si>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в т.ч. за рахунок субвенції з місцевого бюджету на виплату грошової компенсації за належні для отримання жилі приміщення для сімей загиблих осіб, визначених абзацами 5-8 пункту 1 статті 10 Закону України «Про статус ветеранів війни, гарантії їх соціального захисту», для осіб з інвалідністю І-ІІ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визначених пунктами 11-14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</si>
  <si>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3416030</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</si>
  <si>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</si>
  <si>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0611162</t>
  </si>
  <si>
    <t>Інші програми та заходи у сфері освіти</t>
  </si>
  <si>
    <t>0618340</t>
  </si>
  <si>
    <t>1518340</t>
  </si>
  <si>
    <t>2919770</t>
  </si>
  <si>
    <t xml:space="preserve">Інші субвенції з місцевого бюджету </t>
  </si>
  <si>
    <t>1516015</t>
  </si>
  <si>
    <t>Забезпечення надійної та безперебійної експлуатації ліфтів</t>
  </si>
  <si>
    <t>3416020</t>
  </si>
  <si>
    <t>3719150</t>
  </si>
  <si>
    <t>Інші дотації з місцевого бюджету</t>
  </si>
  <si>
    <t>Секретар міської ради</t>
  </si>
  <si>
    <t>О.Ю.Залевський</t>
  </si>
  <si>
    <t>0713210</t>
  </si>
  <si>
    <t>у тому числі інші субвенції з місцевого бюджету (на соціально-економічний розвиток)</t>
  </si>
  <si>
    <t>у тому числі інші субвенції з місцевого бюджету (на виконання доручень виборців депутатами обласної ради у 2018 році)</t>
  </si>
  <si>
    <t>0810170</t>
  </si>
  <si>
    <t>3210170</t>
  </si>
  <si>
    <t>Повернення кредитів (позик), що залучаються органами місцевого самоврядування, від міжнародних фінансових організацій для реалізації інвестиційних проектів</t>
  </si>
  <si>
    <t>в тому числі за рахунок субвенції з місцевого бюджету на здійснення переданих видаткіу сфері освіти за рахунок коштів освітньої субвенції на інклюзивно-ресурсні центри</t>
  </si>
  <si>
    <t>у тому числі субвенція з місцевого бюджету на здійснення переданих видатків у сфері освіти за рахунок коштів освітньої субвенції  на приватні школи</t>
  </si>
  <si>
    <t>у тому числі інші субвенції з місцевого бюджету (на виконання доручень виборців депутатами обласної ради у 2019 році)</t>
  </si>
  <si>
    <t>в т.ч. за рахунок місцевого бюджету (на виконання доручень виборців депутутами міської ради у 2019 році)</t>
  </si>
  <si>
    <t>3133</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</si>
  <si>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</si>
  <si>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в т.ч. за рахунок субвенції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</si>
  <si>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</si>
  <si>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в т.ч. за рахунок субвенції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</si>
  <si>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Будівництво1 інших об’єктів комунальної власності</t>
  </si>
  <si>
    <t>в т.ч. на виконання доручень виборців депутутами обласної ради у 2019році</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</si>
  <si>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</si>
  <si>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</si>
  <si>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</si>
  <si>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3718872</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</si>
  <si>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</si>
  <si>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0710170</t>
  </si>
  <si>
    <t>1510170</t>
  </si>
  <si>
    <t>1610170</t>
  </si>
  <si>
    <t>2810170</t>
  </si>
  <si>
    <t>2710170</t>
  </si>
  <si>
    <t>1517693</t>
  </si>
  <si>
    <t>Інші заходи, пов'язані з економічною діяльністю</t>
  </si>
  <si>
    <t>в тому числі на виконання доручень виборців депутатами обласної ради у 2019 році</t>
  </si>
  <si>
    <t>4113130</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</si>
  <si>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</si>
  <si>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</si>
  <si>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</si>
  <si>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</si>
  <si>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</si>
  <si>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усього</t>
  </si>
  <si>
    <t>у тому числі бюджет розвитку</t>
  </si>
  <si>
    <t>(грн)</t>
  </si>
  <si>
    <t>Х</t>
  </si>
  <si>
    <t>УСЬОГО</t>
  </si>
  <si>
    <t>видатків міського бюджету  на 2019 рік</t>
  </si>
  <si>
    <t>4110170</t>
  </si>
  <si>
    <t>РОЗПОДІЛ</t>
  </si>
  <si>
    <t>Загальний фонд</t>
  </si>
  <si>
    <t>видатки споживання</t>
  </si>
  <si>
    <t>з них</t>
  </si>
  <si>
    <t>оплата праці</t>
  </si>
  <si>
    <t>комунальні послуги та енергоносії</t>
  </si>
  <si>
    <t>видатки розвитку</t>
  </si>
  <si>
    <t>Спеціальний фонд</t>
  </si>
  <si>
    <t>РАЗОМ</t>
  </si>
  <si>
    <t>0100000</t>
  </si>
  <si>
    <t>0110000</t>
  </si>
  <si>
    <t>0110150</t>
  </si>
  <si>
    <t>0111</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</si>
  <si>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</si>
  <si>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</si>
  <si>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</si>
  <si>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0133</t>
  </si>
  <si>
    <t>0180</t>
  </si>
  <si>
    <t>Інша діяльність у сфері державного управління</t>
  </si>
  <si>
    <t>0118410</t>
  </si>
  <si>
    <t>0830</t>
  </si>
  <si>
    <t>8410</t>
  </si>
  <si>
    <t>Фінансова підтримка засобів масової інформації</t>
  </si>
  <si>
    <t>0200000</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</si>
  <si>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</si>
  <si>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0210000</t>
  </si>
  <si>
    <t>0210160</t>
  </si>
  <si>
    <t>0160</t>
  </si>
  <si>
    <t>Керівництво і управління у відповідній сфері у містах (місті Києві), селищах, селах, об`єднаних територіальних громадах</t>
  </si>
  <si>
    <t>0210180</t>
  </si>
  <si>
    <t>0600000</t>
  </si>
  <si>
    <t>Орган з питань освіти і науки</t>
  </si>
  <si>
    <t>0610000</t>
  </si>
  <si>
    <t>Департамент з гуманітарних питань  міської ради</t>
  </si>
  <si>
    <t>0610160</t>
  </si>
  <si>
    <t>0610180</t>
  </si>
  <si>
    <t>0611010</t>
  </si>
  <si>
    <t>0910</t>
  </si>
  <si>
    <t>1010</t>
  </si>
  <si>
    <t>Надання дошкільної освіти</t>
  </si>
  <si>
    <t>0611020</t>
  </si>
  <si>
    <t>0921</t>
  </si>
  <si>
    <t>1020</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</si>
  <si>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</si>
  <si>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0611040</t>
  </si>
  <si>
    <t>0922</t>
  </si>
  <si>
    <t>1040</t>
  </si>
  <si>
    <t>Надання загальної середньої освіти загальноосвiтнiми школами-iнтернатами, загальноосвітніми санаторними школами-інтернатами</t>
  </si>
  <si>
    <t>0611090</t>
  </si>
  <si>
    <t>0960</t>
  </si>
  <si>
    <t>1090</t>
  </si>
  <si>
    <t>Надання позашкільної освіти позашкільними закладами освіти, заходи із позашкільної роботи з дітьми</t>
  </si>
  <si>
    <t>0611100</t>
  </si>
  <si>
    <t>1100</t>
  </si>
  <si>
    <t>Надання спеціальної освіти школами естетичного виховання (музичними, художніми, хореографічними, театральними, хоровими, мистецькими)</t>
  </si>
  <si>
    <t>0611150</t>
  </si>
  <si>
    <t>0990</t>
  </si>
  <si>
    <t>1150</t>
  </si>
  <si>
    <t>Методичне забезпечення діяльності навчальних закладів</t>
  </si>
  <si>
    <t>3130</t>
  </si>
  <si>
    <t>Реалізація державної політики у молодіжній сфері</t>
  </si>
  <si>
    <t>0613131</t>
  </si>
  <si>
    <t>3131</t>
  </si>
  <si>
    <t>Здійснення заходів та реалізація проектів на виконання Державної цільової соціальної програми `Молодь України`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</si>
  <si>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</si>
  <si>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</si>
  <si>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</si>
  <si>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0613230</t>
  </si>
  <si>
    <t>3230</t>
  </si>
  <si>
    <t>Інші заклади та заходи</t>
  </si>
  <si>
    <t>0614010</t>
  </si>
  <si>
    <t>0821</t>
  </si>
  <si>
    <t>4010</t>
  </si>
  <si>
    <t>Фінансова підтримка театрів</t>
  </si>
  <si>
    <t>0614030</t>
  </si>
  <si>
    <t>0824</t>
  </si>
  <si>
    <t>4030</t>
  </si>
  <si>
    <t>Забезпечення діяльності бібліотек</t>
  </si>
  <si>
    <t>0614040</t>
  </si>
  <si>
    <t>4040</t>
  </si>
  <si>
    <t>Забезпечення діяльності музеїв i виставок</t>
  </si>
  <si>
    <t>0615011</t>
  </si>
  <si>
    <t>0810</t>
  </si>
  <si>
    <t>5011</t>
  </si>
  <si>
    <t>Проведення навчально-тренувальних зборів і змагань з олімпійських видів спорту</t>
  </si>
  <si>
    <t>0615012</t>
  </si>
  <si>
    <t>5012</t>
  </si>
  <si>
    <t>Проведення навчально-тренувальних зборів і змагань з неолімпійських видів спорту</t>
  </si>
  <si>
    <t>0615020</t>
  </si>
  <si>
    <t>5020</t>
  </si>
  <si>
    <t>0615021</t>
  </si>
  <si>
    <t>5021</t>
  </si>
  <si>
    <t>0615022</t>
  </si>
  <si>
    <t>5022</t>
  </si>
  <si>
    <t>0615030</t>
  </si>
  <si>
    <t>5030</t>
  </si>
  <si>
    <t>Розвиток дитячо-юнацького та резервного спорту</t>
  </si>
  <si>
    <t>0615031</t>
  </si>
  <si>
    <t>5031</t>
  </si>
  <si>
    <t>Утримання та навчально-тренувальна робота комунальних дитячо-юнацьких спортивних шкіл</t>
  </si>
  <si>
    <t>0615032</t>
  </si>
  <si>
    <t>5032</t>
  </si>
  <si>
    <t>Фінансова підтримка дитячо-юнацьких спортивних шкіл фізкультурно-спортивних товариств</t>
  </si>
  <si>
    <t>0615040</t>
  </si>
  <si>
    <t>5040</t>
  </si>
  <si>
    <t>Підтримка і розвиток спортивної інфраструктури</t>
  </si>
  <si>
    <t>0615041</t>
  </si>
  <si>
    <t>5041</t>
  </si>
  <si>
    <t>Утримання та фінансова підтримка спортивних споруд</t>
  </si>
  <si>
    <t>0615050</t>
  </si>
  <si>
    <t>5050</t>
  </si>
  <si>
    <t>Підтримка фізкультурно-спортивного руху</t>
  </si>
  <si>
    <t>0615053</t>
  </si>
  <si>
    <t>5053</t>
  </si>
  <si>
    <t>Фінансова підтримка на утримання місцевих осередків (рад) всеукраїнських організацій фізкультурно-спортивної спрямованості</t>
  </si>
  <si>
    <t>0615060</t>
  </si>
  <si>
    <t>5060</t>
  </si>
  <si>
    <t>Інші заходи з розвитку фізичної культури та спорту</t>
  </si>
  <si>
    <t>0615061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</si>
  <si>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</si>
  <si>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</si>
  <si>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0615062</t>
  </si>
  <si>
    <t>5062</t>
  </si>
  <si>
    <t>Підтримка спорту вищих досягнень та організацій, які здійснюють фізкультурно-спортивну діяльність в регіоні</t>
  </si>
  <si>
    <t>0443</t>
  </si>
  <si>
    <t>0617321</t>
  </si>
  <si>
    <t>7321</t>
  </si>
  <si>
    <t>Будівництво освітніх установ та закладів</t>
  </si>
  <si>
    <t>0617640</t>
  </si>
  <si>
    <t>0470</t>
  </si>
  <si>
    <t>7640</t>
  </si>
  <si>
    <t>Заходи з енергозбереження</t>
  </si>
  <si>
    <t>0617670</t>
  </si>
  <si>
    <t>0490</t>
  </si>
  <si>
    <t>7670</t>
  </si>
  <si>
    <t>Внески до статутного капіталу суб`єктів господарювання</t>
  </si>
  <si>
    <t>0700000</t>
  </si>
  <si>
    <t>Орган з питань охорони здоров`я</t>
  </si>
  <si>
    <t>0710000</t>
  </si>
  <si>
    <t>0710160</t>
  </si>
  <si>
    <t>0710180</t>
  </si>
  <si>
    <t>0712010</t>
  </si>
  <si>
    <t>0731</t>
  </si>
  <si>
    <t>2010</t>
  </si>
  <si>
    <t>Багатопрофільна стаціонарна медична допомога населенню</t>
  </si>
  <si>
    <t>0712020</t>
  </si>
  <si>
    <t>0732</t>
  </si>
  <si>
    <t>2020</t>
  </si>
  <si>
    <t>Спеціалізована стаціонарна медична допомога населенню</t>
  </si>
  <si>
    <t>0712080</t>
  </si>
  <si>
    <t>0721</t>
  </si>
  <si>
    <t>2080</t>
  </si>
  <si>
    <t>0712100</t>
  </si>
  <si>
    <t>0722</t>
  </si>
  <si>
    <t>2100</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</si>
  <si>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</si>
  <si>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</si>
  <si>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</si>
  <si>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</si>
  <si>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0712150</t>
  </si>
  <si>
    <t>0763</t>
  </si>
  <si>
    <t>2150</t>
  </si>
  <si>
    <t>Інші програми, заклади та заходи у сфері охорони здоров`я</t>
  </si>
  <si>
    <t>0717322</t>
  </si>
  <si>
    <t>7322</t>
  </si>
  <si>
    <t>Будівництво медичних установ та закладів</t>
  </si>
  <si>
    <t>0800000</t>
  </si>
  <si>
    <t>Орган з питань праці та соціального захисту населення</t>
  </si>
  <si>
    <t>0810000</t>
  </si>
  <si>
    <t>0810160</t>
  </si>
  <si>
    <t>0810180</t>
  </si>
  <si>
    <t>1060</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</si>
  <si>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</si>
  <si>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</si>
  <si>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</si>
  <si>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0813011</t>
  </si>
  <si>
    <t>1030</t>
  </si>
  <si>
    <t>3011</t>
  </si>
  <si>
    <t>Надання пільг на оплату житлово-комунальних послуг окремим категоріям громадян відповідно до законодавства</t>
  </si>
  <si>
    <t>0813012</t>
  </si>
  <si>
    <t>3012</t>
  </si>
  <si>
    <t>Надання субсидій населенню для відшкодування витрат на оплату житлово-комунальних послуг</t>
  </si>
  <si>
    <t>0813020</t>
  </si>
  <si>
    <t>3020</t>
  </si>
  <si>
    <t>Надання пільг та субсидій населенню на придбання твердого та рідкого пічного побутового палива і скрапленого газу</t>
  </si>
  <si>
    <t>0813021</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</si>
  <si>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</si>
  <si>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</si>
  <si>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</si>
  <si>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</si>
  <si>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Надання субсидій населенню для відшкодування витрат на придбання твердого та рідкого пічного побутового палива і скрапленого газу</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</si>
  <si>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</si>
  <si>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</si>
  <si>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</si>
  <si>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</si>
  <si>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</si>
  <si>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</si>
  <si>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0813033</t>
  </si>
  <si>
    <t>1070</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</si>
  <si>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</si>
  <si>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</si>
  <si>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</si>
  <si>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</si>
  <si>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</si>
  <si>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0813036</t>
  </si>
  <si>
    <t>3036</t>
  </si>
  <si>
    <t>Компенсаційні виплати на пільговий проїзд електротранспортом окремим категоріям громадян</t>
  </si>
  <si>
    <t>0813040</t>
  </si>
  <si>
    <t>3040</t>
  </si>
  <si>
    <t>0813041</t>
  </si>
  <si>
    <t>3041</t>
  </si>
  <si>
    <t>Надання допомоги у зв`язку з вагітністю і пологами</t>
  </si>
  <si>
    <t>0813043</t>
  </si>
  <si>
    <t>3043</t>
  </si>
  <si>
    <t>Надання допомоги при народженні дитини</t>
  </si>
  <si>
    <t>0813044</t>
  </si>
  <si>
    <t>3044</t>
  </si>
  <si>
    <t>Надання допомоги на дітей, над якими встановлено опіку чи піклування</t>
  </si>
  <si>
    <t>0813045</t>
  </si>
  <si>
    <t>3045</t>
  </si>
  <si>
    <t>Надання допомоги на дітей одиноким матерям</t>
  </si>
  <si>
    <t>0813046</t>
  </si>
  <si>
    <t>3046</t>
  </si>
  <si>
    <t>Надання тимчасової державної допомоги дітям</t>
  </si>
  <si>
    <t>0813047</t>
  </si>
  <si>
    <t>3047</t>
  </si>
  <si>
    <t>Надання допомоги при усиновленні дитини</t>
  </si>
  <si>
    <t>0813080</t>
  </si>
  <si>
    <t>3080</t>
  </si>
  <si>
    <t>0813100</t>
  </si>
  <si>
    <t>3100</t>
  </si>
  <si>
    <t>0813104</t>
  </si>
  <si>
    <t>3104</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</si>
  <si>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</si>
  <si>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</si>
  <si>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</si>
  <si>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</si>
  <si>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</si>
  <si>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</si>
  <si>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</si>
  <si>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</si>
  <si>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</si>
  <si>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0813140</t>
  </si>
  <si>
    <t>0813160</t>
  </si>
  <si>
    <t>3160</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</si>
</sst>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00"/>
    <numFmt numFmtId="202" formatCode="0.00_ ;[Red]\-0.00\ "/>
    <numFmt numFmtId="203" formatCode="#,##0.00_ ;[Red]\-#,##0.00\ "/>
  </numFmts>
  <fonts count="84">
    <font>
      <sz val="10"/>
      <name val="Arial Cyr"/>
      <family val="0"/>
    </font>
    <font>
      <sz val="8"/>
      <name val="Arial Cyr"/>
      <family val="0"/>
    </font>
    <font>
      <sz val="11"/>
      <name val="Times New Roman"/>
      <family val="1"/>
    </font>
    <font>
      <sz val="24"/>
      <name val="Times New Roman"/>
      <family val="1"/>
    </font>
    <font>
      <i/>
      <sz val="9"/>
      <name val="Times New Roman"/>
      <family val="1"/>
    </font>
    <font>
      <u val="single"/>
      <sz val="7.5"/>
      <color indexed="12"/>
      <name val="Arial Cyr"/>
      <family val="0"/>
    </font>
    <font>
      <u val="single"/>
      <sz val="7.5"/>
      <color indexed="36"/>
      <name val="Arial Cyr"/>
      <family val="0"/>
    </font>
    <font>
      <sz val="10"/>
      <name val="Times New Roman"/>
      <family val="1"/>
    </font>
    <font>
      <sz val="9"/>
      <name val="Times New Roman"/>
      <family val="1"/>
    </font>
    <font>
      <b/>
      <sz val="10"/>
      <name val="Times New Roman"/>
      <family val="1"/>
    </font>
    <font>
      <i/>
      <sz val="10"/>
      <name val="Times New Roman"/>
      <family val="1"/>
    </font>
    <font>
      <sz val="12"/>
      <name val="Arial Cyr"/>
      <family val="0"/>
    </font>
    <font>
      <sz val="10"/>
      <color indexed="12"/>
      <name val="Times New Roman"/>
      <family val="1"/>
    </font>
    <font>
      <i/>
      <sz val="9"/>
      <color indexed="12"/>
      <name val="Times New Roman"/>
      <family val="1"/>
    </font>
    <font>
      <sz val="12"/>
      <name val="Times New Roman"/>
      <family val="1"/>
    </font>
    <font>
      <b/>
      <sz val="12"/>
      <name val="Times New Roman"/>
      <family val="1"/>
    </font>
    <font>
      <i/>
      <sz val="12"/>
      <name val="Times New Roman"/>
      <family val="1"/>
    </font>
    <font>
      <b/>
      <sz val="12"/>
      <color indexed="36"/>
      <name val="Arial Cyr"/>
      <family val="0"/>
    </font>
    <font>
      <sz val="14"/>
      <name val="Times New Roman"/>
      <family val="1"/>
    </font>
    <font>
      <sz val="10"/>
      <color indexed="10"/>
      <name val="Arial Cyr"/>
      <family val="0"/>
    </font>
    <font>
      <sz val="24"/>
      <name val="Arial Cyr"/>
      <family val="0"/>
    </font>
    <font>
      <i/>
      <sz val="10"/>
      <color indexed="12"/>
      <name val="Times New Roman"/>
      <family val="1"/>
    </font>
    <font>
      <sz val="11"/>
      <name val="Arial Cyr"/>
      <family val="0"/>
    </font>
    <font>
      <b/>
      <i/>
      <sz val="11"/>
      <name val="Arial Cyr"/>
      <family val="0"/>
    </font>
    <font>
      <b/>
      <i/>
      <sz val="11"/>
      <name val="Arial"/>
      <family val="2"/>
    </font>
    <font>
      <b/>
      <sz val="12"/>
      <name val="Arial Cyr"/>
      <family val="0"/>
    </font>
    <font>
      <b/>
      <i/>
      <sz val="12"/>
      <name val="Arial Cyr"/>
      <family val="0"/>
    </font>
    <font>
      <i/>
      <sz val="11"/>
      <name val="Times New Roman"/>
      <family val="1"/>
    </font>
    <font>
      <i/>
      <sz val="11"/>
      <color indexed="9"/>
      <name val="Arial Cyr"/>
      <family val="0"/>
    </font>
    <font>
      <i/>
      <sz val="12"/>
      <color indexed="9"/>
      <name val="Arial Cyr"/>
      <family val="0"/>
    </font>
    <font>
      <i/>
      <sz val="10"/>
      <color indexed="9"/>
      <name val="Arial Cyr"/>
      <family val="0"/>
    </font>
    <font>
      <b/>
      <i/>
      <sz val="10"/>
      <name val="Arial Cyr"/>
      <family val="0"/>
    </font>
    <font>
      <i/>
      <sz val="12"/>
      <color indexed="9"/>
      <name val="Cambria"/>
      <family val="1"/>
    </font>
    <font>
      <b/>
      <sz val="13"/>
      <name val="Times New Roman"/>
      <family val="1"/>
    </font>
    <font>
      <i/>
      <sz val="11"/>
      <color indexed="12"/>
      <name val="Arial Cyr"/>
      <family val="0"/>
    </font>
    <font>
      <i/>
      <sz val="12"/>
      <color indexed="12"/>
      <name val="Arial Cyr"/>
      <family val="0"/>
    </font>
    <font>
      <sz val="10"/>
      <color indexed="12"/>
      <name val="Arial Cyr"/>
      <family val="0"/>
    </font>
    <font>
      <b/>
      <i/>
      <sz val="10"/>
      <color indexed="12"/>
      <name val="Arial Cyr"/>
      <family val="0"/>
    </font>
    <font>
      <sz val="12"/>
      <color indexed="12"/>
      <name val="Arial Cyr"/>
      <family val="0"/>
    </font>
    <font>
      <sz val="11"/>
      <color indexed="12"/>
      <name val="Arial Cyr"/>
      <family val="0"/>
    </font>
    <font>
      <i/>
      <sz val="10"/>
      <name val="Arial Cyr"/>
      <family val="0"/>
    </font>
    <font>
      <b/>
      <i/>
      <sz val="11"/>
      <name val="Times New Roman"/>
      <family val="1"/>
    </font>
    <font>
      <b/>
      <i/>
      <sz val="11"/>
      <color indexed="8"/>
      <name val="Times New Roman"/>
      <family val="1"/>
    </font>
    <font>
      <i/>
      <sz val="11"/>
      <color indexed="8"/>
      <name val="Times New Roman"/>
      <family val="1"/>
    </font>
    <font>
      <u val="single"/>
      <sz val="12"/>
      <name val="Times New Roman"/>
      <family val="1"/>
    </font>
    <font>
      <b/>
      <i/>
      <sz val="10"/>
      <name val="Arial"/>
      <family val="2"/>
    </font>
    <font>
      <b/>
      <sz val="13"/>
      <color indexed="9"/>
      <name val="Times New Roman"/>
      <family val="1"/>
    </font>
    <font>
      <sz val="13"/>
      <color indexed="9"/>
      <name val="Times New Roman"/>
      <family val="1"/>
    </font>
    <font>
      <sz val="9"/>
      <color indexed="9"/>
      <name val="Times New Roman"/>
      <family val="1"/>
    </font>
    <font>
      <sz val="10"/>
      <color indexed="9"/>
      <name val="Arial Cyr"/>
      <family val="0"/>
    </font>
    <font>
      <sz val="10"/>
      <color indexed="8"/>
      <name val="Calibri"/>
      <family val="2"/>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1"/>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25" borderId="1" applyNumberFormat="0" applyAlignment="0" applyProtection="0"/>
    <xf numFmtId="0" fontId="70" fillId="26" borderId="2" applyNumberFormat="0" applyAlignment="0" applyProtection="0"/>
    <xf numFmtId="0" fontId="71"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27" borderId="7" applyNumberFormat="0" applyAlignment="0" applyProtection="0"/>
    <xf numFmtId="0" fontId="77" fillId="0" borderId="0" applyNumberFormat="0" applyFill="0" applyBorder="0" applyAlignment="0" applyProtection="0"/>
    <xf numFmtId="0" fontId="78" fillId="28" borderId="0" applyNumberFormat="0" applyBorder="0" applyAlignment="0" applyProtection="0"/>
    <xf numFmtId="0" fontId="0" fillId="0" borderId="0">
      <alignment/>
      <protection/>
    </xf>
    <xf numFmtId="0" fontId="6" fillId="0" borderId="0" applyNumberFormat="0" applyFill="0" applyBorder="0" applyAlignment="0" applyProtection="0"/>
    <xf numFmtId="0" fontId="79" fillId="29" borderId="0" applyNumberFormat="0" applyBorder="0" applyAlignment="0" applyProtection="0"/>
    <xf numFmtId="0" fontId="8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31" borderId="0" applyNumberFormat="0" applyBorder="0" applyAlignment="0" applyProtection="0"/>
  </cellStyleXfs>
  <cellXfs count="315">
    <xf numFmtId="0" fontId="0" fillId="0" borderId="0" xfId="0" applyAlignment="1">
      <alignment/>
    </xf>
    <xf numFmtId="2" fontId="4" fillId="0" borderId="10" xfId="0" applyNumberFormat="1" applyFont="1" applyBorder="1" applyAlignment="1">
      <alignment horizontal="left" vertical="center" wrapText="1"/>
    </xf>
    <xf numFmtId="2" fontId="2" fillId="0" borderId="10" xfId="0" applyNumberFormat="1" applyFont="1" applyFill="1" applyBorder="1" applyAlignment="1">
      <alignment horizontal="left" vertical="center" wrapText="1"/>
    </xf>
    <xf numFmtId="2" fontId="4" fillId="0" borderId="10" xfId="0" applyNumberFormat="1" applyFont="1" applyBorder="1" applyAlignment="1">
      <alignment vertical="center" wrapText="1"/>
    </xf>
    <xf numFmtId="1" fontId="7" fillId="0" borderId="10" xfId="0" applyNumberFormat="1" applyFont="1" applyBorder="1" applyAlignment="1">
      <alignment horizontal="center" vertical="center" wrapText="1"/>
    </xf>
    <xf numFmtId="2" fontId="7" fillId="4" borderId="10" xfId="0" applyNumberFormat="1" applyFont="1" applyFill="1" applyBorder="1" applyAlignment="1" quotePrefix="1">
      <alignment vertical="center" wrapText="1"/>
    </xf>
    <xf numFmtId="2" fontId="9" fillId="32" borderId="10" xfId="0" applyNumberFormat="1" applyFont="1" applyFill="1" applyBorder="1" applyAlignment="1">
      <alignment vertical="center" wrapText="1"/>
    </xf>
    <xf numFmtId="2" fontId="7" fillId="0" borderId="10" xfId="0" applyNumberFormat="1" applyFont="1" applyBorder="1" applyAlignment="1" quotePrefix="1">
      <alignment vertical="center" wrapText="1"/>
    </xf>
    <xf numFmtId="2" fontId="7" fillId="0" borderId="11" xfId="0" applyNumberFormat="1" applyFont="1" applyBorder="1" applyAlignment="1">
      <alignment vertical="center" wrapText="1"/>
    </xf>
    <xf numFmtId="2" fontId="9" fillId="32" borderId="10" xfId="0" applyNumberFormat="1" applyFont="1" applyFill="1" applyBorder="1" applyAlignment="1" quotePrefix="1">
      <alignment vertical="center" wrapText="1"/>
    </xf>
    <xf numFmtId="2" fontId="10" fillId="0" borderId="10" xfId="0" applyNumberFormat="1" applyFont="1" applyBorder="1" applyAlignment="1">
      <alignment vertical="center" wrapText="1"/>
    </xf>
    <xf numFmtId="2" fontId="10" fillId="0" borderId="10" xfId="0" applyNumberFormat="1" applyFont="1" applyBorder="1" applyAlignment="1" quotePrefix="1">
      <alignment vertical="center" wrapText="1"/>
    </xf>
    <xf numFmtId="2" fontId="7" fillId="0" borderId="10" xfId="0" applyNumberFormat="1" applyFont="1" applyBorder="1" applyAlignment="1">
      <alignment vertical="center" wrapText="1"/>
    </xf>
    <xf numFmtId="2" fontId="7" fillId="33" borderId="10" xfId="0" applyNumberFormat="1" applyFont="1" applyFill="1" applyBorder="1" applyAlignment="1" quotePrefix="1">
      <alignment vertical="center" wrapText="1"/>
    </xf>
    <xf numFmtId="2" fontId="7" fillId="33" borderId="10" xfId="0" applyNumberFormat="1" applyFont="1" applyFill="1" applyBorder="1" applyAlignment="1">
      <alignment vertical="center" wrapText="1"/>
    </xf>
    <xf numFmtId="2" fontId="7" fillId="0" borderId="10" xfId="0" applyNumberFormat="1" applyFont="1" applyFill="1" applyBorder="1" applyAlignment="1">
      <alignment vertical="center" wrapText="1"/>
    </xf>
    <xf numFmtId="2" fontId="10" fillId="0" borderId="10" xfId="0" applyNumberFormat="1" applyFont="1" applyFill="1" applyBorder="1" applyAlignment="1">
      <alignment vertical="center" wrapText="1"/>
    </xf>
    <xf numFmtId="2" fontId="7" fillId="32" borderId="10" xfId="0" applyNumberFormat="1" applyFont="1" applyFill="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2" fontId="7" fillId="33" borderId="11" xfId="0" applyNumberFormat="1" applyFont="1" applyFill="1" applyBorder="1" applyAlignment="1" quotePrefix="1">
      <alignment vertical="center" wrapText="1"/>
    </xf>
    <xf numFmtId="0" fontId="7" fillId="0" borderId="0" xfId="0" applyFont="1" applyAlignment="1">
      <alignment horizontal="left" vertical="center" wrapText="1"/>
    </xf>
    <xf numFmtId="2" fontId="9" fillId="4" borderId="10" xfId="0" applyNumberFormat="1" applyFont="1" applyFill="1" applyBorder="1" applyAlignment="1" quotePrefix="1">
      <alignment vertical="center" wrapText="1"/>
    </xf>
    <xf numFmtId="3" fontId="7" fillId="4" borderId="0" xfId="0" applyNumberFormat="1" applyFont="1" applyFill="1" applyBorder="1" applyAlignment="1">
      <alignment vertical="center" wrapText="1"/>
    </xf>
    <xf numFmtId="2" fontId="7" fillId="0" borderId="10" xfId="0" applyNumberFormat="1" applyFont="1" applyFill="1" applyBorder="1" applyAlignment="1" quotePrefix="1">
      <alignment vertical="center" wrapText="1"/>
    </xf>
    <xf numFmtId="3" fontId="7" fillId="33" borderId="10" xfId="0" applyNumberFormat="1" applyFont="1" applyFill="1" applyBorder="1" applyAlignment="1" applyProtection="1">
      <alignment horizontal="center" vertical="center" wrapText="1"/>
      <protection/>
    </xf>
    <xf numFmtId="0" fontId="7" fillId="0" borderId="0" xfId="0" applyFont="1" applyAlignment="1">
      <alignment vertical="center"/>
    </xf>
    <xf numFmtId="4" fontId="7" fillId="0" borderId="0" xfId="0" applyNumberFormat="1" applyFont="1" applyAlignment="1">
      <alignment vertical="center"/>
    </xf>
    <xf numFmtId="1" fontId="8" fillId="0" borderId="0" xfId="0" applyNumberFormat="1" applyFont="1" applyAlignment="1">
      <alignment vertical="center"/>
    </xf>
    <xf numFmtId="0" fontId="7" fillId="4" borderId="0" xfId="0" applyFont="1" applyFill="1" applyAlignment="1">
      <alignment vertical="center"/>
    </xf>
    <xf numFmtId="0" fontId="9" fillId="32" borderId="0" xfId="0" applyFont="1" applyFill="1" applyAlignment="1">
      <alignment vertical="center"/>
    </xf>
    <xf numFmtId="0" fontId="4" fillId="0" borderId="0" xfId="0" applyFont="1" applyAlignment="1">
      <alignment vertical="center"/>
    </xf>
    <xf numFmtId="0" fontId="7" fillId="33" borderId="0" xfId="0" applyFont="1" applyFill="1" applyAlignment="1">
      <alignment vertical="center"/>
    </xf>
    <xf numFmtId="0" fontId="7" fillId="0" borderId="0" xfId="0" applyFont="1" applyAlignment="1">
      <alignment horizontal="justify" vertical="center"/>
    </xf>
    <xf numFmtId="0" fontId="12" fillId="0" borderId="0" xfId="0" applyFont="1" applyAlignment="1">
      <alignment vertical="center"/>
    </xf>
    <xf numFmtId="0" fontId="13" fillId="0" borderId="0" xfId="0" applyFont="1" applyAlignment="1">
      <alignment vertical="center"/>
    </xf>
    <xf numFmtId="0" fontId="10" fillId="0" borderId="0" xfId="0" applyFont="1" applyAlignment="1">
      <alignment vertical="center"/>
    </xf>
    <xf numFmtId="0" fontId="4" fillId="0" borderId="0" xfId="0" applyFont="1" applyFill="1" applyAlignment="1">
      <alignment vertical="center"/>
    </xf>
    <xf numFmtId="0" fontId="7" fillId="33" borderId="10" xfId="0" applyFont="1" applyFill="1" applyBorder="1" applyAlignment="1">
      <alignment vertical="center" wrapText="1"/>
    </xf>
    <xf numFmtId="0" fontId="7" fillId="0" borderId="0" xfId="0" applyFont="1" applyFill="1" applyAlignment="1">
      <alignment vertical="center"/>
    </xf>
    <xf numFmtId="0" fontId="7" fillId="32" borderId="0" xfId="0" applyFont="1" applyFill="1" applyAlignment="1">
      <alignment vertical="center"/>
    </xf>
    <xf numFmtId="0" fontId="10" fillId="0" borderId="10" xfId="0" applyFont="1" applyBorder="1" applyAlignment="1">
      <alignment vertical="center" wrapText="1"/>
    </xf>
    <xf numFmtId="0" fontId="9" fillId="0" borderId="10" xfId="0" applyFont="1" applyBorder="1" applyAlignment="1">
      <alignment vertical="center" wrapText="1"/>
    </xf>
    <xf numFmtId="0" fontId="7" fillId="0" borderId="10" xfId="0" applyFont="1" applyBorder="1" applyAlignment="1">
      <alignment vertical="center"/>
    </xf>
    <xf numFmtId="0" fontId="7" fillId="0" borderId="12" xfId="0" applyFont="1" applyBorder="1" applyAlignment="1">
      <alignment vertical="center"/>
    </xf>
    <xf numFmtId="0" fontId="7" fillId="33" borderId="10" xfId="0" applyFont="1" applyFill="1" applyBorder="1" applyAlignment="1">
      <alignment vertical="center"/>
    </xf>
    <xf numFmtId="0" fontId="7" fillId="33" borderId="0" xfId="0" applyFont="1" applyFill="1" applyAlignment="1">
      <alignment vertical="center" wrapText="1"/>
    </xf>
    <xf numFmtId="0" fontId="12" fillId="0" borderId="0" xfId="0" applyFont="1" applyFill="1" applyAlignment="1">
      <alignment vertical="center"/>
    </xf>
    <xf numFmtId="0" fontId="7" fillId="34" borderId="0" xfId="0" applyFont="1" applyFill="1" applyAlignment="1">
      <alignment vertical="center"/>
    </xf>
    <xf numFmtId="0" fontId="0" fillId="0" borderId="0" xfId="0" applyFont="1" applyAlignment="1">
      <alignment vertical="center"/>
    </xf>
    <xf numFmtId="0" fontId="0" fillId="0" borderId="0" xfId="0" applyFont="1" applyAlignment="1">
      <alignment vertical="center"/>
    </xf>
    <xf numFmtId="49" fontId="11" fillId="0" borderId="0" xfId="0" applyNumberFormat="1" applyFont="1" applyAlignment="1">
      <alignment vertical="center"/>
    </xf>
    <xf numFmtId="0" fontId="11" fillId="0" borderId="0" xfId="0" applyFont="1" applyAlignment="1">
      <alignment vertical="center"/>
    </xf>
    <xf numFmtId="4" fontId="11" fillId="0" borderId="0" xfId="0" applyNumberFormat="1" applyFont="1" applyAlignment="1">
      <alignment vertical="center"/>
    </xf>
    <xf numFmtId="4" fontId="14" fillId="0" borderId="0" xfId="0" applyNumberFormat="1" applyFont="1" applyAlignment="1">
      <alignment vertical="center"/>
    </xf>
    <xf numFmtId="4" fontId="14" fillId="0" borderId="0" xfId="0" applyNumberFormat="1" applyFont="1" applyAlignment="1">
      <alignment horizontal="right" vertical="center"/>
    </xf>
    <xf numFmtId="1" fontId="14" fillId="32" borderId="10" xfId="0" applyNumberFormat="1" applyFont="1" applyFill="1" applyBorder="1" applyAlignment="1">
      <alignment horizontal="center" vertical="center" wrapText="1"/>
    </xf>
    <xf numFmtId="1" fontId="14" fillId="0" borderId="10" xfId="0" applyNumberFormat="1" applyFont="1" applyBorder="1" applyAlignment="1">
      <alignment horizontal="center" vertical="center" wrapText="1"/>
    </xf>
    <xf numFmtId="1" fontId="14" fillId="0" borderId="10" xfId="0" applyNumberFormat="1" applyFont="1" applyFill="1" applyBorder="1" applyAlignment="1">
      <alignment horizontal="center" vertical="center" wrapText="1"/>
    </xf>
    <xf numFmtId="4" fontId="11" fillId="0" borderId="0" xfId="0" applyNumberFormat="1" applyFont="1" applyFill="1" applyAlignment="1">
      <alignment vertical="center"/>
    </xf>
    <xf numFmtId="3" fontId="14" fillId="0" borderId="0" xfId="0" applyNumberFormat="1" applyFont="1" applyFill="1" applyBorder="1" applyAlignment="1">
      <alignment vertical="center" wrapText="1"/>
    </xf>
    <xf numFmtId="0" fontId="14" fillId="0" borderId="0" xfId="0" applyNumberFormat="1" applyFont="1" applyFill="1" applyAlignment="1" applyProtection="1">
      <alignment vertical="center" wrapText="1"/>
      <protection/>
    </xf>
    <xf numFmtId="4" fontId="14" fillId="0" borderId="0" xfId="0" applyNumberFormat="1" applyFont="1" applyFill="1" applyAlignment="1">
      <alignment vertical="center"/>
    </xf>
    <xf numFmtId="3" fontId="14" fillId="4" borderId="0" xfId="0" applyNumberFormat="1" applyFont="1" applyFill="1" applyBorder="1" applyAlignment="1">
      <alignment vertical="center" wrapText="1"/>
    </xf>
    <xf numFmtId="4" fontId="17" fillId="34" borderId="0" xfId="0" applyNumberFormat="1" applyFont="1" applyFill="1" applyAlignment="1">
      <alignment vertical="center"/>
    </xf>
    <xf numFmtId="49" fontId="14" fillId="0" borderId="0" xfId="0" applyNumberFormat="1" applyFont="1" applyAlignment="1">
      <alignment vertical="center"/>
    </xf>
    <xf numFmtId="0" fontId="14" fillId="0" borderId="0" xfId="0" applyFont="1" applyAlignment="1">
      <alignment vertical="center"/>
    </xf>
    <xf numFmtId="2" fontId="14" fillId="0" borderId="0" xfId="0" applyNumberFormat="1" applyFont="1" applyAlignment="1">
      <alignment vertical="center"/>
    </xf>
    <xf numFmtId="49" fontId="14" fillId="0" borderId="10" xfId="0" applyNumberFormat="1" applyFont="1" applyBorder="1" applyAlignment="1">
      <alignment horizontal="center" vertical="center" wrapText="1"/>
    </xf>
    <xf numFmtId="49" fontId="14" fillId="4" borderId="10" xfId="0" applyNumberFormat="1" applyFont="1" applyFill="1" applyBorder="1" applyAlignment="1" quotePrefix="1">
      <alignment horizontal="center" vertical="center" wrapText="1"/>
    </xf>
    <xf numFmtId="0" fontId="14" fillId="4" borderId="10" xfId="0" applyFont="1" applyFill="1" applyBorder="1" applyAlignment="1">
      <alignment horizontal="center" vertical="center" wrapText="1"/>
    </xf>
    <xf numFmtId="49" fontId="14" fillId="4" borderId="10" xfId="0" applyNumberFormat="1" applyFont="1" applyFill="1" applyBorder="1" applyAlignment="1">
      <alignment horizontal="center" vertical="center" wrapText="1"/>
    </xf>
    <xf numFmtId="49" fontId="15" fillId="32" borderId="10" xfId="0" applyNumberFormat="1" applyFont="1" applyFill="1" applyBorder="1" applyAlignment="1" quotePrefix="1">
      <alignment horizontal="center" vertical="center" wrapText="1"/>
    </xf>
    <xf numFmtId="0" fontId="15" fillId="32" borderId="10" xfId="0" applyFont="1" applyFill="1" applyBorder="1" applyAlignment="1">
      <alignment horizontal="center" vertical="center" wrapText="1"/>
    </xf>
    <xf numFmtId="49" fontId="15" fillId="32" borderId="10" xfId="0" applyNumberFormat="1" applyFont="1" applyFill="1" applyBorder="1" applyAlignment="1">
      <alignment horizontal="center" vertical="center" wrapText="1"/>
    </xf>
    <xf numFmtId="49" fontId="14" fillId="0" borderId="10" xfId="0" applyNumberFormat="1" applyFont="1" applyBorder="1" applyAlignment="1" quotePrefix="1">
      <alignment horizontal="center" vertical="center" wrapText="1"/>
    </xf>
    <xf numFmtId="0" fontId="14" fillId="0" borderId="10" xfId="0" applyFont="1" applyBorder="1" applyAlignment="1" quotePrefix="1">
      <alignment horizontal="center" vertical="center" wrapText="1"/>
    </xf>
    <xf numFmtId="49" fontId="14" fillId="0" borderId="11" xfId="0" applyNumberFormat="1" applyFont="1" applyBorder="1" applyAlignment="1">
      <alignment horizontal="center" vertical="center" wrapText="1"/>
    </xf>
    <xf numFmtId="49" fontId="14" fillId="0" borderId="0" xfId="0" applyNumberFormat="1" applyFont="1" applyAlignment="1">
      <alignment horizontal="center" vertical="center"/>
    </xf>
    <xf numFmtId="49" fontId="16" fillId="0" borderId="10" xfId="0" applyNumberFormat="1" applyFont="1" applyBorder="1" applyAlignment="1" quotePrefix="1">
      <alignment horizontal="center" vertical="center" wrapText="1"/>
    </xf>
    <xf numFmtId="0" fontId="16" fillId="0" borderId="10" xfId="0" applyFont="1" applyBorder="1" applyAlignment="1" quotePrefix="1">
      <alignment horizontal="center" vertical="center" wrapText="1"/>
    </xf>
    <xf numFmtId="49" fontId="14" fillId="33" borderId="10" xfId="0" applyNumberFormat="1" applyFont="1" applyFill="1" applyBorder="1" applyAlignment="1" quotePrefix="1">
      <alignment horizontal="center" vertical="center" wrapText="1"/>
    </xf>
    <xf numFmtId="0" fontId="14" fillId="33" borderId="10" xfId="0" applyFont="1" applyFill="1" applyBorder="1" applyAlignment="1" quotePrefix="1">
      <alignment horizontal="center" vertical="center" wrapText="1"/>
    </xf>
    <xf numFmtId="49" fontId="14" fillId="33"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49" fontId="16" fillId="0" borderId="13" xfId="0" applyNumberFormat="1" applyFont="1" applyBorder="1" applyAlignment="1" quotePrefix="1">
      <alignment horizontal="center" vertical="center" wrapText="1"/>
    </xf>
    <xf numFmtId="0" fontId="14" fillId="0" borderId="10" xfId="0" applyFont="1" applyFill="1" applyBorder="1" applyAlignment="1" quotePrefix="1">
      <alignment horizontal="center" vertical="center" wrapText="1"/>
    </xf>
    <xf numFmtId="49" fontId="14" fillId="0" borderId="10" xfId="0" applyNumberFormat="1" applyFont="1" applyFill="1" applyBorder="1" applyAlignment="1" quotePrefix="1">
      <alignment horizontal="center" vertical="center" wrapText="1"/>
    </xf>
    <xf numFmtId="0" fontId="14" fillId="0" borderId="10" xfId="0" applyFont="1" applyBorder="1" applyAlignment="1">
      <alignment horizontal="center" vertical="center" wrapText="1"/>
    </xf>
    <xf numFmtId="49" fontId="14" fillId="0" borderId="12" xfId="0" applyNumberFormat="1" applyFont="1" applyBorder="1" applyAlignment="1" quotePrefix="1">
      <alignment horizontal="center" vertical="center" wrapText="1"/>
    </xf>
    <xf numFmtId="0" fontId="14" fillId="0" borderId="12" xfId="0" applyFont="1" applyBorder="1" applyAlignment="1" quotePrefix="1">
      <alignment horizontal="center" vertical="center" wrapText="1"/>
    </xf>
    <xf numFmtId="49" fontId="14" fillId="0" borderId="14" xfId="0" applyNumberFormat="1" applyFont="1" applyBorder="1" applyAlignment="1" quotePrefix="1">
      <alignment horizontal="center" vertical="center" wrapText="1"/>
    </xf>
    <xf numFmtId="0" fontId="14" fillId="0" borderId="14" xfId="0" applyFont="1" applyBorder="1" applyAlignment="1" quotePrefix="1">
      <alignment horizontal="center" vertical="center" wrapText="1"/>
    </xf>
    <xf numFmtId="49" fontId="14" fillId="33" borderId="11" xfId="0" applyNumberFormat="1" applyFont="1" applyFill="1" applyBorder="1" applyAlignment="1" quotePrefix="1">
      <alignment horizontal="center" vertical="center" wrapText="1"/>
    </xf>
    <xf numFmtId="0" fontId="14" fillId="33" borderId="11" xfId="0" applyFont="1" applyFill="1" applyBorder="1" applyAlignment="1" quotePrefix="1">
      <alignment horizontal="center" vertical="center" wrapText="1"/>
    </xf>
    <xf numFmtId="49" fontId="14" fillId="33" borderId="11" xfId="0" applyNumberFormat="1" applyFont="1" applyFill="1" applyBorder="1" applyAlignment="1">
      <alignment horizontal="center" vertical="center" wrapText="1"/>
    </xf>
    <xf numFmtId="49" fontId="14" fillId="33" borderId="12" xfId="0" applyNumberFormat="1" applyFont="1" applyFill="1" applyBorder="1" applyAlignment="1" quotePrefix="1">
      <alignment horizontal="center" vertical="center" wrapText="1"/>
    </xf>
    <xf numFmtId="0" fontId="14" fillId="33" borderId="12" xfId="0" applyFont="1" applyFill="1" applyBorder="1" applyAlignment="1" quotePrefix="1">
      <alignment horizontal="center" vertical="center" wrapText="1"/>
    </xf>
    <xf numFmtId="49" fontId="15" fillId="4" borderId="10" xfId="0" applyNumberFormat="1" applyFont="1" applyFill="1" applyBorder="1" applyAlignment="1" quotePrefix="1">
      <alignment horizontal="center" vertical="center" wrapText="1"/>
    </xf>
    <xf numFmtId="0" fontId="15" fillId="4" borderId="10" xfId="0" applyFont="1" applyFill="1" applyBorder="1" applyAlignment="1">
      <alignment horizontal="center" vertical="center" wrapText="1"/>
    </xf>
    <xf numFmtId="49" fontId="15" fillId="4" borderId="10" xfId="0" applyNumberFormat="1" applyFont="1" applyFill="1" applyBorder="1" applyAlignment="1">
      <alignment horizontal="center" vertical="center" wrapText="1"/>
    </xf>
    <xf numFmtId="49" fontId="14" fillId="32" borderId="10" xfId="0" applyNumberFormat="1" applyFont="1" applyFill="1" applyBorder="1" applyAlignment="1" quotePrefix="1">
      <alignment horizontal="center" vertical="center" wrapText="1"/>
    </xf>
    <xf numFmtId="0" fontId="14" fillId="32" borderId="10" xfId="0" applyFont="1" applyFill="1" applyBorder="1" applyAlignment="1">
      <alignment horizontal="center" vertical="center" wrapText="1"/>
    </xf>
    <xf numFmtId="49" fontId="14" fillId="32" borderId="10" xfId="0" applyNumberFormat="1" applyFont="1" applyFill="1" applyBorder="1" applyAlignment="1">
      <alignment horizontal="center" vertical="center" wrapText="1"/>
    </xf>
    <xf numFmtId="49" fontId="14" fillId="33" borderId="10" xfId="0" applyNumberFormat="1" applyFont="1" applyFill="1" applyBorder="1" applyAlignment="1" applyProtection="1">
      <alignment horizontal="center" vertical="center" wrapText="1"/>
      <protection/>
    </xf>
    <xf numFmtId="49" fontId="14" fillId="0" borderId="10" xfId="0" applyNumberFormat="1" applyFont="1" applyFill="1" applyBorder="1" applyAlignment="1" applyProtection="1">
      <alignment horizontal="center" vertical="center" wrapText="1"/>
      <protection/>
    </xf>
    <xf numFmtId="3" fontId="11" fillId="0" borderId="0" xfId="0" applyNumberFormat="1" applyFont="1" applyAlignment="1">
      <alignment vertical="center"/>
    </xf>
    <xf numFmtId="4" fontId="0" fillId="0" borderId="0" xfId="0" applyNumberFormat="1" applyFont="1" applyAlignment="1">
      <alignment vertical="center"/>
    </xf>
    <xf numFmtId="2" fontId="0" fillId="4" borderId="10" xfId="0" applyNumberFormat="1" applyFont="1" applyFill="1" applyBorder="1" applyAlignment="1" quotePrefix="1">
      <alignment vertical="center" wrapText="1"/>
    </xf>
    <xf numFmtId="1" fontId="14" fillId="32" borderId="15" xfId="0" applyNumberFormat="1" applyFont="1" applyFill="1" applyBorder="1" applyAlignment="1">
      <alignment horizontal="center" vertical="center" wrapText="1"/>
    </xf>
    <xf numFmtId="0" fontId="7" fillId="0" borderId="16" xfId="0" applyFont="1" applyBorder="1" applyAlignment="1">
      <alignment vertical="center"/>
    </xf>
    <xf numFmtId="0" fontId="7" fillId="0" borderId="17" xfId="0" applyFont="1" applyBorder="1" applyAlignment="1">
      <alignment vertical="center"/>
    </xf>
    <xf numFmtId="0" fontId="7" fillId="33" borderId="16" xfId="0" applyFont="1" applyFill="1" applyBorder="1" applyAlignment="1">
      <alignment vertical="center"/>
    </xf>
    <xf numFmtId="0" fontId="7" fillId="0" borderId="0" xfId="0" applyFont="1" applyBorder="1" applyAlignment="1">
      <alignment vertical="center"/>
    </xf>
    <xf numFmtId="0" fontId="18" fillId="0" borderId="0" xfId="0" applyFont="1" applyBorder="1" applyAlignment="1">
      <alignment vertical="center"/>
    </xf>
    <xf numFmtId="1" fontId="8" fillId="0" borderId="0" xfId="0" applyNumberFormat="1" applyFont="1" applyBorder="1" applyAlignment="1">
      <alignment vertical="center"/>
    </xf>
    <xf numFmtId="0" fontId="7" fillId="4" borderId="0" xfId="0" applyFont="1" applyFill="1" applyBorder="1" applyAlignment="1">
      <alignment vertical="center"/>
    </xf>
    <xf numFmtId="0" fontId="9" fillId="32" borderId="0" xfId="0" applyFont="1" applyFill="1" applyBorder="1" applyAlignment="1">
      <alignment vertical="center"/>
    </xf>
    <xf numFmtId="4" fontId="7" fillId="0" borderId="0" xfId="0" applyNumberFormat="1" applyFont="1" applyBorder="1" applyAlignment="1">
      <alignment vertical="center"/>
    </xf>
    <xf numFmtId="0" fontId="4" fillId="0" borderId="0" xfId="0" applyFont="1" applyBorder="1" applyAlignment="1">
      <alignment vertical="center"/>
    </xf>
    <xf numFmtId="0" fontId="7" fillId="33" borderId="0" xfId="0" applyFont="1" applyFill="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0" fontId="4" fillId="0" borderId="0" xfId="0" applyFont="1" applyFill="1" applyBorder="1" applyAlignment="1">
      <alignment vertical="center"/>
    </xf>
    <xf numFmtId="0" fontId="7" fillId="0" borderId="0" xfId="0" applyFont="1" applyFill="1" applyBorder="1" applyAlignment="1">
      <alignment vertical="center"/>
    </xf>
    <xf numFmtId="0" fontId="7" fillId="32" borderId="0" xfId="0" applyFont="1" applyFill="1" applyBorder="1" applyAlignment="1">
      <alignment vertical="center"/>
    </xf>
    <xf numFmtId="0" fontId="12" fillId="0" borderId="0" xfId="0" applyFont="1" applyFill="1" applyBorder="1" applyAlignment="1">
      <alignment vertical="center"/>
    </xf>
    <xf numFmtId="0" fontId="7" fillId="34" borderId="0" xfId="0" applyFont="1" applyFill="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wrapText="1"/>
    </xf>
    <xf numFmtId="4" fontId="0" fillId="0" borderId="0"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11" fillId="0" borderId="0" xfId="0" applyFont="1" applyBorder="1" applyAlignment="1">
      <alignment vertical="center"/>
    </xf>
    <xf numFmtId="4" fontId="11" fillId="0" borderId="0" xfId="0" applyNumberFormat="1" applyFont="1" applyBorder="1" applyAlignment="1">
      <alignment vertical="center"/>
    </xf>
    <xf numFmtId="0" fontId="19" fillId="0" borderId="0" xfId="0" applyFont="1" applyBorder="1" applyAlignment="1">
      <alignment vertical="center"/>
    </xf>
    <xf numFmtId="4" fontId="0" fillId="0" borderId="0" xfId="0" applyNumberFormat="1" applyFont="1" applyBorder="1" applyAlignment="1">
      <alignment vertical="center"/>
    </xf>
    <xf numFmtId="0" fontId="7" fillId="0" borderId="10" xfId="0" applyFont="1" applyFill="1" applyBorder="1" applyAlignment="1">
      <alignment vertical="center" wrapText="1"/>
    </xf>
    <xf numFmtId="0" fontId="7" fillId="0" borderId="0" xfId="0" applyFont="1" applyFill="1" applyAlignment="1">
      <alignment vertical="center" wrapText="1"/>
    </xf>
    <xf numFmtId="0" fontId="21" fillId="0" borderId="0" xfId="0" applyFont="1" applyBorder="1" applyAlignment="1">
      <alignment vertical="center"/>
    </xf>
    <xf numFmtId="0" fontId="21" fillId="0" borderId="0" xfId="0" applyFont="1" applyAlignment="1">
      <alignment vertical="center"/>
    </xf>
    <xf numFmtId="49" fontId="10" fillId="0" borderId="10" xfId="0" applyNumberFormat="1" applyFont="1" applyBorder="1" applyAlignment="1" quotePrefix="1">
      <alignment horizontal="center" vertical="center" wrapText="1"/>
    </xf>
    <xf numFmtId="0" fontId="10" fillId="0" borderId="10" xfId="0" applyFont="1" applyBorder="1" applyAlignment="1" quotePrefix="1">
      <alignment horizontal="center" vertical="center" wrapText="1"/>
    </xf>
    <xf numFmtId="49" fontId="10" fillId="0" borderId="13" xfId="0" applyNumberFormat="1" applyFont="1" applyBorder="1" applyAlignment="1" quotePrefix="1">
      <alignment horizontal="center" vertical="center" wrapText="1"/>
    </xf>
    <xf numFmtId="2" fontId="10" fillId="0" borderId="10" xfId="0" applyNumberFormat="1" applyFont="1" applyBorder="1" applyAlignment="1">
      <alignment horizontal="left" vertical="center" wrapText="1"/>
    </xf>
    <xf numFmtId="4" fontId="14" fillId="4" borderId="10" xfId="0" applyNumberFormat="1" applyFont="1" applyFill="1" applyBorder="1" applyAlignment="1">
      <alignment vertical="center" wrapText="1"/>
    </xf>
    <xf numFmtId="4" fontId="14" fillId="4" borderId="15" xfId="0" applyNumberFormat="1" applyFont="1" applyFill="1" applyBorder="1" applyAlignment="1">
      <alignment vertical="center" wrapText="1"/>
    </xf>
    <xf numFmtId="4" fontId="15" fillId="32" borderId="10" xfId="0" applyNumberFormat="1" applyFont="1" applyFill="1" applyBorder="1" applyAlignment="1">
      <alignment vertical="center" wrapText="1"/>
    </xf>
    <xf numFmtId="4" fontId="15" fillId="35" borderId="10" xfId="0" applyNumberFormat="1" applyFont="1" applyFill="1" applyBorder="1" applyAlignment="1">
      <alignment vertical="center" wrapText="1"/>
    </xf>
    <xf numFmtId="4" fontId="15" fillId="32" borderId="15" xfId="0" applyNumberFormat="1" applyFont="1" applyFill="1" applyBorder="1" applyAlignment="1">
      <alignment vertical="center" wrapText="1"/>
    </xf>
    <xf numFmtId="4" fontId="14" fillId="32" borderId="10" xfId="0" applyNumberFormat="1" applyFont="1" applyFill="1" applyBorder="1" applyAlignment="1">
      <alignment vertical="center" wrapText="1"/>
    </xf>
    <xf numFmtId="4" fontId="14" fillId="0" borderId="10" xfId="0" applyNumberFormat="1" applyFont="1" applyBorder="1" applyAlignment="1">
      <alignment vertical="center" wrapText="1"/>
    </xf>
    <xf numFmtId="4" fontId="14" fillId="35" borderId="10" xfId="0" applyNumberFormat="1" applyFont="1" applyFill="1" applyBorder="1" applyAlignment="1">
      <alignment vertical="center" wrapText="1"/>
    </xf>
    <xf numFmtId="4" fontId="14" fillId="0" borderId="10" xfId="0" applyNumberFormat="1" applyFont="1" applyFill="1" applyBorder="1" applyAlignment="1">
      <alignment vertical="center" wrapText="1"/>
    </xf>
    <xf numFmtId="4" fontId="14" fillId="32" borderId="15" xfId="0" applyNumberFormat="1" applyFont="1" applyFill="1" applyBorder="1" applyAlignment="1">
      <alignment vertical="center" wrapText="1"/>
    </xf>
    <xf numFmtId="4" fontId="14" fillId="32" borderId="11" xfId="0" applyNumberFormat="1" applyFont="1" applyFill="1" applyBorder="1" applyAlignment="1">
      <alignment vertical="center" wrapText="1"/>
    </xf>
    <xf numFmtId="4" fontId="14" fillId="36" borderId="10" xfId="0" applyNumberFormat="1" applyFont="1" applyFill="1" applyBorder="1" applyAlignment="1">
      <alignment vertical="center" wrapText="1"/>
    </xf>
    <xf numFmtId="4" fontId="14" fillId="4" borderId="10" xfId="0" applyNumberFormat="1" applyFont="1" applyFill="1" applyBorder="1" applyAlignment="1">
      <alignment vertical="center"/>
    </xf>
    <xf numFmtId="4" fontId="14" fillId="4" borderId="15" xfId="0" applyNumberFormat="1" applyFont="1" applyFill="1" applyBorder="1" applyAlignment="1">
      <alignment vertical="center"/>
    </xf>
    <xf numFmtId="4" fontId="16" fillId="32" borderId="10" xfId="0" applyNumberFormat="1" applyFont="1" applyFill="1" applyBorder="1" applyAlignment="1">
      <alignment vertical="center" wrapText="1"/>
    </xf>
    <xf numFmtId="4" fontId="16" fillId="0" borderId="10" xfId="0" applyNumberFormat="1" applyFont="1" applyBorder="1" applyAlignment="1">
      <alignment vertical="center" wrapText="1"/>
    </xf>
    <xf numFmtId="4" fontId="16" fillId="36" borderId="10" xfId="0" applyNumberFormat="1" applyFont="1" applyFill="1" applyBorder="1" applyAlignment="1">
      <alignment vertical="center" wrapText="1"/>
    </xf>
    <xf numFmtId="4" fontId="16" fillId="32" borderId="15" xfId="0" applyNumberFormat="1" applyFont="1" applyFill="1" applyBorder="1" applyAlignment="1">
      <alignment vertical="center" wrapText="1"/>
    </xf>
    <xf numFmtId="4" fontId="14" fillId="33" borderId="10" xfId="0" applyNumberFormat="1" applyFont="1" applyFill="1" applyBorder="1" applyAlignment="1">
      <alignment vertical="center" wrapText="1"/>
    </xf>
    <xf numFmtId="4" fontId="14" fillId="33" borderId="15" xfId="0" applyNumberFormat="1" applyFont="1" applyFill="1" applyBorder="1" applyAlignment="1">
      <alignment vertical="center" wrapText="1"/>
    </xf>
    <xf numFmtId="4" fontId="10" fillId="32" borderId="10" xfId="0" applyNumberFormat="1" applyFont="1" applyFill="1" applyBorder="1" applyAlignment="1">
      <alignment vertical="center" wrapText="1"/>
    </xf>
    <xf numFmtId="4" fontId="10" fillId="0" borderId="10" xfId="0" applyNumberFormat="1" applyFont="1" applyBorder="1" applyAlignment="1">
      <alignment vertical="center" wrapText="1"/>
    </xf>
    <xf numFmtId="4" fontId="10" fillId="35" borderId="10" xfId="0" applyNumberFormat="1" applyFont="1" applyFill="1" applyBorder="1" applyAlignment="1">
      <alignment vertical="center" wrapText="1"/>
    </xf>
    <xf numFmtId="4" fontId="10" fillId="36" borderId="10" xfId="0" applyNumberFormat="1" applyFont="1" applyFill="1" applyBorder="1" applyAlignment="1">
      <alignment vertical="center" wrapText="1"/>
    </xf>
    <xf numFmtId="4" fontId="10" fillId="32" borderId="15" xfId="0" applyNumberFormat="1" applyFont="1" applyFill="1" applyBorder="1" applyAlignment="1">
      <alignment vertical="center" wrapText="1"/>
    </xf>
    <xf numFmtId="4" fontId="16" fillId="0" borderId="10" xfId="0" applyNumberFormat="1" applyFont="1" applyFill="1" applyBorder="1" applyAlignment="1">
      <alignment vertical="center" wrapText="1"/>
    </xf>
    <xf numFmtId="4" fontId="14" fillId="0" borderId="11" xfId="0" applyNumberFormat="1" applyFont="1" applyBorder="1" applyAlignment="1">
      <alignment horizontal="right" vertical="center" wrapText="1"/>
    </xf>
    <xf numFmtId="4" fontId="14" fillId="0" borderId="10" xfId="0" applyNumberFormat="1" applyFont="1" applyFill="1" applyBorder="1" applyAlignment="1">
      <alignment horizontal="right" vertical="center" wrapText="1"/>
    </xf>
    <xf numFmtId="4" fontId="14" fillId="0" borderId="15" xfId="0" applyNumberFormat="1" applyFont="1" applyFill="1" applyBorder="1" applyAlignment="1">
      <alignment vertical="center" wrapText="1"/>
    </xf>
    <xf numFmtId="4" fontId="14" fillId="32" borderId="12" xfId="0" applyNumberFormat="1" applyFont="1" applyFill="1" applyBorder="1" applyAlignment="1">
      <alignment vertical="center" wrapText="1"/>
    </xf>
    <xf numFmtId="4" fontId="14" fillId="0" borderId="12" xfId="0" applyNumberFormat="1" applyFont="1" applyBorder="1" applyAlignment="1">
      <alignment vertical="center" wrapText="1"/>
    </xf>
    <xf numFmtId="4" fontId="14" fillId="36" borderId="12" xfId="0" applyNumberFormat="1" applyFont="1" applyFill="1" applyBorder="1" applyAlignment="1">
      <alignment vertical="center" wrapText="1"/>
    </xf>
    <xf numFmtId="4" fontId="14" fillId="32" borderId="18" xfId="0" applyNumberFormat="1" applyFont="1" applyFill="1" applyBorder="1" applyAlignment="1">
      <alignment vertical="center" wrapText="1"/>
    </xf>
    <xf numFmtId="4" fontId="14" fillId="0" borderId="14" xfId="0" applyNumberFormat="1" applyFont="1" applyBorder="1" applyAlignment="1">
      <alignment vertical="center" wrapText="1"/>
    </xf>
    <xf numFmtId="4" fontId="14" fillId="36" borderId="14" xfId="0" applyNumberFormat="1" applyFont="1" applyFill="1" applyBorder="1" applyAlignment="1">
      <alignment vertical="center" wrapText="1"/>
    </xf>
    <xf numFmtId="4" fontId="14" fillId="32" borderId="19" xfId="0" applyNumberFormat="1" applyFont="1" applyFill="1" applyBorder="1" applyAlignment="1">
      <alignment vertical="center" wrapText="1"/>
    </xf>
    <xf numFmtId="4" fontId="14" fillId="32" borderId="20" xfId="0" applyNumberFormat="1" applyFont="1" applyFill="1" applyBorder="1" applyAlignment="1">
      <alignment vertical="center" wrapText="1"/>
    </xf>
    <xf numFmtId="4" fontId="14" fillId="0" borderId="12" xfId="0" applyNumberFormat="1" applyFont="1" applyFill="1" applyBorder="1" applyAlignment="1">
      <alignment vertical="center" wrapText="1"/>
    </xf>
    <xf numFmtId="4" fontId="14" fillId="33" borderId="11" xfId="0" applyNumberFormat="1" applyFont="1" applyFill="1" applyBorder="1" applyAlignment="1">
      <alignment vertical="center" wrapText="1"/>
    </xf>
    <xf numFmtId="4" fontId="14" fillId="33" borderId="20" xfId="0" applyNumberFormat="1" applyFont="1" applyFill="1" applyBorder="1" applyAlignment="1">
      <alignment vertical="center" wrapText="1"/>
    </xf>
    <xf numFmtId="4" fontId="15" fillId="4" borderId="10" xfId="0" applyNumberFormat="1" applyFont="1" applyFill="1" applyBorder="1" applyAlignment="1">
      <alignment vertical="center" wrapText="1"/>
    </xf>
    <xf numFmtId="4" fontId="15" fillId="4" borderId="15" xfId="0" applyNumberFormat="1" applyFont="1" applyFill="1" applyBorder="1" applyAlignment="1">
      <alignment vertical="center" wrapText="1"/>
    </xf>
    <xf numFmtId="4" fontId="16" fillId="35" borderId="10" xfId="0" applyNumberFormat="1" applyFont="1" applyFill="1" applyBorder="1" applyAlignment="1">
      <alignment vertical="center" wrapText="1"/>
    </xf>
    <xf numFmtId="4" fontId="22" fillId="0" borderId="10" xfId="0" applyNumberFormat="1" applyFont="1" applyBorder="1" applyAlignment="1">
      <alignment horizontal="center" vertical="center"/>
    </xf>
    <xf numFmtId="4" fontId="24" fillId="4" borderId="10" xfId="0" applyNumberFormat="1" applyFont="1" applyFill="1" applyBorder="1" applyAlignment="1">
      <alignment horizontal="right" vertical="center" wrapText="1"/>
    </xf>
    <xf numFmtId="4" fontId="11" fillId="0" borderId="10" xfId="0" applyNumberFormat="1" applyFont="1" applyBorder="1" applyAlignment="1">
      <alignment horizontal="center" vertical="center"/>
    </xf>
    <xf numFmtId="49" fontId="28" fillId="0" borderId="0" xfId="0" applyNumberFormat="1" applyFont="1" applyAlignment="1">
      <alignment horizontal="center" vertical="center"/>
    </xf>
    <xf numFmtId="0" fontId="28" fillId="0" borderId="0" xfId="0" applyFont="1" applyAlignment="1">
      <alignment horizontal="center" vertical="center"/>
    </xf>
    <xf numFmtId="0" fontId="28" fillId="0" borderId="0" xfId="0" applyFont="1" applyBorder="1" applyAlignment="1">
      <alignment horizontal="center" vertical="center"/>
    </xf>
    <xf numFmtId="202" fontId="29" fillId="0" borderId="0" xfId="0" applyNumberFormat="1" applyFont="1" applyAlignment="1">
      <alignment vertical="center"/>
    </xf>
    <xf numFmtId="202" fontId="28" fillId="0" borderId="0" xfId="0" applyNumberFormat="1" applyFont="1" applyAlignment="1">
      <alignment horizontal="center" vertical="center"/>
    </xf>
    <xf numFmtId="202" fontId="30" fillId="0" borderId="0" xfId="0" applyNumberFormat="1" applyFont="1" applyBorder="1" applyAlignment="1">
      <alignment vertical="center"/>
    </xf>
    <xf numFmtId="202" fontId="30" fillId="0" borderId="0" xfId="0" applyNumberFormat="1" applyFont="1" applyAlignment="1">
      <alignment vertical="center"/>
    </xf>
    <xf numFmtId="203" fontId="29" fillId="0" borderId="0" xfId="0" applyNumberFormat="1" applyFont="1" applyAlignment="1">
      <alignment vertical="center"/>
    </xf>
    <xf numFmtId="203" fontId="29" fillId="34" borderId="0" xfId="0" applyNumberFormat="1" applyFont="1" applyFill="1" applyAlignment="1">
      <alignment vertical="center"/>
    </xf>
    <xf numFmtId="4" fontId="26" fillId="0" borderId="0" xfId="0" applyNumberFormat="1" applyFont="1" applyBorder="1" applyAlignment="1">
      <alignment vertical="center"/>
    </xf>
    <xf numFmtId="4" fontId="11" fillId="0" borderId="0" xfId="0" applyNumberFormat="1" applyFont="1" applyBorder="1" applyAlignment="1">
      <alignment horizontal="center" vertical="center"/>
    </xf>
    <xf numFmtId="49" fontId="22" fillId="0" borderId="10" xfId="0" applyNumberFormat="1" applyFont="1" applyBorder="1" applyAlignment="1">
      <alignment vertical="center"/>
    </xf>
    <xf numFmtId="0" fontId="22" fillId="0" borderId="10" xfId="0" applyFont="1" applyBorder="1" applyAlignment="1">
      <alignment horizontal="left" vertical="center"/>
    </xf>
    <xf numFmtId="0" fontId="22" fillId="0" borderId="10" xfId="0" applyFont="1" applyBorder="1" applyAlignment="1">
      <alignment vertical="center"/>
    </xf>
    <xf numFmtId="0" fontId="22" fillId="0" borderId="15" xfId="0" applyFont="1" applyBorder="1" applyAlignment="1">
      <alignment vertical="center"/>
    </xf>
    <xf numFmtId="0" fontId="22" fillId="0" borderId="21" xfId="0" applyFont="1" applyBorder="1" applyAlignment="1">
      <alignment vertical="center"/>
    </xf>
    <xf numFmtId="4" fontId="22" fillId="0" borderId="21" xfId="0" applyNumberFormat="1" applyFont="1" applyBorder="1" applyAlignment="1">
      <alignment vertical="center"/>
    </xf>
    <xf numFmtId="49" fontId="26" fillId="0" borderId="0" xfId="0" applyNumberFormat="1" applyFont="1" applyAlignment="1">
      <alignment vertical="center"/>
    </xf>
    <xf numFmtId="0" fontId="26" fillId="0" borderId="0" xfId="0" applyFont="1" applyAlignment="1">
      <alignment vertical="center"/>
    </xf>
    <xf numFmtId="0" fontId="31" fillId="0" borderId="10" xfId="0" applyFont="1" applyBorder="1" applyAlignment="1">
      <alignment horizontal="center" vertical="center"/>
    </xf>
    <xf numFmtId="4" fontId="26" fillId="0" borderId="10" xfId="0" applyNumberFormat="1" applyFont="1" applyBorder="1" applyAlignment="1">
      <alignment horizontal="center" vertical="center"/>
    </xf>
    <xf numFmtId="4" fontId="31" fillId="0" borderId="0" xfId="0" applyNumberFormat="1" applyFont="1" applyBorder="1" applyAlignment="1">
      <alignment vertical="center"/>
    </xf>
    <xf numFmtId="0" fontId="31" fillId="0" borderId="0" xfId="0" applyFont="1" applyBorder="1" applyAlignment="1">
      <alignment vertical="center"/>
    </xf>
    <xf numFmtId="0" fontId="31" fillId="0" borderId="0" xfId="0" applyFont="1" applyAlignment="1">
      <alignment vertical="center"/>
    </xf>
    <xf numFmtId="4" fontId="32" fillId="0" borderId="10" xfId="0" applyNumberFormat="1" applyFont="1" applyBorder="1" applyAlignment="1">
      <alignment horizontal="center" vertical="center"/>
    </xf>
    <xf numFmtId="3" fontId="32" fillId="4" borderId="10" xfId="0" applyNumberFormat="1" applyFont="1" applyFill="1" applyBorder="1" applyAlignment="1">
      <alignment horizontal="center" vertical="center" wrapText="1"/>
    </xf>
    <xf numFmtId="202" fontId="29" fillId="0" borderId="10" xfId="0" applyNumberFormat="1" applyFont="1" applyBorder="1" applyAlignment="1">
      <alignment horizontal="center" vertical="center"/>
    </xf>
    <xf numFmtId="4" fontId="29" fillId="0" borderId="10" xfId="0" applyNumberFormat="1" applyFont="1" applyBorder="1" applyAlignment="1">
      <alignment horizontal="center" vertical="center"/>
    </xf>
    <xf numFmtId="4" fontId="23" fillId="0" borderId="10" xfId="0" applyNumberFormat="1" applyFont="1" applyBorder="1" applyAlignment="1">
      <alignment horizontal="center" vertical="center"/>
    </xf>
    <xf numFmtId="4" fontId="7" fillId="4" borderId="0" xfId="0" applyNumberFormat="1" applyFont="1" applyFill="1" applyBorder="1" applyAlignment="1">
      <alignment vertical="center"/>
    </xf>
    <xf numFmtId="4" fontId="10" fillId="4" borderId="0" xfId="0" applyNumberFormat="1" applyFont="1" applyFill="1" applyBorder="1" applyAlignment="1">
      <alignment vertical="center"/>
    </xf>
    <xf numFmtId="49" fontId="27" fillId="0" borderId="10" xfId="0" applyNumberFormat="1" applyFont="1" applyBorder="1" applyAlignment="1" quotePrefix="1">
      <alignment horizontal="center" vertical="center" wrapText="1"/>
    </xf>
    <xf numFmtId="0" fontId="27" fillId="0" borderId="10" xfId="0" applyFont="1" applyBorder="1" applyAlignment="1" quotePrefix="1">
      <alignment horizontal="center" vertical="center" wrapText="1"/>
    </xf>
    <xf numFmtId="2" fontId="27" fillId="0" borderId="10" xfId="0" applyNumberFormat="1" applyFont="1" applyBorder="1" applyAlignment="1" quotePrefix="1">
      <alignment vertical="center" wrapText="1"/>
    </xf>
    <xf numFmtId="4" fontId="27" fillId="32" borderId="10" xfId="0" applyNumberFormat="1" applyFont="1" applyFill="1" applyBorder="1" applyAlignment="1">
      <alignment vertical="center" wrapText="1"/>
    </xf>
    <xf numFmtId="4" fontId="27" fillId="0" borderId="10" xfId="0" applyNumberFormat="1" applyFont="1" applyBorder="1" applyAlignment="1">
      <alignment vertical="center" wrapText="1"/>
    </xf>
    <xf numFmtId="4" fontId="27" fillId="35" borderId="10" xfId="0" applyNumberFormat="1" applyFont="1" applyFill="1" applyBorder="1" applyAlignment="1">
      <alignment vertical="center" wrapText="1"/>
    </xf>
    <xf numFmtId="4" fontId="27" fillId="0" borderId="10" xfId="0" applyNumberFormat="1" applyFont="1" applyFill="1" applyBorder="1" applyAlignment="1">
      <alignment vertical="center" wrapText="1"/>
    </xf>
    <xf numFmtId="4" fontId="27" fillId="32" borderId="15" xfId="0" applyNumberFormat="1" applyFont="1" applyFill="1" applyBorder="1" applyAlignment="1">
      <alignment vertical="center" wrapText="1"/>
    </xf>
    <xf numFmtId="4" fontId="27" fillId="4" borderId="0" xfId="0" applyNumberFormat="1" applyFont="1" applyFill="1" applyBorder="1" applyAlignment="1">
      <alignment vertical="center"/>
    </xf>
    <xf numFmtId="0" fontId="27" fillId="0" borderId="0" xfId="0" applyFont="1" applyBorder="1" applyAlignment="1">
      <alignment vertical="center"/>
    </xf>
    <xf numFmtId="0" fontId="27" fillId="0" borderId="0" xfId="0" applyFont="1" applyAlignment="1">
      <alignment vertical="center"/>
    </xf>
    <xf numFmtId="49" fontId="27" fillId="0" borderId="10" xfId="0" applyNumberFormat="1" applyFont="1" applyBorder="1" applyAlignment="1">
      <alignment horizontal="center" vertical="center" wrapText="1"/>
    </xf>
    <xf numFmtId="2" fontId="27" fillId="0" borderId="10" xfId="0" applyNumberFormat="1" applyFont="1" applyBorder="1" applyAlignment="1">
      <alignment vertical="center" wrapText="1"/>
    </xf>
    <xf numFmtId="4" fontId="27" fillId="36" borderId="10" xfId="0" applyNumberFormat="1" applyFont="1" applyFill="1" applyBorder="1" applyAlignment="1">
      <alignment vertical="center" wrapText="1"/>
    </xf>
    <xf numFmtId="49" fontId="27" fillId="0" borderId="10" xfId="0" applyNumberFormat="1" applyFont="1" applyFill="1" applyBorder="1" applyAlignment="1">
      <alignment horizontal="center" vertical="center" wrapText="1"/>
    </xf>
    <xf numFmtId="0" fontId="27" fillId="0" borderId="10" xfId="0" applyFont="1" applyFill="1" applyBorder="1" applyAlignment="1" quotePrefix="1">
      <alignment horizontal="center" vertical="center" wrapText="1"/>
    </xf>
    <xf numFmtId="2" fontId="27" fillId="0" borderId="10" xfId="0" applyNumberFormat="1" applyFont="1" applyFill="1" applyBorder="1" applyAlignment="1">
      <alignment vertical="center" wrapText="1"/>
    </xf>
    <xf numFmtId="0" fontId="27" fillId="0" borderId="0" xfId="0" applyFont="1" applyFill="1" applyBorder="1" applyAlignment="1">
      <alignment vertical="center"/>
    </xf>
    <xf numFmtId="0" fontId="27" fillId="0" borderId="0" xfId="0" applyFont="1" applyFill="1" applyAlignment="1">
      <alignment vertical="center"/>
    </xf>
    <xf numFmtId="4" fontId="27" fillId="36" borderId="0" xfId="0" applyNumberFormat="1" applyFont="1" applyFill="1" applyBorder="1" applyAlignment="1">
      <alignment vertical="center" wrapText="1"/>
    </xf>
    <xf numFmtId="4" fontId="27" fillId="0" borderId="10" xfId="0" applyNumberFormat="1" applyFont="1" applyBorder="1" applyAlignment="1">
      <alignment vertical="center"/>
    </xf>
    <xf numFmtId="49" fontId="10" fillId="0" borderId="10" xfId="0" applyNumberFormat="1" applyFont="1" applyBorder="1" applyAlignment="1">
      <alignment horizontal="center" vertical="center" wrapText="1"/>
    </xf>
    <xf numFmtId="49" fontId="33" fillId="32" borderId="10" xfId="0" applyNumberFormat="1" applyFont="1" applyFill="1" applyBorder="1" applyAlignment="1">
      <alignment horizontal="center" vertical="center" wrapText="1"/>
    </xf>
    <xf numFmtId="0" fontId="33" fillId="32" borderId="10" xfId="0" applyFont="1" applyFill="1" applyBorder="1" applyAlignment="1">
      <alignment horizontal="center" vertical="center" wrapText="1"/>
    </xf>
    <xf numFmtId="2" fontId="33" fillId="32" borderId="10" xfId="0" applyNumberFormat="1" applyFont="1" applyFill="1" applyBorder="1" applyAlignment="1">
      <alignment vertical="center" wrapText="1"/>
    </xf>
    <xf numFmtId="4" fontId="33" fillId="32" borderId="10" xfId="0" applyNumberFormat="1" applyFont="1" applyFill="1" applyBorder="1" applyAlignment="1">
      <alignment vertical="center" wrapText="1"/>
    </xf>
    <xf numFmtId="4" fontId="33" fillId="35" borderId="10" xfId="0" applyNumberFormat="1" applyFont="1" applyFill="1" applyBorder="1" applyAlignment="1">
      <alignment vertical="center" wrapText="1"/>
    </xf>
    <xf numFmtId="4" fontId="33" fillId="32" borderId="15" xfId="0" applyNumberFormat="1" applyFont="1" applyFill="1" applyBorder="1" applyAlignment="1">
      <alignment vertical="center"/>
    </xf>
    <xf numFmtId="0" fontId="33" fillId="0" borderId="0" xfId="0" applyFont="1" applyAlignment="1">
      <alignment vertical="center"/>
    </xf>
    <xf numFmtId="202" fontId="34" fillId="0" borderId="0" xfId="0" applyNumberFormat="1" applyFont="1" applyAlignment="1">
      <alignment horizontal="right" vertical="center"/>
    </xf>
    <xf numFmtId="203" fontId="35" fillId="0" borderId="10" xfId="0" applyNumberFormat="1" applyFont="1" applyBorder="1" applyAlignment="1">
      <alignment horizontal="center" vertical="center"/>
    </xf>
    <xf numFmtId="0" fontId="36" fillId="0" borderId="0" xfId="0" applyFont="1" applyAlignment="1">
      <alignment vertical="center"/>
    </xf>
    <xf numFmtId="4" fontId="36" fillId="0" borderId="10" xfId="0" applyNumberFormat="1" applyFont="1" applyBorder="1" applyAlignment="1">
      <alignment vertical="center"/>
    </xf>
    <xf numFmtId="0" fontId="37" fillId="0" borderId="0" xfId="0" applyFont="1" applyAlignment="1">
      <alignment horizontal="right" vertical="center"/>
    </xf>
    <xf numFmtId="4" fontId="37" fillId="0" borderId="10" xfId="0" applyNumberFormat="1" applyFont="1" applyBorder="1" applyAlignment="1">
      <alignment vertical="center"/>
    </xf>
    <xf numFmtId="0" fontId="38" fillId="0" borderId="0" xfId="0" applyFont="1" applyAlignment="1">
      <alignment vertical="center"/>
    </xf>
    <xf numFmtId="49" fontId="14" fillId="36" borderId="10" xfId="0" applyNumberFormat="1" applyFont="1" applyFill="1" applyBorder="1" applyAlignment="1" quotePrefix="1">
      <alignment horizontal="center" vertical="center" wrapText="1"/>
    </xf>
    <xf numFmtId="0" fontId="14" fillId="36" borderId="10" xfId="0" applyFont="1" applyFill="1" applyBorder="1" applyAlignment="1" quotePrefix="1">
      <alignment horizontal="center" vertical="center" wrapText="1"/>
    </xf>
    <xf numFmtId="49" fontId="14" fillId="36" borderId="10" xfId="0" applyNumberFormat="1" applyFont="1" applyFill="1" applyBorder="1" applyAlignment="1">
      <alignment horizontal="center" vertical="center" wrapText="1"/>
    </xf>
    <xf numFmtId="0" fontId="7" fillId="36" borderId="10" xfId="0" applyFont="1" applyFill="1" applyBorder="1" applyAlignment="1">
      <alignment vertical="center" wrapText="1"/>
    </xf>
    <xf numFmtId="4" fontId="14" fillId="35" borderId="15" xfId="0" applyNumberFormat="1" applyFont="1" applyFill="1" applyBorder="1" applyAlignment="1">
      <alignment vertical="center" wrapText="1"/>
    </xf>
    <xf numFmtId="2" fontId="7" fillId="0" borderId="10" xfId="0" applyNumberFormat="1" applyFont="1" applyFill="1" applyBorder="1" applyAlignment="1">
      <alignment horizontal="left" vertical="center" wrapText="1"/>
    </xf>
    <xf numFmtId="49" fontId="40" fillId="0" borderId="10" xfId="0" applyNumberFormat="1" applyFont="1" applyBorder="1" applyAlignment="1">
      <alignment horizontal="center" vertical="center" wrapText="1"/>
    </xf>
    <xf numFmtId="0" fontId="40" fillId="0" borderId="10" xfId="0" applyFont="1" applyBorder="1" applyAlignment="1" quotePrefix="1">
      <alignment horizontal="center" vertical="center" wrapText="1"/>
    </xf>
    <xf numFmtId="4" fontId="40" fillId="32" borderId="10" xfId="0" applyNumberFormat="1" applyFont="1" applyFill="1" applyBorder="1" applyAlignment="1">
      <alignment vertical="center" wrapText="1"/>
    </xf>
    <xf numFmtId="4" fontId="40" fillId="0" borderId="10" xfId="0" applyNumberFormat="1" applyFont="1" applyBorder="1" applyAlignment="1">
      <alignment vertical="center" wrapText="1"/>
    </xf>
    <xf numFmtId="4" fontId="31" fillId="0" borderId="0" xfId="0" applyNumberFormat="1" applyFont="1" applyAlignment="1">
      <alignment/>
    </xf>
    <xf numFmtId="0" fontId="40" fillId="0" borderId="0" xfId="0" applyFont="1" applyAlignment="1">
      <alignment/>
    </xf>
    <xf numFmtId="49" fontId="14" fillId="0" borderId="12" xfId="0" applyNumberFormat="1" applyFont="1" applyBorder="1" applyAlignment="1">
      <alignment horizontal="center" vertical="center" wrapText="1"/>
    </xf>
    <xf numFmtId="49" fontId="14" fillId="0" borderId="10" xfId="53" applyNumberFormat="1" applyFont="1" applyBorder="1" applyAlignment="1" quotePrefix="1">
      <alignment horizontal="center" vertical="center" wrapText="1"/>
      <protection/>
    </xf>
    <xf numFmtId="0" fontId="14" fillId="0" borderId="10" xfId="53" applyFont="1" applyBorder="1" applyAlignment="1" quotePrefix="1">
      <alignment horizontal="center" vertical="center" wrapText="1"/>
      <protection/>
    </xf>
    <xf numFmtId="49" fontId="14" fillId="0" borderId="10" xfId="53" applyNumberFormat="1" applyFont="1" applyBorder="1" applyAlignment="1">
      <alignment horizontal="center" vertical="center" wrapText="1"/>
      <protection/>
    </xf>
    <xf numFmtId="0" fontId="7" fillId="0" borderId="10" xfId="53" applyFont="1" applyBorder="1" applyAlignment="1">
      <alignment vertical="center" wrapText="1"/>
      <protection/>
    </xf>
    <xf numFmtId="4" fontId="14" fillId="0" borderId="10" xfId="0" applyNumberFormat="1" applyFont="1" applyBorder="1" applyAlignment="1">
      <alignment vertical="center"/>
    </xf>
    <xf numFmtId="0" fontId="27" fillId="0" borderId="0" xfId="0" applyFont="1" applyAlignment="1">
      <alignment wrapText="1"/>
    </xf>
    <xf numFmtId="2" fontId="14" fillId="0" borderId="10" xfId="0" applyNumberFormat="1" applyFont="1" applyBorder="1" applyAlignment="1">
      <alignment vertical="center" wrapText="1"/>
    </xf>
    <xf numFmtId="4" fontId="25" fillId="0" borderId="0" xfId="0" applyNumberFormat="1" applyFont="1" applyAlignment="1">
      <alignment/>
    </xf>
    <xf numFmtId="0" fontId="11" fillId="0" borderId="0" xfId="0" applyFont="1" applyAlignment="1">
      <alignment/>
    </xf>
    <xf numFmtId="4" fontId="45" fillId="32" borderId="10" xfId="0" applyNumberFormat="1" applyFont="1" applyFill="1" applyBorder="1" applyAlignment="1">
      <alignment vertical="center" wrapText="1"/>
    </xf>
    <xf numFmtId="4" fontId="46" fillId="0" borderId="0" xfId="0" applyNumberFormat="1" applyFont="1" applyBorder="1" applyAlignment="1">
      <alignment vertical="center"/>
    </xf>
    <xf numFmtId="4" fontId="47" fillId="0" borderId="0" xfId="0" applyNumberFormat="1" applyFont="1" applyBorder="1" applyAlignment="1">
      <alignment vertical="center"/>
    </xf>
    <xf numFmtId="0" fontId="47" fillId="0" borderId="0" xfId="0" applyFont="1" applyBorder="1" applyAlignment="1">
      <alignment vertical="center"/>
    </xf>
    <xf numFmtId="4" fontId="46" fillId="0" borderId="0" xfId="0" applyNumberFormat="1" applyFont="1" applyAlignment="1">
      <alignment vertical="center"/>
    </xf>
    <xf numFmtId="1" fontId="48" fillId="0" borderId="0" xfId="0" applyNumberFormat="1" applyFont="1" applyBorder="1" applyAlignment="1">
      <alignment vertical="center"/>
    </xf>
    <xf numFmtId="4" fontId="49" fillId="0" borderId="0" xfId="0" applyNumberFormat="1" applyFont="1" applyAlignment="1">
      <alignment vertical="center"/>
    </xf>
    <xf numFmtId="4" fontId="14" fillId="0" borderId="10" xfId="0" applyNumberFormat="1" applyFont="1" applyBorder="1" applyAlignment="1">
      <alignment horizontal="center" vertical="center" wrapText="1"/>
    </xf>
    <xf numFmtId="0" fontId="3" fillId="0" borderId="0" xfId="0" applyNumberFormat="1" applyFont="1" applyFill="1" applyAlignment="1" applyProtection="1">
      <alignment horizontal="left" vertical="center" wrapText="1"/>
      <protection/>
    </xf>
    <xf numFmtId="0" fontId="7" fillId="0" borderId="10" xfId="0" applyFont="1" applyBorder="1" applyAlignment="1">
      <alignment horizontal="center" vertical="center" wrapText="1"/>
    </xf>
    <xf numFmtId="4" fontId="14" fillId="32" borderId="10" xfId="0" applyNumberFormat="1" applyFont="1" applyFill="1" applyBorder="1" applyAlignment="1">
      <alignment horizontal="center" vertical="center" wrapText="1"/>
    </xf>
    <xf numFmtId="4" fontId="14" fillId="0" borderId="12" xfId="0" applyNumberFormat="1" applyFont="1" applyFill="1" applyBorder="1" applyAlignment="1">
      <alignment horizontal="center" vertical="center" wrapText="1"/>
    </xf>
    <xf numFmtId="4" fontId="14" fillId="0" borderId="14" xfId="0" applyNumberFormat="1" applyFont="1" applyFill="1" applyBorder="1" applyAlignment="1">
      <alignment horizontal="center" vertical="center" wrapText="1"/>
    </xf>
    <xf numFmtId="4" fontId="14" fillId="0" borderId="11"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3" fillId="0" borderId="0" xfId="0" applyNumberFormat="1" applyFont="1" applyFill="1" applyAlignment="1" applyProtection="1">
      <alignment horizontal="right" vertical="center" wrapText="1"/>
      <protection/>
    </xf>
    <xf numFmtId="0" fontId="20" fillId="0" borderId="0" xfId="0" applyFont="1" applyAlignment="1">
      <alignment horizontal="right" vertical="center" wrapText="1"/>
    </xf>
    <xf numFmtId="4" fontId="14" fillId="0" borderId="0" xfId="0" applyNumberFormat="1" applyFont="1" applyAlignment="1">
      <alignment horizontal="left" vertical="center"/>
    </xf>
    <xf numFmtId="0" fontId="14" fillId="0" borderId="0" xfId="0" applyFont="1" applyAlignment="1">
      <alignment horizontal="left" vertical="center"/>
    </xf>
    <xf numFmtId="4" fontId="14" fillId="0" borderId="15" xfId="0" applyNumberFormat="1" applyFont="1" applyBorder="1" applyAlignment="1">
      <alignment horizontal="center" vertical="center" wrapText="1"/>
    </xf>
    <xf numFmtId="4" fontId="14" fillId="0" borderId="13" xfId="0" applyNumberFormat="1" applyFont="1" applyBorder="1" applyAlignment="1">
      <alignment horizontal="center" vertical="center" wrapText="1"/>
    </xf>
    <xf numFmtId="4" fontId="14" fillId="0" borderId="16" xfId="0" applyNumberFormat="1" applyFont="1" applyBorder="1" applyAlignment="1">
      <alignment horizontal="center" vertical="center" wrapText="1"/>
    </xf>
    <xf numFmtId="4" fontId="14" fillId="32" borderId="15" xfId="0" applyNumberFormat="1" applyFont="1" applyFill="1" applyBorder="1" applyAlignment="1">
      <alignment horizontal="center" vertical="center" wrapText="1"/>
    </xf>
    <xf numFmtId="4" fontId="38" fillId="0" borderId="10" xfId="0" applyNumberFormat="1" applyFont="1" applyBorder="1" applyAlignment="1">
      <alignment horizontal="center" vertical="center"/>
    </xf>
    <xf numFmtId="0" fontId="38" fillId="0" borderId="10" xfId="0" applyFont="1" applyBorder="1" applyAlignment="1">
      <alignment horizontal="left" vertical="center"/>
    </xf>
    <xf numFmtId="0" fontId="38" fillId="0" borderId="15" xfId="0" applyFont="1" applyBorder="1" applyAlignment="1">
      <alignment horizontal="left" vertical="center"/>
    </xf>
    <xf numFmtId="0" fontId="38" fillId="0" borderId="16" xfId="0" applyFont="1" applyBorder="1" applyAlignment="1">
      <alignment horizontal="left" vertical="center"/>
    </xf>
    <xf numFmtId="4" fontId="39" fillId="0" borderId="15" xfId="0" applyNumberFormat="1" applyFont="1" applyBorder="1" applyAlignment="1">
      <alignment horizontal="center" vertical="center"/>
    </xf>
    <xf numFmtId="4" fontId="39" fillId="0" borderId="16" xfId="0" applyNumberFormat="1" applyFont="1" applyBorder="1" applyAlignment="1">
      <alignment horizontal="center" vertical="center"/>
    </xf>
    <xf numFmtId="3" fontId="39" fillId="0" borderId="10" xfId="0" applyNumberFormat="1" applyFont="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528"/>
  <sheetViews>
    <sheetView tabSelected="1" view="pageBreakPreview" zoomScale="75" zoomScaleNormal="75" zoomScaleSheetLayoutView="75" zoomScalePageLayoutView="0" workbookViewId="0" topLeftCell="A1">
      <pane xSplit="4" ySplit="13" topLeftCell="K484" activePane="bottomRight" state="frozen"/>
      <selection pane="topLeft" activeCell="A1" sqref="A1"/>
      <selection pane="topRight" activeCell="E1" sqref="E1"/>
      <selection pane="bottomLeft" activeCell="A14" sqref="A14"/>
      <selection pane="bottomRight" activeCell="Q487" sqref="Q487"/>
    </sheetView>
  </sheetViews>
  <sheetFormatPr defaultColWidth="9.125" defaultRowHeight="12.75"/>
  <cols>
    <col min="1" max="1" width="12.00390625" style="51" customWidth="1"/>
    <col min="2" max="2" width="10.50390625" style="52" customWidth="1"/>
    <col min="3" max="3" width="12.625" style="51" customWidth="1"/>
    <col min="4" max="4" width="62.375" style="49" customWidth="1"/>
    <col min="5" max="5" width="22.50390625" style="53" customWidth="1"/>
    <col min="6" max="6" width="25.125" style="53" customWidth="1"/>
    <col min="7" max="10" width="18.625" style="53" customWidth="1"/>
    <col min="11" max="11" width="18.375" style="53" customWidth="1"/>
    <col min="12" max="13" width="17.50390625" style="53" customWidth="1"/>
    <col min="14" max="14" width="16.00390625" style="53" customWidth="1"/>
    <col min="15" max="15" width="18.375" style="53" customWidth="1"/>
    <col min="16" max="16" width="20.875" style="53" customWidth="1"/>
    <col min="17" max="17" width="18.50390625" style="134" customWidth="1"/>
    <col min="18" max="18" width="15.50390625" style="134" customWidth="1"/>
    <col min="19" max="19" width="17.50390625" style="134" bestFit="1" customWidth="1"/>
    <col min="20" max="20" width="14.50390625" style="134" bestFit="1" customWidth="1"/>
    <col min="21" max="21" width="16.50390625" style="49" bestFit="1" customWidth="1"/>
    <col min="22" max="16384" width="9.125" style="49" customWidth="1"/>
  </cols>
  <sheetData>
    <row r="1" spans="1:20" s="26" customFormat="1" ht="15">
      <c r="A1" s="65"/>
      <c r="B1" s="66"/>
      <c r="C1" s="65"/>
      <c r="E1" s="54"/>
      <c r="F1" s="54"/>
      <c r="G1" s="54"/>
      <c r="H1" s="54"/>
      <c r="I1" s="54"/>
      <c r="J1" s="54"/>
      <c r="K1" s="54"/>
      <c r="L1" s="300" t="s">
        <v>307</v>
      </c>
      <c r="M1" s="301"/>
      <c r="N1" s="301"/>
      <c r="O1" s="301"/>
      <c r="P1" s="301"/>
      <c r="Q1" s="115"/>
      <c r="R1" s="115"/>
      <c r="S1" s="115"/>
      <c r="T1" s="115"/>
    </row>
    <row r="2" spans="1:20" s="26" customFormat="1" ht="24" customHeight="1">
      <c r="A2" s="65"/>
      <c r="B2" s="66"/>
      <c r="C2" s="65"/>
      <c r="E2" s="54"/>
      <c r="F2" s="54"/>
      <c r="G2" s="54"/>
      <c r="H2" s="54"/>
      <c r="I2" s="54"/>
      <c r="J2" s="54"/>
      <c r="K2" s="54"/>
      <c r="L2" s="300" t="s">
        <v>308</v>
      </c>
      <c r="M2" s="300"/>
      <c r="N2" s="300"/>
      <c r="O2" s="300"/>
      <c r="P2" s="300"/>
      <c r="Q2" s="115"/>
      <c r="R2" s="115"/>
      <c r="S2" s="115"/>
      <c r="T2" s="115"/>
    </row>
    <row r="3" spans="1:20" s="26" customFormat="1" ht="24" customHeight="1">
      <c r="A3" s="65"/>
      <c r="B3" s="54"/>
      <c r="C3" s="65"/>
      <c r="E3" s="54"/>
      <c r="F3" s="54"/>
      <c r="G3" s="54"/>
      <c r="H3" s="54"/>
      <c r="I3" s="54"/>
      <c r="J3" s="54"/>
      <c r="K3" s="54"/>
      <c r="L3" s="300" t="s">
        <v>211</v>
      </c>
      <c r="M3" s="300"/>
      <c r="N3" s="300"/>
      <c r="O3" s="300"/>
      <c r="P3" s="300"/>
      <c r="Q3" s="115"/>
      <c r="R3" s="115"/>
      <c r="S3" s="115"/>
      <c r="T3" s="115"/>
    </row>
    <row r="4" spans="1:20" s="26" customFormat="1" ht="24" customHeight="1">
      <c r="A4" s="65"/>
      <c r="B4" s="54"/>
      <c r="C4" s="65"/>
      <c r="E4" s="54"/>
      <c r="F4" s="54"/>
      <c r="G4" s="54"/>
      <c r="H4" s="54"/>
      <c r="I4" s="54"/>
      <c r="J4" s="54"/>
      <c r="K4" s="54"/>
      <c r="L4" s="300" t="s">
        <v>210</v>
      </c>
      <c r="M4" s="300"/>
      <c r="N4" s="300"/>
      <c r="O4" s="300"/>
      <c r="P4" s="300"/>
      <c r="Q4" s="115"/>
      <c r="R4" s="115"/>
      <c r="S4" s="115"/>
      <c r="T4" s="115"/>
    </row>
    <row r="5" spans="1:20" s="26" customFormat="1" ht="33" customHeight="1">
      <c r="A5" s="65"/>
      <c r="B5" s="67"/>
      <c r="C5" s="65"/>
      <c r="D5" s="27"/>
      <c r="E5" s="54"/>
      <c r="F5" s="54"/>
      <c r="G5" s="54"/>
      <c r="H5" s="54"/>
      <c r="I5" s="54"/>
      <c r="J5" s="54"/>
      <c r="K5" s="54"/>
      <c r="L5" s="300" t="s">
        <v>206</v>
      </c>
      <c r="M5" s="300"/>
      <c r="N5" s="300"/>
      <c r="O5" s="300"/>
      <c r="P5" s="300"/>
      <c r="Q5" s="120"/>
      <c r="R5" s="115"/>
      <c r="S5" s="115"/>
      <c r="T5" s="115"/>
    </row>
    <row r="6" spans="1:20" s="26" customFormat="1" ht="30">
      <c r="A6" s="313" t="s">
        <v>437</v>
      </c>
      <c r="B6" s="313"/>
      <c r="C6" s="313"/>
      <c r="D6" s="313"/>
      <c r="E6" s="313"/>
      <c r="F6" s="313"/>
      <c r="G6" s="313"/>
      <c r="H6" s="313"/>
      <c r="I6" s="313"/>
      <c r="J6" s="313"/>
      <c r="K6" s="313"/>
      <c r="L6" s="313"/>
      <c r="M6" s="313"/>
      <c r="N6" s="313"/>
      <c r="O6" s="313"/>
      <c r="P6" s="313"/>
      <c r="Q6" s="115"/>
      <c r="R6" s="115"/>
      <c r="S6" s="115"/>
      <c r="T6" s="115"/>
    </row>
    <row r="7" spans="1:20" s="26" customFormat="1" ht="30">
      <c r="A7" s="314" t="s">
        <v>435</v>
      </c>
      <c r="B7" s="314"/>
      <c r="C7" s="314"/>
      <c r="D7" s="314"/>
      <c r="E7" s="314"/>
      <c r="F7" s="314"/>
      <c r="G7" s="314"/>
      <c r="H7" s="314"/>
      <c r="I7" s="314"/>
      <c r="J7" s="314"/>
      <c r="K7" s="314"/>
      <c r="L7" s="314"/>
      <c r="M7" s="314"/>
      <c r="N7" s="314"/>
      <c r="O7" s="314"/>
      <c r="P7" s="314"/>
      <c r="Q7" s="115"/>
      <c r="R7" s="115"/>
      <c r="S7" s="115"/>
      <c r="T7" s="115"/>
    </row>
    <row r="8" spans="1:20" s="26" customFormat="1" ht="15">
      <c r="A8" s="65"/>
      <c r="B8" s="66"/>
      <c r="C8" s="65"/>
      <c r="E8" s="54"/>
      <c r="F8" s="54"/>
      <c r="G8" s="54"/>
      <c r="H8" s="54"/>
      <c r="I8" s="54"/>
      <c r="J8" s="54"/>
      <c r="K8" s="54"/>
      <c r="L8" s="54"/>
      <c r="M8" s="54"/>
      <c r="N8" s="54"/>
      <c r="O8" s="54"/>
      <c r="P8" s="55" t="s">
        <v>432</v>
      </c>
      <c r="Q8" s="115"/>
      <c r="R8" s="115"/>
      <c r="S8" s="115"/>
      <c r="T8" s="115"/>
    </row>
    <row r="9" spans="1:20" s="26" customFormat="1" ht="31.5" customHeight="1">
      <c r="A9" s="297" t="s">
        <v>426</v>
      </c>
      <c r="B9" s="292" t="s">
        <v>427</v>
      </c>
      <c r="C9" s="297" t="s">
        <v>428</v>
      </c>
      <c r="D9" s="292" t="s">
        <v>429</v>
      </c>
      <c r="E9" s="290" t="s">
        <v>438</v>
      </c>
      <c r="F9" s="290"/>
      <c r="G9" s="290"/>
      <c r="H9" s="290"/>
      <c r="I9" s="290"/>
      <c r="J9" s="302" t="s">
        <v>444</v>
      </c>
      <c r="K9" s="303"/>
      <c r="L9" s="303"/>
      <c r="M9" s="303"/>
      <c r="N9" s="303"/>
      <c r="O9" s="304"/>
      <c r="P9" s="305" t="s">
        <v>445</v>
      </c>
      <c r="Q9" s="115"/>
      <c r="R9" s="115"/>
      <c r="S9" s="115"/>
      <c r="T9" s="115"/>
    </row>
    <row r="10" spans="1:20" s="26" customFormat="1" ht="38.25" customHeight="1">
      <c r="A10" s="297"/>
      <c r="B10" s="292"/>
      <c r="C10" s="297"/>
      <c r="D10" s="292"/>
      <c r="E10" s="293" t="s">
        <v>430</v>
      </c>
      <c r="F10" s="290" t="s">
        <v>439</v>
      </c>
      <c r="G10" s="290" t="s">
        <v>440</v>
      </c>
      <c r="H10" s="290"/>
      <c r="I10" s="290" t="s">
        <v>443</v>
      </c>
      <c r="J10" s="293" t="s">
        <v>430</v>
      </c>
      <c r="K10" s="294" t="s">
        <v>431</v>
      </c>
      <c r="L10" s="290" t="s">
        <v>439</v>
      </c>
      <c r="M10" s="290" t="s">
        <v>440</v>
      </c>
      <c r="N10" s="290"/>
      <c r="O10" s="290" t="s">
        <v>443</v>
      </c>
      <c r="P10" s="302"/>
      <c r="Q10" s="116"/>
      <c r="R10" s="115"/>
      <c r="S10" s="115"/>
      <c r="T10" s="115"/>
    </row>
    <row r="11" spans="1:20" s="26" customFormat="1" ht="30.75" customHeight="1">
      <c r="A11" s="297"/>
      <c r="B11" s="292"/>
      <c r="C11" s="297"/>
      <c r="D11" s="292"/>
      <c r="E11" s="290"/>
      <c r="F11" s="290"/>
      <c r="G11" s="290" t="s">
        <v>441</v>
      </c>
      <c r="H11" s="290" t="s">
        <v>442</v>
      </c>
      <c r="I11" s="290"/>
      <c r="J11" s="290"/>
      <c r="K11" s="295"/>
      <c r="L11" s="290"/>
      <c r="M11" s="290" t="s">
        <v>441</v>
      </c>
      <c r="N11" s="290" t="s">
        <v>442</v>
      </c>
      <c r="O11" s="290"/>
      <c r="P11" s="302"/>
      <c r="Q11" s="115"/>
      <c r="R11" s="115"/>
      <c r="S11" s="115"/>
      <c r="T11" s="115"/>
    </row>
    <row r="12" spans="1:20" s="26" customFormat="1" ht="34.5" customHeight="1">
      <c r="A12" s="297"/>
      <c r="B12" s="292"/>
      <c r="C12" s="297"/>
      <c r="D12" s="292"/>
      <c r="E12" s="290"/>
      <c r="F12" s="290"/>
      <c r="G12" s="290"/>
      <c r="H12" s="290"/>
      <c r="I12" s="290"/>
      <c r="J12" s="290"/>
      <c r="K12" s="296"/>
      <c r="L12" s="290"/>
      <c r="M12" s="290"/>
      <c r="N12" s="290"/>
      <c r="O12" s="290"/>
      <c r="P12" s="302"/>
      <c r="Q12" s="115"/>
      <c r="R12" s="115"/>
      <c r="S12" s="115"/>
      <c r="T12" s="115"/>
    </row>
    <row r="13" spans="1:20" s="28" customFormat="1" ht="15">
      <c r="A13" s="68">
        <v>1</v>
      </c>
      <c r="B13" s="57">
        <v>2</v>
      </c>
      <c r="C13" s="68">
        <v>3</v>
      </c>
      <c r="D13" s="4">
        <v>4</v>
      </c>
      <c r="E13" s="56">
        <v>5</v>
      </c>
      <c r="F13" s="57">
        <v>6</v>
      </c>
      <c r="G13" s="57">
        <v>7</v>
      </c>
      <c r="H13" s="57">
        <v>8</v>
      </c>
      <c r="I13" s="57">
        <v>9</v>
      </c>
      <c r="J13" s="56">
        <v>10</v>
      </c>
      <c r="K13" s="58">
        <v>11</v>
      </c>
      <c r="L13" s="57">
        <v>12</v>
      </c>
      <c r="M13" s="57">
        <v>13</v>
      </c>
      <c r="N13" s="57">
        <v>14</v>
      </c>
      <c r="O13" s="57">
        <v>15</v>
      </c>
      <c r="P13" s="111">
        <v>16</v>
      </c>
      <c r="Q13" s="117"/>
      <c r="R13" s="288" t="s">
        <v>177</v>
      </c>
      <c r="S13" s="288" t="s">
        <v>178</v>
      </c>
      <c r="T13" s="288" t="s">
        <v>179</v>
      </c>
    </row>
    <row r="14" spans="1:20" s="29" customFormat="1" ht="88.5" customHeight="1">
      <c r="A14" s="69" t="s">
        <v>446</v>
      </c>
      <c r="B14" s="70"/>
      <c r="C14" s="71"/>
      <c r="D14" s="110" t="s">
        <v>411</v>
      </c>
      <c r="E14" s="148">
        <f>F14+I14</f>
        <v>32111927</v>
      </c>
      <c r="F14" s="148">
        <f>SUM(F15)</f>
        <v>32111927</v>
      </c>
      <c r="G14" s="148">
        <f>SUM(G15)</f>
        <v>16896785</v>
      </c>
      <c r="H14" s="148">
        <f>SUM(H15)</f>
        <v>1545904</v>
      </c>
      <c r="I14" s="148">
        <f>SUM(I15)</f>
        <v>0</v>
      </c>
      <c r="J14" s="148">
        <f>L14+O14</f>
        <v>1200000</v>
      </c>
      <c r="K14" s="148">
        <f>SUM(K15)</f>
        <v>1200000</v>
      </c>
      <c r="L14" s="148">
        <f>SUM(L15)</f>
        <v>0</v>
      </c>
      <c r="M14" s="148">
        <f>SUM(M15)</f>
        <v>0</v>
      </c>
      <c r="N14" s="148">
        <f>SUM(N15)</f>
        <v>0</v>
      </c>
      <c r="O14" s="148">
        <f>SUM(O15)</f>
        <v>1200000</v>
      </c>
      <c r="P14" s="149">
        <f aca="true" t="shared" si="0" ref="P14:P74">E14+J14</f>
        <v>33311927</v>
      </c>
      <c r="Q14" s="223"/>
      <c r="R14" s="118"/>
      <c r="S14" s="118"/>
      <c r="T14" s="118"/>
    </row>
    <row r="15" spans="1:20" s="30" customFormat="1" ht="30" customHeight="1">
      <c r="A15" s="72" t="s">
        <v>447</v>
      </c>
      <c r="B15" s="73"/>
      <c r="C15" s="74"/>
      <c r="D15" s="6" t="s">
        <v>189</v>
      </c>
      <c r="E15" s="150">
        <f aca="true" t="shared" si="1" ref="E15:E122">F15+I15</f>
        <v>32111927</v>
      </c>
      <c r="F15" s="150">
        <f>SUM(F16+F17+F19+F18)</f>
        <v>32111927</v>
      </c>
      <c r="G15" s="150">
        <f>SUM(G16+G17+G19+G18)</f>
        <v>16896785</v>
      </c>
      <c r="H15" s="150">
        <f>SUM(H16+H17+H19+H18)</f>
        <v>1545904</v>
      </c>
      <c r="I15" s="150">
        <f>SUM(I16+I17+I19+I18)</f>
        <v>0</v>
      </c>
      <c r="J15" s="151">
        <f>L15+O15</f>
        <v>1200000</v>
      </c>
      <c r="K15" s="150">
        <f>L15+O15</f>
        <v>1200000</v>
      </c>
      <c r="L15" s="150">
        <f>SUM(L16+L17+L19+L18)</f>
        <v>0</v>
      </c>
      <c r="M15" s="150">
        <f>SUM(M16+M17+M19+M18)</f>
        <v>0</v>
      </c>
      <c r="N15" s="150">
        <f>SUM(N16+N17+N19+N18)</f>
        <v>0</v>
      </c>
      <c r="O15" s="150">
        <f>SUM(O16+O17+O19+O18)</f>
        <v>1200000</v>
      </c>
      <c r="P15" s="152">
        <f t="shared" si="0"/>
        <v>33311927</v>
      </c>
      <c r="Q15" s="223"/>
      <c r="R15" s="119"/>
      <c r="S15" s="119"/>
      <c r="T15" s="119"/>
    </row>
    <row r="16" spans="1:20" s="26" customFormat="1" ht="57.75" customHeight="1">
      <c r="A16" s="75" t="s">
        <v>448</v>
      </c>
      <c r="B16" s="76" t="s">
        <v>450</v>
      </c>
      <c r="C16" s="75" t="s">
        <v>449</v>
      </c>
      <c r="D16" s="7" t="s">
        <v>451</v>
      </c>
      <c r="E16" s="153">
        <f t="shared" si="1"/>
        <v>25529231</v>
      </c>
      <c r="F16" s="154">
        <f>25329231+200000</f>
        <v>25529231</v>
      </c>
      <c r="G16" s="154">
        <v>16896785</v>
      </c>
      <c r="H16" s="154">
        <v>1545904</v>
      </c>
      <c r="I16" s="154">
        <v>0</v>
      </c>
      <c r="J16" s="155">
        <f aca="true" t="shared" si="2" ref="J16:J76">L16+O16</f>
        <v>1200000</v>
      </c>
      <c r="K16" s="156">
        <v>1200000</v>
      </c>
      <c r="L16" s="154">
        <v>0</v>
      </c>
      <c r="M16" s="154">
        <v>0</v>
      </c>
      <c r="N16" s="154">
        <v>0</v>
      </c>
      <c r="O16" s="154">
        <v>1200000</v>
      </c>
      <c r="P16" s="157">
        <f t="shared" si="0"/>
        <v>26729231</v>
      </c>
      <c r="Q16" s="223"/>
      <c r="R16" s="115"/>
      <c r="S16" s="115"/>
      <c r="T16" s="115"/>
    </row>
    <row r="17" spans="1:20" s="26" customFormat="1" ht="23.25" customHeight="1">
      <c r="A17" s="75" t="s">
        <v>452</v>
      </c>
      <c r="B17" s="76" t="s">
        <v>454</v>
      </c>
      <c r="C17" s="75" t="s">
        <v>453</v>
      </c>
      <c r="D17" s="7" t="s">
        <v>455</v>
      </c>
      <c r="E17" s="153">
        <f t="shared" si="1"/>
        <v>744600</v>
      </c>
      <c r="F17" s="154">
        <f>498600-35000+281000</f>
        <v>744600</v>
      </c>
      <c r="G17" s="154">
        <v>0</v>
      </c>
      <c r="H17" s="154">
        <v>0</v>
      </c>
      <c r="I17" s="154">
        <v>0</v>
      </c>
      <c r="J17" s="155">
        <f t="shared" si="2"/>
        <v>0</v>
      </c>
      <c r="K17" s="156"/>
      <c r="L17" s="154">
        <v>0</v>
      </c>
      <c r="M17" s="154">
        <v>0</v>
      </c>
      <c r="N17" s="154">
        <v>0</v>
      </c>
      <c r="O17" s="154">
        <v>0</v>
      </c>
      <c r="P17" s="157">
        <f t="shared" si="0"/>
        <v>744600</v>
      </c>
      <c r="Q17" s="223"/>
      <c r="R17" s="115"/>
      <c r="S17" s="115"/>
      <c r="T17" s="115"/>
    </row>
    <row r="18" spans="1:20" s="26" customFormat="1" ht="30" customHeight="1">
      <c r="A18" s="77" t="s">
        <v>233</v>
      </c>
      <c r="B18" s="77" t="s">
        <v>234</v>
      </c>
      <c r="C18" s="78" t="s">
        <v>570</v>
      </c>
      <c r="D18" s="8" t="s">
        <v>235</v>
      </c>
      <c r="E18" s="158">
        <f t="shared" si="1"/>
        <v>227796</v>
      </c>
      <c r="F18" s="154">
        <f>156000+71796</f>
        <v>227796</v>
      </c>
      <c r="G18" s="154"/>
      <c r="H18" s="154"/>
      <c r="I18" s="154">
        <v>0</v>
      </c>
      <c r="J18" s="155">
        <f t="shared" si="2"/>
        <v>0</v>
      </c>
      <c r="K18" s="159"/>
      <c r="L18" s="154"/>
      <c r="M18" s="154"/>
      <c r="N18" s="154"/>
      <c r="O18" s="154"/>
      <c r="P18" s="157">
        <f t="shared" si="0"/>
        <v>227796</v>
      </c>
      <c r="Q18" s="223"/>
      <c r="R18" s="115"/>
      <c r="S18" s="115"/>
      <c r="T18" s="115"/>
    </row>
    <row r="19" spans="1:20" s="26" customFormat="1" ht="30.75" customHeight="1">
      <c r="A19" s="75" t="s">
        <v>456</v>
      </c>
      <c r="B19" s="76" t="s">
        <v>458</v>
      </c>
      <c r="C19" s="75" t="s">
        <v>457</v>
      </c>
      <c r="D19" s="7" t="s">
        <v>459</v>
      </c>
      <c r="E19" s="153">
        <f t="shared" si="1"/>
        <v>5610300</v>
      </c>
      <c r="F19" s="154">
        <v>5610300</v>
      </c>
      <c r="G19" s="154"/>
      <c r="H19" s="154">
        <v>0</v>
      </c>
      <c r="I19" s="154">
        <v>0</v>
      </c>
      <c r="J19" s="148">
        <f t="shared" si="2"/>
        <v>0</v>
      </c>
      <c r="K19" s="156"/>
      <c r="L19" s="154">
        <v>0</v>
      </c>
      <c r="M19" s="154">
        <v>0</v>
      </c>
      <c r="N19" s="154"/>
      <c r="O19" s="154"/>
      <c r="P19" s="157">
        <f t="shared" si="0"/>
        <v>5610300</v>
      </c>
      <c r="Q19" s="223"/>
      <c r="R19" s="115"/>
      <c r="S19" s="115"/>
      <c r="T19" s="115"/>
    </row>
    <row r="20" spans="1:20" s="29" customFormat="1" ht="75.75" customHeight="1">
      <c r="A20" s="69" t="s">
        <v>460</v>
      </c>
      <c r="B20" s="70"/>
      <c r="C20" s="71"/>
      <c r="D20" s="5" t="s">
        <v>461</v>
      </c>
      <c r="E20" s="148">
        <f>F20+I20</f>
        <v>1960108</v>
      </c>
      <c r="F20" s="148">
        <f>SUM(F21)</f>
        <v>1960108</v>
      </c>
      <c r="G20" s="148">
        <f>SUM(G21)</f>
        <v>1295478</v>
      </c>
      <c r="H20" s="148">
        <f>SUM(H21)</f>
        <v>278399</v>
      </c>
      <c r="I20" s="148">
        <f>SUM(I21)</f>
        <v>0</v>
      </c>
      <c r="J20" s="148">
        <f t="shared" si="2"/>
        <v>10000</v>
      </c>
      <c r="K20" s="148">
        <f>SUM(K21)</f>
        <v>0</v>
      </c>
      <c r="L20" s="148">
        <f>SUM(L21)</f>
        <v>10000</v>
      </c>
      <c r="M20" s="148">
        <f>SUM(M21)</f>
        <v>0</v>
      </c>
      <c r="N20" s="148">
        <f>SUM(N21)</f>
        <v>0</v>
      </c>
      <c r="O20" s="148">
        <f>SUM(O21)</f>
        <v>0</v>
      </c>
      <c r="P20" s="149">
        <f t="shared" si="0"/>
        <v>1970108</v>
      </c>
      <c r="Q20" s="223"/>
      <c r="R20" s="118"/>
      <c r="S20" s="118"/>
      <c r="T20" s="118"/>
    </row>
    <row r="21" spans="1:20" s="30" customFormat="1" ht="28.5" customHeight="1">
      <c r="A21" s="72" t="s">
        <v>462</v>
      </c>
      <c r="B21" s="73"/>
      <c r="C21" s="74"/>
      <c r="D21" s="6" t="s">
        <v>190</v>
      </c>
      <c r="E21" s="150">
        <f t="shared" si="1"/>
        <v>1960108</v>
      </c>
      <c r="F21" s="150">
        <f>SUM(F22+F23)</f>
        <v>1960108</v>
      </c>
      <c r="G21" s="150">
        <f>SUM(G22+G23)</f>
        <v>1295478</v>
      </c>
      <c r="H21" s="150">
        <f>SUM(H22+H23)</f>
        <v>278399</v>
      </c>
      <c r="I21" s="150">
        <f>SUM(I22+I23)</f>
        <v>0</v>
      </c>
      <c r="J21" s="151">
        <f t="shared" si="2"/>
        <v>10000</v>
      </c>
      <c r="K21" s="150">
        <f>K22</f>
        <v>0</v>
      </c>
      <c r="L21" s="150">
        <f>L22</f>
        <v>10000</v>
      </c>
      <c r="M21" s="150">
        <f>SUM(M22+M23)</f>
        <v>0</v>
      </c>
      <c r="N21" s="150">
        <f>SUM(N22+N23)</f>
        <v>0</v>
      </c>
      <c r="O21" s="150">
        <f>SUM(O22+O23)</f>
        <v>0</v>
      </c>
      <c r="P21" s="152">
        <f t="shared" si="0"/>
        <v>1970108</v>
      </c>
      <c r="Q21" s="223"/>
      <c r="R21" s="119"/>
      <c r="S21" s="119"/>
      <c r="T21" s="119"/>
    </row>
    <row r="22" spans="1:20" s="26" customFormat="1" ht="26.25">
      <c r="A22" s="75" t="s">
        <v>463</v>
      </c>
      <c r="B22" s="76" t="s">
        <v>464</v>
      </c>
      <c r="C22" s="75" t="s">
        <v>449</v>
      </c>
      <c r="D22" s="7" t="s">
        <v>465</v>
      </c>
      <c r="E22" s="153">
        <f t="shared" si="1"/>
        <v>1880108</v>
      </c>
      <c r="F22" s="154">
        <v>1880108</v>
      </c>
      <c r="G22" s="154">
        <v>1295478</v>
      </c>
      <c r="H22" s="154">
        <v>278399</v>
      </c>
      <c r="I22" s="154">
        <v>0</v>
      </c>
      <c r="J22" s="155">
        <f t="shared" si="2"/>
        <v>10000</v>
      </c>
      <c r="K22" s="159"/>
      <c r="L22" s="154">
        <v>10000</v>
      </c>
      <c r="M22" s="154"/>
      <c r="N22" s="154"/>
      <c r="O22" s="154">
        <v>0</v>
      </c>
      <c r="P22" s="157">
        <f t="shared" si="0"/>
        <v>1890108</v>
      </c>
      <c r="Q22" s="223"/>
      <c r="R22" s="115"/>
      <c r="S22" s="115"/>
      <c r="T22" s="115"/>
    </row>
    <row r="23" spans="1:20" s="26" customFormat="1" ht="39" customHeight="1">
      <c r="A23" s="75" t="s">
        <v>466</v>
      </c>
      <c r="B23" s="76" t="s">
        <v>454</v>
      </c>
      <c r="C23" s="75" t="s">
        <v>453</v>
      </c>
      <c r="D23" s="7" t="s">
        <v>455</v>
      </c>
      <c r="E23" s="153">
        <f t="shared" si="1"/>
        <v>80000</v>
      </c>
      <c r="F23" s="154">
        <v>80000</v>
      </c>
      <c r="G23" s="154"/>
      <c r="H23" s="154"/>
      <c r="I23" s="154"/>
      <c r="J23" s="155">
        <f t="shared" si="2"/>
        <v>0</v>
      </c>
      <c r="K23" s="159"/>
      <c r="L23" s="154">
        <v>0</v>
      </c>
      <c r="M23" s="154">
        <v>0</v>
      </c>
      <c r="N23" s="154">
        <v>0</v>
      </c>
      <c r="O23" s="154">
        <v>0</v>
      </c>
      <c r="P23" s="157">
        <f t="shared" si="0"/>
        <v>80000</v>
      </c>
      <c r="Q23" s="223"/>
      <c r="R23" s="115"/>
      <c r="S23" s="115"/>
      <c r="T23" s="115"/>
    </row>
    <row r="24" spans="1:20" s="29" customFormat="1" ht="29.25" customHeight="1">
      <c r="A24" s="69" t="s">
        <v>467</v>
      </c>
      <c r="B24" s="70"/>
      <c r="C24" s="71"/>
      <c r="D24" s="5" t="s">
        <v>468</v>
      </c>
      <c r="E24" s="160">
        <f>E25</f>
        <v>885130568.3199999</v>
      </c>
      <c r="F24" s="160">
        <f aca="true" t="shared" si="3" ref="F24:P24">F25</f>
        <v>885130568.3199999</v>
      </c>
      <c r="G24" s="160">
        <f t="shared" si="3"/>
        <v>536458738</v>
      </c>
      <c r="H24" s="160">
        <f t="shared" si="3"/>
        <v>105842658</v>
      </c>
      <c r="I24" s="160">
        <f t="shared" si="3"/>
        <v>0</v>
      </c>
      <c r="J24" s="148">
        <f>L24+O24</f>
        <v>74519162.8</v>
      </c>
      <c r="K24" s="160">
        <f t="shared" si="3"/>
        <v>30445905.8</v>
      </c>
      <c r="L24" s="160">
        <f t="shared" si="3"/>
        <v>43652578</v>
      </c>
      <c r="M24" s="160">
        <f t="shared" si="3"/>
        <v>1442624</v>
      </c>
      <c r="N24" s="160">
        <f t="shared" si="3"/>
        <v>90824</v>
      </c>
      <c r="O24" s="160">
        <f t="shared" si="3"/>
        <v>30866584.8</v>
      </c>
      <c r="P24" s="161">
        <f t="shared" si="3"/>
        <v>959649731.1199999</v>
      </c>
      <c r="Q24" s="223"/>
      <c r="R24" s="118"/>
      <c r="S24" s="118"/>
      <c r="T24" s="118"/>
    </row>
    <row r="25" spans="1:20" s="30" customFormat="1" ht="32.25" customHeight="1">
      <c r="A25" s="72" t="s">
        <v>469</v>
      </c>
      <c r="B25" s="73"/>
      <c r="C25" s="74"/>
      <c r="D25" s="9" t="s">
        <v>470</v>
      </c>
      <c r="E25" s="150">
        <f>F25+I25</f>
        <v>885130568.3199999</v>
      </c>
      <c r="F25" s="150">
        <f>F26+F27+F28+F30+F43+F45+F48+F49+F50+F52+F53+F54+F57+F58+F60+F61+F62+F63+F65+F66+F68+F69+F71+F72+F74+F78+F79+F80+F81+F82+F83+F86+F88+F89</f>
        <v>885130568.3199999</v>
      </c>
      <c r="G25" s="150">
        <f>G26+G27+G28+G30+G43+G45+G48+G49+G50+G52+G53+G54+G57+G58+G60+G61+G62+G63+G65+G66+G68+G69+G71+G72+G74+G78+G79+G80+G81+G82+G83+G86+G88+G89</f>
        <v>536458738</v>
      </c>
      <c r="H25" s="150">
        <f>H26+H27+H28+H30+H43+H45+H48+H49+H50+H52+H53+H54+H57+H58+H60+H61+H62+H63+H65+H66+H68+H69+H71+H72+H74+H78+H79+H80+H81+H82+H83+H86+H88+H89</f>
        <v>105842658</v>
      </c>
      <c r="I25" s="150">
        <f>I26+I27+I28+I30+I43+I45+I48+I49+I50+I52+I53+I54+I57+I58+I60+I61+I62+I63+I65+I66+I68+I69+I71+I72+I74+I78+I79+I80+I81+I82+I83+I86+I88+I89</f>
        <v>0</v>
      </c>
      <c r="J25" s="151">
        <f>L25+O25</f>
        <v>74519162.8</v>
      </c>
      <c r="K25" s="150">
        <f>K26+K27+K28+K30+K43+K45+K48+K49+K50+K52+K53+K54+K57+K58+K60+K61+K62+K63+K65+K66+K68+K69+K71+K72+K74+K78+K79+K80+K81+K82+K83+K86+K88+K89</f>
        <v>30445905.8</v>
      </c>
      <c r="L25" s="150">
        <f>L26+L27+L28+L30+L43+L45+L48+L49+L50+L52+L53+L54+L57+L58+L60+L61+L62+L63+L65+L66+L68+L69+L71+L72+L74+L78+L79+L80+L81+L82+L83+L86+L88+L89</f>
        <v>43652578</v>
      </c>
      <c r="M25" s="150">
        <f>M26+M27+M28+M30+M43+M45+M48+M49+M50+M52+M53+M54+M57+M58+M60+M61+M62+M63+M65+M66+M68+M69+M71+M72+M74+M78+M79+M80+M81+M82+M83+M86+M88+M89</f>
        <v>1442624</v>
      </c>
      <c r="N25" s="150">
        <f>N26+N27+N28+N30+N43+N45+N48+N49+N50+N52+N53+N54+N57+N58+N60+N61+N62+N63+N65+N66+N68+N69+N71+N72+N74+N78+N79+N80+N81+N82+N83+N86+N88+N89</f>
        <v>90824</v>
      </c>
      <c r="O25" s="150">
        <f>O26+O27+O28+O30+O43+O45+O48+O49+O50+O52+O53+O54+O57+O58+O60+O61+O62+O63+O65+O66+O68+O69+O71+O72+O74+O78+O79+O80+O81+O82+O83+O86+O88+O89</f>
        <v>30866584.8</v>
      </c>
      <c r="P25" s="152">
        <f>E25+J25</f>
        <v>959649731.1199999</v>
      </c>
      <c r="Q25" s="223"/>
      <c r="R25" s="119"/>
      <c r="S25" s="119"/>
      <c r="T25" s="119"/>
    </row>
    <row r="26" spans="1:20" s="26" customFormat="1" ht="49.5" customHeight="1">
      <c r="A26" s="75" t="s">
        <v>471</v>
      </c>
      <c r="B26" s="76" t="s">
        <v>464</v>
      </c>
      <c r="C26" s="75" t="s">
        <v>449</v>
      </c>
      <c r="D26" s="7" t="s">
        <v>465</v>
      </c>
      <c r="E26" s="153">
        <f t="shared" si="1"/>
        <v>3820827</v>
      </c>
      <c r="F26" s="154">
        <v>3820827</v>
      </c>
      <c r="G26" s="154">
        <v>2920726</v>
      </c>
      <c r="H26" s="154">
        <v>105646</v>
      </c>
      <c r="I26" s="154"/>
      <c r="J26" s="155">
        <f t="shared" si="2"/>
        <v>0</v>
      </c>
      <c r="K26" s="159"/>
      <c r="L26" s="154"/>
      <c r="M26" s="154"/>
      <c r="N26" s="154"/>
      <c r="O26" s="154"/>
      <c r="P26" s="157">
        <f t="shared" si="0"/>
        <v>3820827</v>
      </c>
      <c r="Q26" s="223"/>
      <c r="R26" s="115"/>
      <c r="S26" s="115"/>
      <c r="T26" s="115"/>
    </row>
    <row r="27" spans="1:20" s="26" customFormat="1" ht="29.25" customHeight="1">
      <c r="A27" s="75" t="s">
        <v>472</v>
      </c>
      <c r="B27" s="76" t="s">
        <v>454</v>
      </c>
      <c r="C27" s="75" t="s">
        <v>453</v>
      </c>
      <c r="D27" s="7" t="s">
        <v>455</v>
      </c>
      <c r="E27" s="153">
        <f t="shared" si="1"/>
        <v>271900</v>
      </c>
      <c r="F27" s="154">
        <v>271900</v>
      </c>
      <c r="G27" s="154"/>
      <c r="H27" s="154"/>
      <c r="I27" s="154"/>
      <c r="J27" s="155">
        <f t="shared" si="2"/>
        <v>0</v>
      </c>
      <c r="K27" s="159"/>
      <c r="L27" s="154"/>
      <c r="M27" s="154"/>
      <c r="N27" s="154"/>
      <c r="O27" s="154"/>
      <c r="P27" s="157">
        <f t="shared" si="0"/>
        <v>271900</v>
      </c>
      <c r="Q27" s="223"/>
      <c r="R27" s="115"/>
      <c r="S27" s="115"/>
      <c r="T27" s="115"/>
    </row>
    <row r="28" spans="1:20" s="26" customFormat="1" ht="25.5" customHeight="1">
      <c r="A28" s="75" t="s">
        <v>473</v>
      </c>
      <c r="B28" s="76" t="s">
        <v>475</v>
      </c>
      <c r="C28" s="75" t="s">
        <v>474</v>
      </c>
      <c r="D28" s="7" t="s">
        <v>476</v>
      </c>
      <c r="E28" s="153">
        <f t="shared" si="1"/>
        <v>225117136.92</v>
      </c>
      <c r="F28" s="154">
        <f>225099900+17236.92</f>
        <v>225117136.92</v>
      </c>
      <c r="G28" s="154">
        <f>133329600</f>
        <v>133329600</v>
      </c>
      <c r="H28" s="154">
        <f>31802000+168022</f>
        <v>31970022</v>
      </c>
      <c r="I28" s="154"/>
      <c r="J28" s="155">
        <f>L28+O28</f>
        <v>21732860</v>
      </c>
      <c r="K28" s="159">
        <f>4382815+7000-1050000</f>
        <v>3339815</v>
      </c>
      <c r="L28" s="154">
        <f>18393045</f>
        <v>18393045</v>
      </c>
      <c r="M28" s="154"/>
      <c r="N28" s="154"/>
      <c r="O28" s="154">
        <f>4382815+7000-1050000</f>
        <v>3339815</v>
      </c>
      <c r="P28" s="157">
        <f t="shared" si="0"/>
        <v>246849996.92</v>
      </c>
      <c r="Q28" s="223"/>
      <c r="R28" s="115"/>
      <c r="S28" s="115"/>
      <c r="T28" s="115"/>
    </row>
    <row r="29" spans="1:20" s="26" customFormat="1" ht="24" customHeight="1" hidden="1">
      <c r="A29" s="75"/>
      <c r="B29" s="76"/>
      <c r="C29" s="75"/>
      <c r="D29" s="10" t="s">
        <v>423</v>
      </c>
      <c r="E29" s="153">
        <f t="shared" si="1"/>
        <v>0</v>
      </c>
      <c r="F29" s="154"/>
      <c r="G29" s="154"/>
      <c r="H29" s="154"/>
      <c r="I29" s="154"/>
      <c r="J29" s="155">
        <f t="shared" si="2"/>
        <v>0</v>
      </c>
      <c r="K29" s="159"/>
      <c r="L29" s="154"/>
      <c r="M29" s="154"/>
      <c r="N29" s="154"/>
      <c r="O29" s="154"/>
      <c r="P29" s="157">
        <f t="shared" si="0"/>
        <v>0</v>
      </c>
      <c r="Q29" s="223"/>
      <c r="R29" s="115"/>
      <c r="S29" s="115"/>
      <c r="T29" s="115"/>
    </row>
    <row r="30" spans="1:20" s="26" customFormat="1" ht="62.25" customHeight="1">
      <c r="A30" s="75" t="s">
        <v>477</v>
      </c>
      <c r="B30" s="76" t="s">
        <v>479</v>
      </c>
      <c r="C30" s="75" t="s">
        <v>478</v>
      </c>
      <c r="D30" s="7" t="s">
        <v>480</v>
      </c>
      <c r="E30" s="153">
        <f t="shared" si="1"/>
        <v>473689795.38</v>
      </c>
      <c r="F30" s="154">
        <f>470377400+4013887+274445-2746075+92038.38+778100+697000+203000</f>
        <v>473689795.38</v>
      </c>
      <c r="G30" s="154">
        <f>307920500+2689563+224955-2014090-224955</f>
        <v>308595973</v>
      </c>
      <c r="H30" s="154">
        <f>59350700+590219</f>
        <v>59940919</v>
      </c>
      <c r="I30" s="154"/>
      <c r="J30" s="155">
        <f t="shared" si="2"/>
        <v>36470358.8</v>
      </c>
      <c r="K30" s="159">
        <f>13834099+1034213+652187+86702.8+44512-1075000</f>
        <v>14576713.8</v>
      </c>
      <c r="L30" s="154">
        <f>21859495</f>
        <v>21859495</v>
      </c>
      <c r="M30" s="154">
        <v>87000</v>
      </c>
      <c r="N30" s="154">
        <f>82324</f>
        <v>82324</v>
      </c>
      <c r="O30" s="154">
        <f>34150+13834099+1034213+652187+86702.8+44512-1075000</f>
        <v>14610863.8</v>
      </c>
      <c r="P30" s="157">
        <f t="shared" si="0"/>
        <v>510160154.18</v>
      </c>
      <c r="Q30" s="223"/>
      <c r="R30" s="115"/>
      <c r="S30" s="115"/>
      <c r="T30" s="115"/>
    </row>
    <row r="31" spans="1:20" s="36" customFormat="1" ht="36" customHeight="1">
      <c r="A31" s="144"/>
      <c r="B31" s="145"/>
      <c r="C31" s="144"/>
      <c r="D31" s="10" t="s">
        <v>231</v>
      </c>
      <c r="E31" s="168">
        <f t="shared" si="1"/>
        <v>269685700</v>
      </c>
      <c r="F31" s="169">
        <v>269685700</v>
      </c>
      <c r="G31" s="169">
        <v>221053900</v>
      </c>
      <c r="H31" s="169"/>
      <c r="I31" s="169"/>
      <c r="J31" s="170">
        <f t="shared" si="2"/>
        <v>0</v>
      </c>
      <c r="K31" s="171"/>
      <c r="L31" s="169"/>
      <c r="M31" s="169"/>
      <c r="N31" s="169"/>
      <c r="O31" s="169"/>
      <c r="P31" s="172">
        <f t="shared" si="0"/>
        <v>269685700</v>
      </c>
      <c r="Q31" s="224"/>
      <c r="R31" s="125"/>
      <c r="S31" s="125"/>
      <c r="T31" s="125"/>
    </row>
    <row r="32" spans="1:20" s="36" customFormat="1" ht="39.75" customHeight="1">
      <c r="A32" s="144"/>
      <c r="B32" s="145"/>
      <c r="C32" s="144"/>
      <c r="D32" s="10" t="s">
        <v>328</v>
      </c>
      <c r="E32" s="168">
        <f t="shared" si="1"/>
        <v>0</v>
      </c>
      <c r="F32" s="169"/>
      <c r="G32" s="169"/>
      <c r="H32" s="169"/>
      <c r="I32" s="169"/>
      <c r="J32" s="170">
        <f t="shared" si="2"/>
        <v>86702.8</v>
      </c>
      <c r="K32" s="171">
        <f>86702.8</f>
        <v>86702.8</v>
      </c>
      <c r="L32" s="169"/>
      <c r="M32" s="169"/>
      <c r="N32" s="169"/>
      <c r="O32" s="169">
        <f>86702.8</f>
        <v>86702.8</v>
      </c>
      <c r="P32" s="172">
        <f t="shared" si="0"/>
        <v>86702.8</v>
      </c>
      <c r="Q32" s="224"/>
      <c r="R32" s="125"/>
      <c r="S32" s="125"/>
      <c r="T32" s="125"/>
    </row>
    <row r="33" spans="1:20" s="36" customFormat="1" ht="2.25" customHeight="1" hidden="1">
      <c r="A33" s="144"/>
      <c r="B33" s="145"/>
      <c r="C33" s="144"/>
      <c r="D33" s="10" t="s">
        <v>364</v>
      </c>
      <c r="E33" s="168">
        <f t="shared" si="1"/>
        <v>0</v>
      </c>
      <c r="F33" s="169"/>
      <c r="G33" s="169"/>
      <c r="H33" s="169"/>
      <c r="I33" s="169"/>
      <c r="J33" s="170">
        <f t="shared" si="2"/>
        <v>0</v>
      </c>
      <c r="K33" s="171"/>
      <c r="L33" s="169"/>
      <c r="M33" s="169"/>
      <c r="N33" s="169"/>
      <c r="O33" s="169"/>
      <c r="P33" s="172">
        <f t="shared" si="0"/>
        <v>0</v>
      </c>
      <c r="Q33" s="224"/>
      <c r="R33" s="125"/>
      <c r="S33" s="125"/>
      <c r="T33" s="125"/>
    </row>
    <row r="34" spans="1:20" s="36" customFormat="1" ht="2.25" customHeight="1" hidden="1">
      <c r="A34" s="144"/>
      <c r="B34" s="145"/>
      <c r="C34" s="144"/>
      <c r="D34" s="10" t="s">
        <v>365</v>
      </c>
      <c r="E34" s="168">
        <f t="shared" si="1"/>
        <v>0</v>
      </c>
      <c r="F34" s="169"/>
      <c r="G34" s="169"/>
      <c r="H34" s="169"/>
      <c r="I34" s="169"/>
      <c r="J34" s="170">
        <f t="shared" si="2"/>
        <v>0</v>
      </c>
      <c r="K34" s="171"/>
      <c r="L34" s="169"/>
      <c r="M34" s="169"/>
      <c r="N34" s="169"/>
      <c r="O34" s="169">
        <f>722500-722500</f>
        <v>0</v>
      </c>
      <c r="P34" s="172">
        <f t="shared" si="0"/>
        <v>0</v>
      </c>
      <c r="Q34" s="224"/>
      <c r="R34" s="125"/>
      <c r="S34" s="125"/>
      <c r="T34" s="125"/>
    </row>
    <row r="35" spans="1:20" s="36" customFormat="1" ht="2.25" customHeight="1" hidden="1">
      <c r="A35" s="144"/>
      <c r="B35" s="145"/>
      <c r="C35" s="144"/>
      <c r="D35" s="10" t="s">
        <v>366</v>
      </c>
      <c r="E35" s="168">
        <f t="shared" si="1"/>
        <v>0</v>
      </c>
      <c r="F35" s="169"/>
      <c r="G35" s="169"/>
      <c r="H35" s="169"/>
      <c r="I35" s="169"/>
      <c r="J35" s="170">
        <f t="shared" si="2"/>
        <v>0</v>
      </c>
      <c r="K35" s="171"/>
      <c r="L35" s="169"/>
      <c r="M35" s="169"/>
      <c r="N35" s="169"/>
      <c r="O35" s="169"/>
      <c r="P35" s="172">
        <f t="shared" si="0"/>
        <v>0</v>
      </c>
      <c r="Q35" s="224"/>
      <c r="R35" s="125"/>
      <c r="S35" s="125"/>
      <c r="T35" s="125"/>
    </row>
    <row r="36" spans="1:20" s="36" customFormat="1" ht="2.25" customHeight="1" hidden="1">
      <c r="A36" s="144"/>
      <c r="B36" s="145"/>
      <c r="C36" s="144"/>
      <c r="D36" s="10" t="s">
        <v>367</v>
      </c>
      <c r="E36" s="168">
        <f t="shared" si="1"/>
        <v>0</v>
      </c>
      <c r="F36" s="169"/>
      <c r="G36" s="169"/>
      <c r="H36" s="169"/>
      <c r="I36" s="169"/>
      <c r="J36" s="170">
        <f t="shared" si="2"/>
        <v>0</v>
      </c>
      <c r="K36" s="171"/>
      <c r="L36" s="169"/>
      <c r="M36" s="169"/>
      <c r="N36" s="169"/>
      <c r="O36" s="169"/>
      <c r="P36" s="172">
        <f t="shared" si="0"/>
        <v>0</v>
      </c>
      <c r="Q36" s="224"/>
      <c r="R36" s="125"/>
      <c r="S36" s="125"/>
      <c r="T36" s="125"/>
    </row>
    <row r="37" spans="1:20" s="36" customFormat="1" ht="36" customHeight="1" hidden="1">
      <c r="A37" s="144"/>
      <c r="B37" s="145"/>
      <c r="C37" s="144"/>
      <c r="D37" s="10" t="s">
        <v>368</v>
      </c>
      <c r="E37" s="168">
        <f t="shared" si="1"/>
        <v>0</v>
      </c>
      <c r="F37" s="169"/>
      <c r="G37" s="169"/>
      <c r="H37" s="169"/>
      <c r="I37" s="169"/>
      <c r="J37" s="170">
        <f t="shared" si="2"/>
        <v>0</v>
      </c>
      <c r="K37" s="171"/>
      <c r="L37" s="169"/>
      <c r="M37" s="169"/>
      <c r="N37" s="169"/>
      <c r="O37" s="169"/>
      <c r="P37" s="172">
        <f t="shared" si="0"/>
        <v>0</v>
      </c>
      <c r="Q37" s="224"/>
      <c r="R37" s="125"/>
      <c r="S37" s="125"/>
      <c r="T37" s="125"/>
    </row>
    <row r="38" spans="1:20" s="36" customFormat="1" ht="36" customHeight="1" hidden="1">
      <c r="A38" s="144"/>
      <c r="B38" s="145"/>
      <c r="C38" s="144"/>
      <c r="D38" s="10" t="s">
        <v>369</v>
      </c>
      <c r="E38" s="168">
        <f t="shared" si="1"/>
        <v>0</v>
      </c>
      <c r="F38" s="169"/>
      <c r="G38" s="169"/>
      <c r="H38" s="169"/>
      <c r="I38" s="169"/>
      <c r="J38" s="170">
        <f t="shared" si="2"/>
        <v>0</v>
      </c>
      <c r="K38" s="171"/>
      <c r="L38" s="169"/>
      <c r="M38" s="169"/>
      <c r="N38" s="169"/>
      <c r="O38" s="169"/>
      <c r="P38" s="172">
        <f t="shared" si="0"/>
        <v>0</v>
      </c>
      <c r="Q38" s="224"/>
      <c r="R38" s="125"/>
      <c r="S38" s="125"/>
      <c r="T38" s="125"/>
    </row>
    <row r="39" spans="1:20" s="36" customFormat="1" ht="48" customHeight="1">
      <c r="A39" s="144"/>
      <c r="B39" s="145"/>
      <c r="C39" s="144"/>
      <c r="D39" s="10" t="s">
        <v>401</v>
      </c>
      <c r="E39" s="168">
        <f t="shared" si="1"/>
        <v>274445</v>
      </c>
      <c r="F39" s="169">
        <f>274445</f>
        <v>274445</v>
      </c>
      <c r="G39" s="169">
        <f>224955-224955</f>
        <v>0</v>
      </c>
      <c r="H39" s="169"/>
      <c r="I39" s="169"/>
      <c r="J39" s="170">
        <f t="shared" si="2"/>
        <v>0</v>
      </c>
      <c r="K39" s="171"/>
      <c r="L39" s="169"/>
      <c r="M39" s="169"/>
      <c r="N39" s="169"/>
      <c r="O39" s="169"/>
      <c r="P39" s="172">
        <f t="shared" si="0"/>
        <v>274445</v>
      </c>
      <c r="Q39" s="224"/>
      <c r="R39" s="125"/>
      <c r="S39" s="125"/>
      <c r="T39" s="125"/>
    </row>
    <row r="40" spans="1:20" s="36" customFormat="1" ht="59.25" customHeight="1">
      <c r="A40" s="144"/>
      <c r="B40" s="145"/>
      <c r="C40" s="144"/>
      <c r="D40" s="10" t="s">
        <v>415</v>
      </c>
      <c r="E40" s="168">
        <f t="shared" si="1"/>
        <v>1267812</v>
      </c>
      <c r="F40" s="169">
        <f>4013887-2746075</f>
        <v>1267812</v>
      </c>
      <c r="G40" s="169">
        <f>2689563-2014090</f>
        <v>675473</v>
      </c>
      <c r="H40" s="169"/>
      <c r="I40" s="169"/>
      <c r="J40" s="170">
        <f t="shared" si="2"/>
        <v>1686400</v>
      </c>
      <c r="K40" s="171">
        <f>1034213+652187</f>
        <v>1686400</v>
      </c>
      <c r="L40" s="169"/>
      <c r="M40" s="169"/>
      <c r="N40" s="169"/>
      <c r="O40" s="169">
        <f>1034213+652187</f>
        <v>1686400</v>
      </c>
      <c r="P40" s="172">
        <f t="shared" si="0"/>
        <v>2954212</v>
      </c>
      <c r="Q40" s="224"/>
      <c r="R40" s="125"/>
      <c r="S40" s="125"/>
      <c r="T40" s="125"/>
    </row>
    <row r="41" spans="1:20" s="31" customFormat="1" ht="104.25" customHeight="1" hidden="1">
      <c r="A41" s="79"/>
      <c r="B41" s="80"/>
      <c r="C41" s="79"/>
      <c r="D41" s="10" t="s">
        <v>373</v>
      </c>
      <c r="E41" s="162">
        <f t="shared" si="1"/>
        <v>0</v>
      </c>
      <c r="F41" s="163"/>
      <c r="G41" s="163"/>
      <c r="H41" s="163"/>
      <c r="I41" s="163"/>
      <c r="J41" s="155">
        <f t="shared" si="2"/>
        <v>0</v>
      </c>
      <c r="K41" s="164"/>
      <c r="L41" s="163"/>
      <c r="M41" s="163"/>
      <c r="N41" s="163"/>
      <c r="O41" s="163"/>
      <c r="P41" s="165">
        <f t="shared" si="0"/>
        <v>0</v>
      </c>
      <c r="Q41" s="223"/>
      <c r="R41" s="121"/>
      <c r="S41" s="121"/>
      <c r="T41" s="121"/>
    </row>
    <row r="42" spans="1:20" s="31" customFormat="1" ht="27" customHeight="1" hidden="1">
      <c r="A42" s="79"/>
      <c r="B42" s="80"/>
      <c r="C42" s="79"/>
      <c r="D42" s="10" t="s">
        <v>423</v>
      </c>
      <c r="E42" s="162">
        <f t="shared" si="1"/>
        <v>0</v>
      </c>
      <c r="F42" s="163"/>
      <c r="G42" s="163"/>
      <c r="H42" s="163"/>
      <c r="I42" s="163"/>
      <c r="J42" s="155">
        <f t="shared" si="2"/>
        <v>0</v>
      </c>
      <c r="K42" s="164"/>
      <c r="L42" s="163"/>
      <c r="M42" s="163"/>
      <c r="N42" s="163"/>
      <c r="O42" s="163"/>
      <c r="P42" s="165">
        <f t="shared" si="0"/>
        <v>0</v>
      </c>
      <c r="Q42" s="223"/>
      <c r="R42" s="121"/>
      <c r="S42" s="121"/>
      <c r="T42" s="121"/>
    </row>
    <row r="43" spans="1:20" s="26" customFormat="1" ht="45" customHeight="1">
      <c r="A43" s="75" t="s">
        <v>481</v>
      </c>
      <c r="B43" s="76" t="s">
        <v>483</v>
      </c>
      <c r="C43" s="75" t="s">
        <v>482</v>
      </c>
      <c r="D43" s="7" t="s">
        <v>484</v>
      </c>
      <c r="E43" s="153">
        <f t="shared" si="1"/>
        <v>34082400</v>
      </c>
      <c r="F43" s="154">
        <f>34082400</f>
        <v>34082400</v>
      </c>
      <c r="G43" s="154">
        <f>19621700</f>
        <v>19621700</v>
      </c>
      <c r="H43" s="154">
        <f>4334800+23317</f>
        <v>4358117</v>
      </c>
      <c r="I43" s="154"/>
      <c r="J43" s="155">
        <f t="shared" si="2"/>
        <v>10000</v>
      </c>
      <c r="K43" s="159"/>
      <c r="L43" s="154">
        <f>10000</f>
        <v>10000</v>
      </c>
      <c r="M43" s="154"/>
      <c r="N43" s="154"/>
      <c r="O43" s="154"/>
      <c r="P43" s="157">
        <f t="shared" si="0"/>
        <v>34092400</v>
      </c>
      <c r="Q43" s="223"/>
      <c r="R43" s="115"/>
      <c r="S43" s="115"/>
      <c r="T43" s="115"/>
    </row>
    <row r="44" spans="1:20" s="31" customFormat="1" ht="36" customHeight="1">
      <c r="A44" s="79"/>
      <c r="B44" s="80"/>
      <c r="C44" s="79"/>
      <c r="D44" s="11" t="s">
        <v>230</v>
      </c>
      <c r="E44" s="162">
        <f t="shared" si="1"/>
        <v>18274500</v>
      </c>
      <c r="F44" s="163">
        <v>18274500</v>
      </c>
      <c r="G44" s="163">
        <v>14979100</v>
      </c>
      <c r="H44" s="163"/>
      <c r="I44" s="163"/>
      <c r="J44" s="155">
        <f t="shared" si="2"/>
        <v>0</v>
      </c>
      <c r="K44" s="164"/>
      <c r="L44" s="163"/>
      <c r="M44" s="163"/>
      <c r="N44" s="163"/>
      <c r="O44" s="163"/>
      <c r="P44" s="165">
        <f t="shared" si="0"/>
        <v>18274500</v>
      </c>
      <c r="Q44" s="223"/>
      <c r="R44" s="121"/>
      <c r="S44" s="121"/>
      <c r="T44" s="121"/>
    </row>
    <row r="45" spans="1:20" s="26" customFormat="1" ht="35.25" customHeight="1">
      <c r="A45" s="75" t="s">
        <v>485</v>
      </c>
      <c r="B45" s="76" t="s">
        <v>487</v>
      </c>
      <c r="C45" s="75" t="s">
        <v>486</v>
      </c>
      <c r="D45" s="7" t="s">
        <v>488</v>
      </c>
      <c r="E45" s="153">
        <f t="shared" si="1"/>
        <v>25756718.02</v>
      </c>
      <c r="F45" s="154">
        <f>25728900+27818.02</f>
        <v>25756718.02</v>
      </c>
      <c r="G45" s="154">
        <f>18543000</f>
        <v>18543000</v>
      </c>
      <c r="H45" s="154">
        <f>2875500+11391</f>
        <v>2886891</v>
      </c>
      <c r="I45" s="154"/>
      <c r="J45" s="155">
        <f t="shared" si="2"/>
        <v>49057</v>
      </c>
      <c r="K45" s="159">
        <f>9907</f>
        <v>9907</v>
      </c>
      <c r="L45" s="154">
        <f>39150</f>
        <v>39150</v>
      </c>
      <c r="M45" s="154"/>
      <c r="N45" s="154">
        <f>2000</f>
        <v>2000</v>
      </c>
      <c r="O45" s="154">
        <f>9907</f>
        <v>9907</v>
      </c>
      <c r="P45" s="157">
        <f t="shared" si="0"/>
        <v>25805775.02</v>
      </c>
      <c r="Q45" s="223"/>
      <c r="R45" s="115"/>
      <c r="S45" s="115"/>
      <c r="T45" s="115"/>
    </row>
    <row r="46" spans="1:20" s="26" customFormat="1" ht="17.25" customHeight="1" hidden="1">
      <c r="A46" s="75"/>
      <c r="B46" s="76"/>
      <c r="C46" s="75"/>
      <c r="D46" s="10" t="s">
        <v>365</v>
      </c>
      <c r="E46" s="153">
        <f t="shared" si="1"/>
        <v>0</v>
      </c>
      <c r="F46" s="154"/>
      <c r="G46" s="154"/>
      <c r="H46" s="154"/>
      <c r="I46" s="154"/>
      <c r="J46" s="155">
        <f t="shared" si="2"/>
        <v>0</v>
      </c>
      <c r="K46" s="159"/>
      <c r="L46" s="154"/>
      <c r="M46" s="154"/>
      <c r="N46" s="154"/>
      <c r="O46" s="154"/>
      <c r="P46" s="165">
        <f t="shared" si="0"/>
        <v>0</v>
      </c>
      <c r="Q46" s="223"/>
      <c r="R46" s="115"/>
      <c r="S46" s="115"/>
      <c r="T46" s="115"/>
    </row>
    <row r="47" spans="1:20" s="26" customFormat="1" ht="24.75" customHeight="1" hidden="1">
      <c r="A47" s="75"/>
      <c r="B47" s="76"/>
      <c r="C47" s="75"/>
      <c r="D47" s="10" t="s">
        <v>423</v>
      </c>
      <c r="E47" s="153">
        <f t="shared" si="1"/>
        <v>0</v>
      </c>
      <c r="F47" s="154"/>
      <c r="G47" s="154"/>
      <c r="H47" s="154"/>
      <c r="I47" s="154"/>
      <c r="J47" s="155">
        <f t="shared" si="2"/>
        <v>0</v>
      </c>
      <c r="K47" s="159"/>
      <c r="L47" s="154"/>
      <c r="M47" s="154"/>
      <c r="N47" s="154"/>
      <c r="O47" s="154"/>
      <c r="P47" s="165">
        <f t="shared" si="0"/>
        <v>0</v>
      </c>
      <c r="Q47" s="223"/>
      <c r="R47" s="115"/>
      <c r="S47" s="115"/>
      <c r="T47" s="115"/>
    </row>
    <row r="48" spans="1:20" s="26" customFormat="1" ht="36.75" customHeight="1">
      <c r="A48" s="75" t="s">
        <v>489</v>
      </c>
      <c r="B48" s="76" t="s">
        <v>490</v>
      </c>
      <c r="C48" s="75" t="s">
        <v>486</v>
      </c>
      <c r="D48" s="7" t="s">
        <v>491</v>
      </c>
      <c r="E48" s="153">
        <f t="shared" si="1"/>
        <v>27089800</v>
      </c>
      <c r="F48" s="154">
        <f>27089800</f>
        <v>27089800</v>
      </c>
      <c r="G48" s="154">
        <f>19948000</f>
        <v>19948000</v>
      </c>
      <c r="H48" s="154">
        <f>2367500+13142</f>
        <v>2380642</v>
      </c>
      <c r="I48" s="154"/>
      <c r="J48" s="155">
        <f t="shared" si="2"/>
        <v>4871292</v>
      </c>
      <c r="K48" s="159">
        <f>1950000</f>
        <v>1950000</v>
      </c>
      <c r="L48" s="154">
        <v>2556263</v>
      </c>
      <c r="M48" s="154">
        <f>1354624</f>
        <v>1354624</v>
      </c>
      <c r="N48" s="154">
        <f>5000</f>
        <v>5000</v>
      </c>
      <c r="O48" s="154">
        <f>365029+1950000</f>
        <v>2315029</v>
      </c>
      <c r="P48" s="157">
        <f t="shared" si="0"/>
        <v>31961092</v>
      </c>
      <c r="Q48" s="223"/>
      <c r="R48" s="115"/>
      <c r="S48" s="115"/>
      <c r="T48" s="115"/>
    </row>
    <row r="49" spans="1:20" s="26" customFormat="1" ht="23.25" customHeight="1">
      <c r="A49" s="75" t="s">
        <v>492</v>
      </c>
      <c r="B49" s="76" t="s">
        <v>494</v>
      </c>
      <c r="C49" s="75" t="s">
        <v>493</v>
      </c>
      <c r="D49" s="7" t="s">
        <v>495</v>
      </c>
      <c r="E49" s="153">
        <f>F49+I49</f>
        <v>4375300</v>
      </c>
      <c r="F49" s="154">
        <f>4375300</f>
        <v>4375300</v>
      </c>
      <c r="G49" s="154">
        <f>3355700</f>
        <v>3355700</v>
      </c>
      <c r="H49" s="154">
        <f>67700</f>
        <v>67700</v>
      </c>
      <c r="I49" s="154"/>
      <c r="J49" s="155">
        <f t="shared" si="2"/>
        <v>0</v>
      </c>
      <c r="K49" s="159"/>
      <c r="L49" s="154"/>
      <c r="M49" s="154"/>
      <c r="N49" s="154"/>
      <c r="O49" s="154"/>
      <c r="P49" s="157">
        <f t="shared" si="0"/>
        <v>4375300</v>
      </c>
      <c r="Q49" s="223"/>
      <c r="R49" s="115"/>
      <c r="S49" s="115"/>
      <c r="T49" s="115"/>
    </row>
    <row r="50" spans="1:20" s="26" customFormat="1" ht="36" customHeight="1">
      <c r="A50" s="68" t="s">
        <v>297</v>
      </c>
      <c r="B50" s="76">
        <v>1161</v>
      </c>
      <c r="C50" s="68" t="s">
        <v>493</v>
      </c>
      <c r="D50" s="12" t="s">
        <v>298</v>
      </c>
      <c r="E50" s="153">
        <f t="shared" si="1"/>
        <v>11320471</v>
      </c>
      <c r="F50" s="154">
        <f>11320471</f>
        <v>11320471</v>
      </c>
      <c r="G50" s="154">
        <f>7931339</f>
        <v>7931339</v>
      </c>
      <c r="H50" s="154">
        <f>569900+3432</f>
        <v>573332</v>
      </c>
      <c r="I50" s="154"/>
      <c r="J50" s="155">
        <f t="shared" si="2"/>
        <v>1201170</v>
      </c>
      <c r="K50" s="159">
        <f>1158470</f>
        <v>1158470</v>
      </c>
      <c r="L50" s="154">
        <v>27700</v>
      </c>
      <c r="M50" s="154"/>
      <c r="N50" s="154"/>
      <c r="O50" s="154">
        <f>1158470+15000</f>
        <v>1173470</v>
      </c>
      <c r="P50" s="157">
        <f t="shared" si="0"/>
        <v>12521641</v>
      </c>
      <c r="Q50" s="223"/>
      <c r="R50" s="115"/>
      <c r="S50" s="115"/>
      <c r="T50" s="115"/>
    </row>
    <row r="51" spans="1:20" s="36" customFormat="1" ht="57.75" customHeight="1">
      <c r="A51" s="246"/>
      <c r="B51" s="145"/>
      <c r="C51" s="246"/>
      <c r="D51" s="10" t="s">
        <v>400</v>
      </c>
      <c r="E51" s="168">
        <f t="shared" si="1"/>
        <v>3122271</v>
      </c>
      <c r="F51" s="169">
        <f>3122271</f>
        <v>3122271</v>
      </c>
      <c r="G51" s="169">
        <f>2559239</f>
        <v>2559239</v>
      </c>
      <c r="H51" s="169"/>
      <c r="I51" s="169"/>
      <c r="J51" s="170">
        <f t="shared" si="2"/>
        <v>0</v>
      </c>
      <c r="K51" s="171"/>
      <c r="L51" s="169"/>
      <c r="M51" s="169"/>
      <c r="N51" s="169"/>
      <c r="O51" s="169"/>
      <c r="P51" s="172">
        <f t="shared" si="0"/>
        <v>3122271</v>
      </c>
      <c r="Q51" s="224"/>
      <c r="R51" s="125"/>
      <c r="S51" s="125"/>
      <c r="T51" s="125"/>
    </row>
    <row r="52" spans="1:20" s="26" customFormat="1" ht="28.5" customHeight="1">
      <c r="A52" s="68" t="s">
        <v>381</v>
      </c>
      <c r="B52" s="76">
        <v>1162</v>
      </c>
      <c r="C52" s="68" t="s">
        <v>493</v>
      </c>
      <c r="D52" s="12" t="s">
        <v>382</v>
      </c>
      <c r="E52" s="153">
        <f t="shared" si="1"/>
        <v>476700</v>
      </c>
      <c r="F52" s="154">
        <f>476700</f>
        <v>476700</v>
      </c>
      <c r="G52" s="154"/>
      <c r="H52" s="154"/>
      <c r="I52" s="154"/>
      <c r="J52" s="155">
        <f t="shared" si="2"/>
        <v>0</v>
      </c>
      <c r="K52" s="159"/>
      <c r="L52" s="154"/>
      <c r="M52" s="154"/>
      <c r="N52" s="154"/>
      <c r="O52" s="154"/>
      <c r="P52" s="157">
        <f t="shared" si="0"/>
        <v>476700</v>
      </c>
      <c r="Q52" s="223"/>
      <c r="R52" s="115"/>
      <c r="S52" s="115"/>
      <c r="T52" s="115"/>
    </row>
    <row r="53" spans="1:20" s="26" customFormat="1" ht="26.25">
      <c r="A53" s="75" t="s">
        <v>498</v>
      </c>
      <c r="B53" s="76" t="s">
        <v>499</v>
      </c>
      <c r="C53" s="75" t="s">
        <v>483</v>
      </c>
      <c r="D53" s="7" t="s">
        <v>500</v>
      </c>
      <c r="E53" s="153">
        <f t="shared" si="1"/>
        <v>216150</v>
      </c>
      <c r="F53" s="154">
        <v>216150</v>
      </c>
      <c r="G53" s="154">
        <v>45900</v>
      </c>
      <c r="H53" s="154"/>
      <c r="I53" s="154">
        <v>0</v>
      </c>
      <c r="J53" s="155">
        <f t="shared" si="2"/>
        <v>0</v>
      </c>
      <c r="K53" s="159"/>
      <c r="L53" s="154">
        <v>0</v>
      </c>
      <c r="M53" s="154">
        <v>0</v>
      </c>
      <c r="N53" s="154">
        <v>0</v>
      </c>
      <c r="O53" s="154">
        <v>0</v>
      </c>
      <c r="P53" s="157">
        <f t="shared" si="0"/>
        <v>216150</v>
      </c>
      <c r="Q53" s="223"/>
      <c r="R53" s="115"/>
      <c r="S53" s="115"/>
      <c r="T53" s="115"/>
    </row>
    <row r="54" spans="1:20" s="26" customFormat="1" ht="69" customHeight="1">
      <c r="A54" s="75" t="s">
        <v>501</v>
      </c>
      <c r="B54" s="76" t="s">
        <v>502</v>
      </c>
      <c r="C54" s="75" t="s">
        <v>483</v>
      </c>
      <c r="D54" s="7" t="s">
        <v>503</v>
      </c>
      <c r="E54" s="153">
        <f t="shared" si="1"/>
        <v>4722600</v>
      </c>
      <c r="F54" s="154">
        <v>4722600</v>
      </c>
      <c r="G54" s="154"/>
      <c r="H54" s="154"/>
      <c r="I54" s="154">
        <v>0</v>
      </c>
      <c r="J54" s="155">
        <f t="shared" si="2"/>
        <v>700000</v>
      </c>
      <c r="K54" s="159"/>
      <c r="L54" s="154">
        <v>700000</v>
      </c>
      <c r="M54" s="154">
        <v>0</v>
      </c>
      <c r="N54" s="154">
        <v>0</v>
      </c>
      <c r="O54" s="154">
        <v>0</v>
      </c>
      <c r="P54" s="157">
        <f t="shared" si="0"/>
        <v>5422600</v>
      </c>
      <c r="Q54" s="223"/>
      <c r="R54" s="115"/>
      <c r="S54" s="115"/>
      <c r="T54" s="115"/>
    </row>
    <row r="55" spans="1:20" s="26" customFormat="1" ht="140.25" customHeight="1" hidden="1">
      <c r="A55" s="75" t="s">
        <v>504</v>
      </c>
      <c r="B55" s="76" t="s">
        <v>505</v>
      </c>
      <c r="C55" s="75" t="s">
        <v>483</v>
      </c>
      <c r="D55" s="33" t="s">
        <v>250</v>
      </c>
      <c r="E55" s="153">
        <f t="shared" si="1"/>
        <v>0</v>
      </c>
      <c r="F55" s="154"/>
      <c r="G55" s="154"/>
      <c r="H55" s="154"/>
      <c r="I55" s="154">
        <v>0</v>
      </c>
      <c r="J55" s="155">
        <f t="shared" si="2"/>
        <v>0</v>
      </c>
      <c r="K55" s="159"/>
      <c r="L55" s="154">
        <v>0</v>
      </c>
      <c r="M55" s="154">
        <v>0</v>
      </c>
      <c r="N55" s="154">
        <v>0</v>
      </c>
      <c r="O55" s="154">
        <v>0</v>
      </c>
      <c r="P55" s="157">
        <f t="shared" si="0"/>
        <v>0</v>
      </c>
      <c r="Q55" s="223"/>
      <c r="R55" s="115"/>
      <c r="S55" s="115"/>
      <c r="T55" s="115"/>
    </row>
    <row r="56" spans="1:20" s="26" customFormat="1" ht="24.75" customHeight="1" hidden="1">
      <c r="A56" s="75" t="s">
        <v>251</v>
      </c>
      <c r="B56" s="76">
        <v>3240</v>
      </c>
      <c r="C56" s="75"/>
      <c r="D56" s="7" t="s">
        <v>506</v>
      </c>
      <c r="E56" s="153">
        <f t="shared" si="1"/>
        <v>410000</v>
      </c>
      <c r="F56" s="154">
        <f>F57</f>
        <v>410000</v>
      </c>
      <c r="G56" s="154">
        <f>G57</f>
        <v>0</v>
      </c>
      <c r="H56" s="154">
        <f>H57</f>
        <v>0</v>
      </c>
      <c r="I56" s="154">
        <f>I57</f>
        <v>0</v>
      </c>
      <c r="J56" s="155">
        <f t="shared" si="2"/>
        <v>0</v>
      </c>
      <c r="K56" s="159"/>
      <c r="L56" s="154">
        <f>L57</f>
        <v>0</v>
      </c>
      <c r="M56" s="154">
        <f>M57</f>
        <v>0</v>
      </c>
      <c r="N56" s="154">
        <f>N57</f>
        <v>0</v>
      </c>
      <c r="O56" s="154">
        <f>O57</f>
        <v>0</v>
      </c>
      <c r="P56" s="157">
        <f t="shared" si="0"/>
        <v>410000</v>
      </c>
      <c r="Q56" s="223"/>
      <c r="R56" s="115"/>
      <c r="S56" s="115"/>
      <c r="T56" s="115"/>
    </row>
    <row r="57" spans="1:20" s="26" customFormat="1" ht="32.25" customHeight="1">
      <c r="A57" s="75" t="s">
        <v>252</v>
      </c>
      <c r="B57" s="76">
        <v>3242</v>
      </c>
      <c r="C57" s="75" t="s">
        <v>487</v>
      </c>
      <c r="D57" s="18" t="s">
        <v>253</v>
      </c>
      <c r="E57" s="153">
        <f t="shared" si="1"/>
        <v>410000</v>
      </c>
      <c r="F57" s="154">
        <v>410000</v>
      </c>
      <c r="G57" s="154"/>
      <c r="H57" s="154"/>
      <c r="I57" s="154">
        <v>0</v>
      </c>
      <c r="J57" s="155">
        <f t="shared" si="2"/>
        <v>0</v>
      </c>
      <c r="K57" s="159"/>
      <c r="L57" s="154">
        <v>0</v>
      </c>
      <c r="M57" s="154">
        <v>0</v>
      </c>
      <c r="N57" s="154">
        <v>0</v>
      </c>
      <c r="O57" s="154">
        <v>0</v>
      </c>
      <c r="P57" s="157">
        <f t="shared" si="0"/>
        <v>410000</v>
      </c>
      <c r="Q57" s="223"/>
      <c r="R57" s="115"/>
      <c r="S57" s="115"/>
      <c r="T57" s="115"/>
    </row>
    <row r="58" spans="1:20" s="26" customFormat="1" ht="19.5" customHeight="1">
      <c r="A58" s="75" t="s">
        <v>507</v>
      </c>
      <c r="B58" s="76" t="s">
        <v>509</v>
      </c>
      <c r="C58" s="75" t="s">
        <v>508</v>
      </c>
      <c r="D58" s="7" t="s">
        <v>510</v>
      </c>
      <c r="E58" s="153">
        <f t="shared" si="1"/>
        <v>28114600</v>
      </c>
      <c r="F58" s="154">
        <v>28114600</v>
      </c>
      <c r="G58" s="154">
        <v>0</v>
      </c>
      <c r="H58" s="154">
        <v>0</v>
      </c>
      <c r="I58" s="154">
        <v>0</v>
      </c>
      <c r="J58" s="155">
        <f t="shared" si="2"/>
        <v>1500000</v>
      </c>
      <c r="K58" s="159">
        <f>1500000</f>
        <v>1500000</v>
      </c>
      <c r="L58" s="154">
        <v>0</v>
      </c>
      <c r="M58" s="154">
        <v>0</v>
      </c>
      <c r="N58" s="154">
        <v>0</v>
      </c>
      <c r="O58" s="154">
        <f>1500000</f>
        <v>1500000</v>
      </c>
      <c r="P58" s="157">
        <f t="shared" si="0"/>
        <v>29614600</v>
      </c>
      <c r="Q58" s="223"/>
      <c r="R58" s="115"/>
      <c r="S58" s="115"/>
      <c r="T58" s="115"/>
    </row>
    <row r="59" spans="1:20" s="26" customFormat="1" ht="25.5" customHeight="1" hidden="1">
      <c r="A59" s="83" t="s">
        <v>304</v>
      </c>
      <c r="B59" s="82">
        <v>4080</v>
      </c>
      <c r="C59" s="81"/>
      <c r="D59" s="14" t="s">
        <v>303</v>
      </c>
      <c r="E59" s="166">
        <f aca="true" t="shared" si="4" ref="E59:O59">E60</f>
        <v>4109100</v>
      </c>
      <c r="F59" s="166">
        <f t="shared" si="4"/>
        <v>4109100</v>
      </c>
      <c r="G59" s="166">
        <f t="shared" si="4"/>
        <v>0</v>
      </c>
      <c r="H59" s="166">
        <f t="shared" si="4"/>
        <v>0</v>
      </c>
      <c r="I59" s="166">
        <f t="shared" si="4"/>
        <v>0</v>
      </c>
      <c r="J59" s="166">
        <f t="shared" si="2"/>
        <v>0</v>
      </c>
      <c r="K59" s="166"/>
      <c r="L59" s="166">
        <f t="shared" si="4"/>
        <v>0</v>
      </c>
      <c r="M59" s="166">
        <f t="shared" si="4"/>
        <v>0</v>
      </c>
      <c r="N59" s="166">
        <f t="shared" si="4"/>
        <v>0</v>
      </c>
      <c r="O59" s="166">
        <f t="shared" si="4"/>
        <v>0</v>
      </c>
      <c r="P59" s="167">
        <f t="shared" si="0"/>
        <v>4109100</v>
      </c>
      <c r="Q59" s="223"/>
      <c r="R59" s="115"/>
      <c r="S59" s="115"/>
      <c r="T59" s="115"/>
    </row>
    <row r="60" spans="1:20" s="26" customFormat="1" ht="21.75" customHeight="1">
      <c r="A60" s="75" t="s">
        <v>299</v>
      </c>
      <c r="B60" s="76" t="s">
        <v>300</v>
      </c>
      <c r="C60" s="75" t="s">
        <v>301</v>
      </c>
      <c r="D60" s="12" t="s">
        <v>302</v>
      </c>
      <c r="E60" s="153">
        <f t="shared" si="1"/>
        <v>4109100</v>
      </c>
      <c r="F60" s="154">
        <v>4109100</v>
      </c>
      <c r="G60" s="154">
        <v>0</v>
      </c>
      <c r="H60" s="154">
        <v>0</v>
      </c>
      <c r="I60" s="154">
        <v>0</v>
      </c>
      <c r="J60" s="155">
        <f t="shared" si="2"/>
        <v>0</v>
      </c>
      <c r="K60" s="159">
        <v>0</v>
      </c>
      <c r="L60" s="154">
        <v>0</v>
      </c>
      <c r="M60" s="154">
        <v>0</v>
      </c>
      <c r="N60" s="154">
        <v>0</v>
      </c>
      <c r="O60" s="154">
        <v>0</v>
      </c>
      <c r="P60" s="157">
        <f t="shared" si="0"/>
        <v>4109100</v>
      </c>
      <c r="Q60" s="223"/>
      <c r="R60" s="115"/>
      <c r="S60" s="115"/>
      <c r="T60" s="115"/>
    </row>
    <row r="61" spans="1:20" s="26" customFormat="1" ht="18" customHeight="1">
      <c r="A61" s="75" t="s">
        <v>511</v>
      </c>
      <c r="B61" s="76" t="s">
        <v>513</v>
      </c>
      <c r="C61" s="75" t="s">
        <v>512</v>
      </c>
      <c r="D61" s="7" t="s">
        <v>514</v>
      </c>
      <c r="E61" s="153">
        <f t="shared" si="1"/>
        <v>5794000</v>
      </c>
      <c r="F61" s="154">
        <v>5794000</v>
      </c>
      <c r="G61" s="154">
        <v>3813300</v>
      </c>
      <c r="H61" s="154">
        <f>738300+8818</f>
        <v>747118</v>
      </c>
      <c r="I61" s="154">
        <v>0</v>
      </c>
      <c r="J61" s="155">
        <f t="shared" si="2"/>
        <v>800</v>
      </c>
      <c r="K61" s="159">
        <v>0</v>
      </c>
      <c r="L61" s="154">
        <v>800</v>
      </c>
      <c r="M61" s="154">
        <v>0</v>
      </c>
      <c r="N61" s="154">
        <v>0</v>
      </c>
      <c r="O61" s="154">
        <v>0</v>
      </c>
      <c r="P61" s="157">
        <f t="shared" si="0"/>
        <v>5794800</v>
      </c>
      <c r="Q61" s="223"/>
      <c r="R61" s="115"/>
      <c r="S61" s="115"/>
      <c r="T61" s="115"/>
    </row>
    <row r="62" spans="1:20" s="26" customFormat="1" ht="21" customHeight="1">
      <c r="A62" s="75" t="s">
        <v>515</v>
      </c>
      <c r="B62" s="76" t="s">
        <v>516</v>
      </c>
      <c r="C62" s="75" t="s">
        <v>512</v>
      </c>
      <c r="D62" s="7" t="s">
        <v>517</v>
      </c>
      <c r="E62" s="153">
        <f t="shared" si="1"/>
        <v>4067700</v>
      </c>
      <c r="F62" s="154">
        <f>3827700+190000+50000</f>
        <v>4067700</v>
      </c>
      <c r="G62" s="154">
        <v>2102300</v>
      </c>
      <c r="H62" s="154">
        <f>558600+3916</f>
        <v>562516</v>
      </c>
      <c r="I62" s="154">
        <v>0</v>
      </c>
      <c r="J62" s="155">
        <f t="shared" si="2"/>
        <v>92625</v>
      </c>
      <c r="K62" s="159">
        <f>20000</f>
        <v>20000</v>
      </c>
      <c r="L62" s="154">
        <v>66125</v>
      </c>
      <c r="M62" s="154">
        <v>1000</v>
      </c>
      <c r="N62" s="154">
        <v>1500</v>
      </c>
      <c r="O62" s="154">
        <f>6500+20000</f>
        <v>26500</v>
      </c>
      <c r="P62" s="157">
        <f t="shared" si="0"/>
        <v>4160325</v>
      </c>
      <c r="Q62" s="223"/>
      <c r="R62" s="115"/>
      <c r="S62" s="115"/>
      <c r="T62" s="115"/>
    </row>
    <row r="63" spans="1:20" s="26" customFormat="1" ht="21" customHeight="1">
      <c r="A63" s="68" t="s">
        <v>334</v>
      </c>
      <c r="B63" s="76">
        <v>4070</v>
      </c>
      <c r="C63" s="68" t="s">
        <v>336</v>
      </c>
      <c r="D63" s="12" t="s">
        <v>335</v>
      </c>
      <c r="E63" s="153">
        <f t="shared" si="1"/>
        <v>2022900</v>
      </c>
      <c r="F63" s="156">
        <v>2022900</v>
      </c>
      <c r="G63" s="154">
        <v>0</v>
      </c>
      <c r="H63" s="154">
        <v>0</v>
      </c>
      <c r="I63" s="154">
        <v>0</v>
      </c>
      <c r="J63" s="155">
        <f t="shared" si="2"/>
        <v>2500000</v>
      </c>
      <c r="K63" s="159">
        <f>2500000</f>
        <v>2500000</v>
      </c>
      <c r="L63" s="154">
        <v>0</v>
      </c>
      <c r="M63" s="154">
        <v>0</v>
      </c>
      <c r="N63" s="154">
        <v>0</v>
      </c>
      <c r="O63" s="154">
        <v>2500000</v>
      </c>
      <c r="P63" s="157">
        <f t="shared" si="0"/>
        <v>4522900</v>
      </c>
      <c r="Q63" s="223"/>
      <c r="R63" s="115"/>
      <c r="S63" s="115"/>
      <c r="T63" s="115"/>
    </row>
    <row r="64" spans="1:20" s="31" customFormat="1" ht="29.25" customHeight="1" hidden="1">
      <c r="A64" s="79"/>
      <c r="B64" s="80"/>
      <c r="C64" s="79"/>
      <c r="D64" s="3" t="s">
        <v>423</v>
      </c>
      <c r="E64" s="162"/>
      <c r="F64" s="163"/>
      <c r="G64" s="163"/>
      <c r="H64" s="163"/>
      <c r="I64" s="163"/>
      <c r="J64" s="155">
        <f t="shared" si="2"/>
        <v>0</v>
      </c>
      <c r="K64" s="164"/>
      <c r="L64" s="163"/>
      <c r="M64" s="163"/>
      <c r="N64" s="163"/>
      <c r="O64" s="163"/>
      <c r="P64" s="165">
        <f t="shared" si="0"/>
        <v>0</v>
      </c>
      <c r="Q64" s="223"/>
      <c r="R64" s="121"/>
      <c r="S64" s="121"/>
      <c r="T64" s="121"/>
    </row>
    <row r="65" spans="1:20" s="26" customFormat="1" ht="37.5" customHeight="1">
      <c r="A65" s="75" t="s">
        <v>518</v>
      </c>
      <c r="B65" s="76" t="s">
        <v>520</v>
      </c>
      <c r="C65" s="75" t="s">
        <v>519</v>
      </c>
      <c r="D65" s="7" t="s">
        <v>521</v>
      </c>
      <c r="E65" s="153">
        <f t="shared" si="1"/>
        <v>165000</v>
      </c>
      <c r="F65" s="154">
        <v>165000</v>
      </c>
      <c r="G65" s="154">
        <v>0</v>
      </c>
      <c r="H65" s="154">
        <v>0</v>
      </c>
      <c r="I65" s="154">
        <v>0</v>
      </c>
      <c r="J65" s="155">
        <f t="shared" si="2"/>
        <v>0</v>
      </c>
      <c r="K65" s="159"/>
      <c r="L65" s="154">
        <v>0</v>
      </c>
      <c r="M65" s="154">
        <v>0</v>
      </c>
      <c r="N65" s="154">
        <v>0</v>
      </c>
      <c r="O65" s="154">
        <v>0</v>
      </c>
      <c r="P65" s="157">
        <f t="shared" si="0"/>
        <v>165000</v>
      </c>
      <c r="Q65" s="223"/>
      <c r="R65" s="115"/>
      <c r="S65" s="115"/>
      <c r="T65" s="115"/>
    </row>
    <row r="66" spans="1:20" s="26" customFormat="1" ht="41.25" customHeight="1">
      <c r="A66" s="75" t="s">
        <v>522</v>
      </c>
      <c r="B66" s="76" t="s">
        <v>523</v>
      </c>
      <c r="C66" s="75" t="s">
        <v>519</v>
      </c>
      <c r="D66" s="7" t="s">
        <v>524</v>
      </c>
      <c r="E66" s="153">
        <f t="shared" si="1"/>
        <v>75000</v>
      </c>
      <c r="F66" s="154">
        <v>75000</v>
      </c>
      <c r="G66" s="154">
        <v>0</v>
      </c>
      <c r="H66" s="154">
        <v>0</v>
      </c>
      <c r="I66" s="154">
        <v>0</v>
      </c>
      <c r="J66" s="155">
        <f t="shared" si="2"/>
        <v>0</v>
      </c>
      <c r="K66" s="159"/>
      <c r="L66" s="154">
        <v>0</v>
      </c>
      <c r="M66" s="154">
        <v>0</v>
      </c>
      <c r="N66" s="154">
        <v>0</v>
      </c>
      <c r="O66" s="154">
        <v>0</v>
      </c>
      <c r="P66" s="157">
        <f t="shared" si="0"/>
        <v>75000</v>
      </c>
      <c r="Q66" s="223"/>
      <c r="R66" s="115"/>
      <c r="S66" s="115"/>
      <c r="T66" s="115"/>
    </row>
    <row r="67" spans="1:20" s="32" customFormat="1" ht="26.25" hidden="1">
      <c r="A67" s="81" t="s">
        <v>525</v>
      </c>
      <c r="B67" s="82" t="s">
        <v>526</v>
      </c>
      <c r="C67" s="83"/>
      <c r="D67" s="13" t="s">
        <v>242</v>
      </c>
      <c r="E67" s="166">
        <f t="shared" si="1"/>
        <v>559600</v>
      </c>
      <c r="F67" s="166">
        <f>F68+F69</f>
        <v>559600</v>
      </c>
      <c r="G67" s="166">
        <f>G68+G69</f>
        <v>392900</v>
      </c>
      <c r="H67" s="166">
        <f>H68+H69</f>
        <v>10200</v>
      </c>
      <c r="I67" s="166">
        <f>I68+I69</f>
        <v>0</v>
      </c>
      <c r="J67" s="166">
        <f t="shared" si="2"/>
        <v>320000</v>
      </c>
      <c r="K67" s="166">
        <f>K68+K69</f>
        <v>320000</v>
      </c>
      <c r="L67" s="166">
        <f>L68+L69</f>
        <v>0</v>
      </c>
      <c r="M67" s="166">
        <f>M68+M69</f>
        <v>0</v>
      </c>
      <c r="N67" s="166">
        <f>N68+N69</f>
        <v>0</v>
      </c>
      <c r="O67" s="166">
        <f>O68+O69</f>
        <v>320000</v>
      </c>
      <c r="P67" s="167">
        <f t="shared" si="0"/>
        <v>879600</v>
      </c>
      <c r="Q67" s="223"/>
      <c r="R67" s="122"/>
      <c r="S67" s="122"/>
      <c r="T67" s="122"/>
    </row>
    <row r="68" spans="1:20" s="26" customFormat="1" ht="35.25" customHeight="1">
      <c r="A68" s="75" t="s">
        <v>527</v>
      </c>
      <c r="B68" s="76" t="s">
        <v>528</v>
      </c>
      <c r="C68" s="75" t="s">
        <v>519</v>
      </c>
      <c r="D68" s="7" t="s">
        <v>243</v>
      </c>
      <c r="E68" s="153">
        <f t="shared" si="1"/>
        <v>504300</v>
      </c>
      <c r="F68" s="154">
        <v>504300</v>
      </c>
      <c r="G68" s="154">
        <v>392900</v>
      </c>
      <c r="H68" s="154">
        <v>10200</v>
      </c>
      <c r="I68" s="154"/>
      <c r="J68" s="155">
        <f t="shared" si="2"/>
        <v>320000</v>
      </c>
      <c r="K68" s="159">
        <v>320000</v>
      </c>
      <c r="L68" s="154">
        <v>0</v>
      </c>
      <c r="M68" s="154">
        <v>0</v>
      </c>
      <c r="N68" s="154">
        <v>0</v>
      </c>
      <c r="O68" s="154">
        <v>320000</v>
      </c>
      <c r="P68" s="157">
        <f t="shared" si="0"/>
        <v>824300</v>
      </c>
      <c r="Q68" s="223"/>
      <c r="R68" s="115"/>
      <c r="S68" s="115"/>
      <c r="T68" s="115"/>
    </row>
    <row r="69" spans="1:20" s="26" customFormat="1" ht="36" customHeight="1">
      <c r="A69" s="75" t="s">
        <v>529</v>
      </c>
      <c r="B69" s="76" t="s">
        <v>530</v>
      </c>
      <c r="C69" s="75" t="s">
        <v>519</v>
      </c>
      <c r="D69" s="7" t="s">
        <v>244</v>
      </c>
      <c r="E69" s="153">
        <f t="shared" si="1"/>
        <v>55300</v>
      </c>
      <c r="F69" s="154">
        <v>55300</v>
      </c>
      <c r="G69" s="154"/>
      <c r="H69" s="154"/>
      <c r="I69" s="154"/>
      <c r="J69" s="155">
        <f t="shared" si="2"/>
        <v>0</v>
      </c>
      <c r="K69" s="159"/>
      <c r="L69" s="154">
        <v>0</v>
      </c>
      <c r="M69" s="154">
        <v>0</v>
      </c>
      <c r="N69" s="154">
        <v>0</v>
      </c>
      <c r="O69" s="154">
        <v>0</v>
      </c>
      <c r="P69" s="157">
        <f t="shared" si="0"/>
        <v>55300</v>
      </c>
      <c r="Q69" s="223"/>
      <c r="R69" s="115"/>
      <c r="S69" s="115"/>
      <c r="T69" s="115"/>
    </row>
    <row r="70" spans="1:20" s="32" customFormat="1" ht="27.75" customHeight="1" hidden="1">
      <c r="A70" s="81" t="s">
        <v>531</v>
      </c>
      <c r="B70" s="82" t="s">
        <v>532</v>
      </c>
      <c r="C70" s="83"/>
      <c r="D70" s="13" t="s">
        <v>533</v>
      </c>
      <c r="E70" s="166">
        <f t="shared" si="1"/>
        <v>25593370</v>
      </c>
      <c r="F70" s="166">
        <f>F71+F72</f>
        <v>25593370</v>
      </c>
      <c r="G70" s="166">
        <f>G71+G72</f>
        <v>15483900</v>
      </c>
      <c r="H70" s="166">
        <f>H71+H72</f>
        <v>2210155</v>
      </c>
      <c r="I70" s="166">
        <f>I71+I72</f>
        <v>0</v>
      </c>
      <c r="J70" s="166">
        <f t="shared" si="2"/>
        <v>1000000</v>
      </c>
      <c r="K70" s="166">
        <f>K71+K72</f>
        <v>1000000</v>
      </c>
      <c r="L70" s="166">
        <f>L71+L72</f>
        <v>0</v>
      </c>
      <c r="M70" s="166">
        <f>M71+M72</f>
        <v>0</v>
      </c>
      <c r="N70" s="166">
        <f>N71+N72</f>
        <v>0</v>
      </c>
      <c r="O70" s="166">
        <f>O71+O72</f>
        <v>1000000</v>
      </c>
      <c r="P70" s="167">
        <f t="shared" si="0"/>
        <v>26593370</v>
      </c>
      <c r="Q70" s="223"/>
      <c r="R70" s="122"/>
      <c r="S70" s="122"/>
      <c r="T70" s="122"/>
    </row>
    <row r="71" spans="1:20" s="26" customFormat="1" ht="37.5" customHeight="1">
      <c r="A71" s="75" t="s">
        <v>534</v>
      </c>
      <c r="B71" s="76" t="s">
        <v>535</v>
      </c>
      <c r="C71" s="75" t="s">
        <v>519</v>
      </c>
      <c r="D71" s="7" t="s">
        <v>536</v>
      </c>
      <c r="E71" s="153">
        <f t="shared" si="1"/>
        <v>21549700</v>
      </c>
      <c r="F71" s="154">
        <f>20999900+549800</f>
        <v>21549700</v>
      </c>
      <c r="G71" s="154">
        <f>15043300+440600</f>
        <v>15483900</v>
      </c>
      <c r="H71" s="154">
        <f>2197700+12455</f>
        <v>2210155</v>
      </c>
      <c r="I71" s="154">
        <v>0</v>
      </c>
      <c r="J71" s="155">
        <f t="shared" si="2"/>
        <v>1000000</v>
      </c>
      <c r="K71" s="159">
        <f>1000000</f>
        <v>1000000</v>
      </c>
      <c r="L71" s="154"/>
      <c r="M71" s="154"/>
      <c r="N71" s="154"/>
      <c r="O71" s="154">
        <f>1000000</f>
        <v>1000000</v>
      </c>
      <c r="P71" s="157">
        <f t="shared" si="0"/>
        <v>22549700</v>
      </c>
      <c r="Q71" s="223"/>
      <c r="R71" s="115"/>
      <c r="S71" s="115"/>
      <c r="T71" s="115"/>
    </row>
    <row r="72" spans="1:20" s="26" customFormat="1" ht="44.25" customHeight="1">
      <c r="A72" s="75" t="s">
        <v>537</v>
      </c>
      <c r="B72" s="76" t="s">
        <v>538</v>
      </c>
      <c r="C72" s="75" t="s">
        <v>519</v>
      </c>
      <c r="D72" s="7" t="s">
        <v>539</v>
      </c>
      <c r="E72" s="153">
        <f t="shared" si="1"/>
        <v>4043670</v>
      </c>
      <c r="F72" s="154">
        <v>4043670</v>
      </c>
      <c r="G72" s="154"/>
      <c r="H72" s="154"/>
      <c r="I72" s="154">
        <v>0</v>
      </c>
      <c r="J72" s="155">
        <f t="shared" si="2"/>
        <v>0</v>
      </c>
      <c r="K72" s="159"/>
      <c r="L72" s="154">
        <v>0</v>
      </c>
      <c r="M72" s="154">
        <v>0</v>
      </c>
      <c r="N72" s="154">
        <v>0</v>
      </c>
      <c r="O72" s="154">
        <v>0</v>
      </c>
      <c r="P72" s="157">
        <f t="shared" si="0"/>
        <v>4043670</v>
      </c>
      <c r="Q72" s="223"/>
      <c r="R72" s="115"/>
      <c r="S72" s="115"/>
      <c r="T72" s="115"/>
    </row>
    <row r="73" spans="1:20" s="32" customFormat="1" ht="19.5" customHeight="1" hidden="1">
      <c r="A73" s="81" t="s">
        <v>540</v>
      </c>
      <c r="B73" s="82" t="s">
        <v>541</v>
      </c>
      <c r="C73" s="83"/>
      <c r="D73" s="13" t="s">
        <v>542</v>
      </c>
      <c r="E73" s="166">
        <f t="shared" si="1"/>
        <v>0</v>
      </c>
      <c r="F73" s="166">
        <f>F74</f>
        <v>0</v>
      </c>
      <c r="G73" s="166">
        <f>G74</f>
        <v>0</v>
      </c>
      <c r="H73" s="166">
        <f>H74</f>
        <v>0</v>
      </c>
      <c r="I73" s="166">
        <f>I74</f>
        <v>0</v>
      </c>
      <c r="J73" s="166">
        <f t="shared" si="2"/>
        <v>0</v>
      </c>
      <c r="K73" s="166">
        <f>K74</f>
        <v>0</v>
      </c>
      <c r="L73" s="166">
        <f>L74</f>
        <v>0</v>
      </c>
      <c r="M73" s="166">
        <f>M74</f>
        <v>0</v>
      </c>
      <c r="N73" s="166">
        <f>N74</f>
        <v>0</v>
      </c>
      <c r="O73" s="166">
        <f>O74</f>
        <v>0</v>
      </c>
      <c r="P73" s="167">
        <f t="shared" si="0"/>
        <v>0</v>
      </c>
      <c r="Q73" s="223"/>
      <c r="R73" s="122"/>
      <c r="S73" s="122"/>
      <c r="T73" s="122"/>
    </row>
    <row r="74" spans="1:20" s="26" customFormat="1" ht="21" customHeight="1">
      <c r="A74" s="75" t="s">
        <v>543</v>
      </c>
      <c r="B74" s="76" t="s">
        <v>544</v>
      </c>
      <c r="C74" s="75" t="s">
        <v>519</v>
      </c>
      <c r="D74" s="7" t="s">
        <v>545</v>
      </c>
      <c r="E74" s="153">
        <f t="shared" si="1"/>
        <v>0</v>
      </c>
      <c r="F74" s="154">
        <f>7462530-549800-6912730</f>
        <v>0</v>
      </c>
      <c r="G74" s="154">
        <v>0</v>
      </c>
      <c r="H74" s="154">
        <v>0</v>
      </c>
      <c r="I74" s="154">
        <v>0</v>
      </c>
      <c r="J74" s="155">
        <f t="shared" si="2"/>
        <v>0</v>
      </c>
      <c r="K74" s="159"/>
      <c r="L74" s="154">
        <v>0</v>
      </c>
      <c r="M74" s="154">
        <v>0</v>
      </c>
      <c r="N74" s="154">
        <v>0</v>
      </c>
      <c r="O74" s="154">
        <v>0</v>
      </c>
      <c r="P74" s="157">
        <f t="shared" si="0"/>
        <v>0</v>
      </c>
      <c r="Q74" s="223"/>
      <c r="R74" s="115"/>
      <c r="S74" s="115"/>
      <c r="T74" s="115"/>
    </row>
    <row r="75" spans="1:20" s="32" customFormat="1" ht="19.5" customHeight="1" hidden="1">
      <c r="A75" s="81" t="s">
        <v>546</v>
      </c>
      <c r="B75" s="82" t="s">
        <v>547</v>
      </c>
      <c r="C75" s="83"/>
      <c r="D75" s="13" t="s">
        <v>548</v>
      </c>
      <c r="E75" s="166">
        <f t="shared" si="1"/>
        <v>0</v>
      </c>
      <c r="F75" s="166">
        <f>F76</f>
        <v>0</v>
      </c>
      <c r="G75" s="166">
        <f>G76</f>
        <v>0</v>
      </c>
      <c r="H75" s="166">
        <f>H76</f>
        <v>0</v>
      </c>
      <c r="I75" s="166">
        <f>I76</f>
        <v>0</v>
      </c>
      <c r="J75" s="166">
        <f t="shared" si="2"/>
        <v>0</v>
      </c>
      <c r="K75" s="166">
        <f>K76</f>
        <v>0</v>
      </c>
      <c r="L75" s="166">
        <f>L76</f>
        <v>0</v>
      </c>
      <c r="M75" s="166">
        <f>M76</f>
        <v>0</v>
      </c>
      <c r="N75" s="166">
        <f>N76</f>
        <v>0</v>
      </c>
      <c r="O75" s="166">
        <f>O76</f>
        <v>0</v>
      </c>
      <c r="P75" s="167">
        <f aca="true" t="shared" si="5" ref="P75:P134">E75+J75</f>
        <v>0</v>
      </c>
      <c r="Q75" s="223"/>
      <c r="R75" s="122"/>
      <c r="S75" s="122"/>
      <c r="T75" s="122"/>
    </row>
    <row r="76" spans="1:20" s="26" customFormat="1" ht="46.5" customHeight="1" hidden="1">
      <c r="A76" s="75" t="s">
        <v>549</v>
      </c>
      <c r="B76" s="76" t="s">
        <v>550</v>
      </c>
      <c r="C76" s="75" t="s">
        <v>519</v>
      </c>
      <c r="D76" s="7" t="s">
        <v>551</v>
      </c>
      <c r="E76" s="153">
        <f t="shared" si="1"/>
        <v>0</v>
      </c>
      <c r="F76" s="154"/>
      <c r="G76" s="154">
        <v>0</v>
      </c>
      <c r="H76" s="154">
        <v>0</v>
      </c>
      <c r="I76" s="154">
        <v>0</v>
      </c>
      <c r="J76" s="155">
        <f t="shared" si="2"/>
        <v>0</v>
      </c>
      <c r="K76" s="159"/>
      <c r="L76" s="154">
        <v>0</v>
      </c>
      <c r="M76" s="154">
        <v>0</v>
      </c>
      <c r="N76" s="154">
        <v>0</v>
      </c>
      <c r="O76" s="154">
        <v>0</v>
      </c>
      <c r="P76" s="157">
        <f t="shared" si="5"/>
        <v>0</v>
      </c>
      <c r="Q76" s="223"/>
      <c r="R76" s="115"/>
      <c r="S76" s="115"/>
      <c r="T76" s="115"/>
    </row>
    <row r="77" spans="1:20" s="32" customFormat="1" ht="35.25" customHeight="1" hidden="1">
      <c r="A77" s="81" t="s">
        <v>552</v>
      </c>
      <c r="B77" s="82" t="s">
        <v>553</v>
      </c>
      <c r="C77" s="83"/>
      <c r="D77" s="13" t="s">
        <v>554</v>
      </c>
      <c r="E77" s="166">
        <f t="shared" si="1"/>
        <v>3059500</v>
      </c>
      <c r="F77" s="166">
        <f>F78+F79</f>
        <v>3059500</v>
      </c>
      <c r="G77" s="166">
        <f>G78+G79</f>
        <v>374400</v>
      </c>
      <c r="H77" s="166">
        <f>H78+H79</f>
        <v>29400</v>
      </c>
      <c r="I77" s="166">
        <f>I78+I79</f>
        <v>0</v>
      </c>
      <c r="J77" s="166">
        <f aca="true" t="shared" si="6" ref="J77:J137">L77+O77</f>
        <v>0</v>
      </c>
      <c r="K77" s="166">
        <f>K78+K79</f>
        <v>0</v>
      </c>
      <c r="L77" s="166">
        <f>L78+L79</f>
        <v>0</v>
      </c>
      <c r="M77" s="166">
        <f>M78+M79</f>
        <v>0</v>
      </c>
      <c r="N77" s="166">
        <f>N78+N79</f>
        <v>0</v>
      </c>
      <c r="O77" s="166">
        <f>O78+O79</f>
        <v>0</v>
      </c>
      <c r="P77" s="167">
        <f t="shared" si="5"/>
        <v>3059500</v>
      </c>
      <c r="Q77" s="223"/>
      <c r="R77" s="122"/>
      <c r="S77" s="122"/>
      <c r="T77" s="122"/>
    </row>
    <row r="78" spans="1:20" s="26" customFormat="1" ht="63.75" customHeight="1">
      <c r="A78" s="75" t="s">
        <v>555</v>
      </c>
      <c r="B78" s="76" t="s">
        <v>556</v>
      </c>
      <c r="C78" s="75" t="s">
        <v>519</v>
      </c>
      <c r="D78" s="7" t="s">
        <v>557</v>
      </c>
      <c r="E78" s="153">
        <f t="shared" si="1"/>
        <v>1994600</v>
      </c>
      <c r="F78" s="154">
        <v>1994600</v>
      </c>
      <c r="G78" s="154">
        <v>374400</v>
      </c>
      <c r="H78" s="154">
        <v>29400</v>
      </c>
      <c r="I78" s="154">
        <v>0</v>
      </c>
      <c r="J78" s="155">
        <f t="shared" si="6"/>
        <v>0</v>
      </c>
      <c r="K78" s="159"/>
      <c r="L78" s="154">
        <v>0</v>
      </c>
      <c r="M78" s="154">
        <v>0</v>
      </c>
      <c r="N78" s="154">
        <v>0</v>
      </c>
      <c r="O78" s="154">
        <v>0</v>
      </c>
      <c r="P78" s="157">
        <f t="shared" si="5"/>
        <v>1994600</v>
      </c>
      <c r="Q78" s="223"/>
      <c r="R78" s="115"/>
      <c r="S78" s="115"/>
      <c r="T78" s="115"/>
    </row>
    <row r="79" spans="1:20" s="26" customFormat="1" ht="45.75" customHeight="1">
      <c r="A79" s="75" t="s">
        <v>558</v>
      </c>
      <c r="B79" s="76" t="s">
        <v>559</v>
      </c>
      <c r="C79" s="75" t="s">
        <v>519</v>
      </c>
      <c r="D79" s="7" t="s">
        <v>560</v>
      </c>
      <c r="E79" s="153">
        <f t="shared" si="1"/>
        <v>1064900</v>
      </c>
      <c r="F79" s="154">
        <v>1064900</v>
      </c>
      <c r="G79" s="154">
        <v>0</v>
      </c>
      <c r="H79" s="154">
        <v>0</v>
      </c>
      <c r="I79" s="154">
        <v>0</v>
      </c>
      <c r="J79" s="155">
        <f t="shared" si="6"/>
        <v>0</v>
      </c>
      <c r="K79" s="159"/>
      <c r="L79" s="154">
        <v>0</v>
      </c>
      <c r="M79" s="154">
        <v>0</v>
      </c>
      <c r="N79" s="154">
        <v>0</v>
      </c>
      <c r="O79" s="154">
        <v>0</v>
      </c>
      <c r="P79" s="157">
        <f t="shared" si="5"/>
        <v>1064900</v>
      </c>
      <c r="Q79" s="223"/>
      <c r="R79" s="115"/>
      <c r="S79" s="115"/>
      <c r="T79" s="115"/>
    </row>
    <row r="80" spans="1:20" s="34" customFormat="1" ht="22.5" customHeight="1">
      <c r="A80" s="75" t="s">
        <v>562</v>
      </c>
      <c r="B80" s="76" t="s">
        <v>563</v>
      </c>
      <c r="C80" s="75" t="s">
        <v>561</v>
      </c>
      <c r="D80" s="7" t="s">
        <v>564</v>
      </c>
      <c r="E80" s="153">
        <f t="shared" si="1"/>
        <v>0</v>
      </c>
      <c r="F80" s="154">
        <v>0</v>
      </c>
      <c r="G80" s="154">
        <v>0</v>
      </c>
      <c r="H80" s="154">
        <v>0</v>
      </c>
      <c r="I80" s="154">
        <v>0</v>
      </c>
      <c r="J80" s="155">
        <f>L80+O80</f>
        <v>600000</v>
      </c>
      <c r="K80" s="159">
        <v>600000</v>
      </c>
      <c r="L80" s="154">
        <v>0</v>
      </c>
      <c r="M80" s="154">
        <v>0</v>
      </c>
      <c r="N80" s="154">
        <v>0</v>
      </c>
      <c r="O80" s="154">
        <v>600000</v>
      </c>
      <c r="P80" s="157">
        <f t="shared" si="5"/>
        <v>600000</v>
      </c>
      <c r="Q80" s="223"/>
      <c r="R80" s="123"/>
      <c r="S80" s="123"/>
      <c r="T80" s="123"/>
    </row>
    <row r="81" spans="1:20" s="34" customFormat="1" ht="30.75" customHeight="1" hidden="1">
      <c r="A81" s="75" t="s">
        <v>306</v>
      </c>
      <c r="B81" s="76">
        <v>7325</v>
      </c>
      <c r="C81" s="75" t="s">
        <v>561</v>
      </c>
      <c r="D81" s="7" t="s">
        <v>52</v>
      </c>
      <c r="E81" s="153">
        <f>F81+I81</f>
        <v>0</v>
      </c>
      <c r="F81" s="154">
        <v>0</v>
      </c>
      <c r="G81" s="154">
        <v>0</v>
      </c>
      <c r="H81" s="154">
        <v>0</v>
      </c>
      <c r="I81" s="154">
        <v>0</v>
      </c>
      <c r="J81" s="155">
        <f t="shared" si="6"/>
        <v>0</v>
      </c>
      <c r="K81" s="159"/>
      <c r="L81" s="154">
        <v>0</v>
      </c>
      <c r="M81" s="154">
        <v>0</v>
      </c>
      <c r="N81" s="154">
        <v>0</v>
      </c>
      <c r="O81" s="154"/>
      <c r="P81" s="157">
        <f>E81+J81</f>
        <v>0</v>
      </c>
      <c r="Q81" s="223"/>
      <c r="R81" s="123"/>
      <c r="S81" s="123"/>
      <c r="T81" s="123"/>
    </row>
    <row r="82" spans="1:20" s="34" customFormat="1" ht="36" customHeight="1">
      <c r="A82" s="84" t="s">
        <v>359</v>
      </c>
      <c r="B82" s="85">
        <v>7340</v>
      </c>
      <c r="C82" s="84" t="s">
        <v>561</v>
      </c>
      <c r="D82" s="2" t="s">
        <v>360</v>
      </c>
      <c r="E82" s="153">
        <f>F82+I82</f>
        <v>220000</v>
      </c>
      <c r="F82" s="154">
        <v>220000</v>
      </c>
      <c r="G82" s="154"/>
      <c r="H82" s="154"/>
      <c r="I82" s="154"/>
      <c r="J82" s="155">
        <f t="shared" si="6"/>
        <v>0</v>
      </c>
      <c r="K82" s="159"/>
      <c r="L82" s="154"/>
      <c r="M82" s="154"/>
      <c r="N82" s="154"/>
      <c r="O82" s="154"/>
      <c r="P82" s="157">
        <f>E82+J82</f>
        <v>220000</v>
      </c>
      <c r="Q82" s="223"/>
      <c r="R82" s="123"/>
      <c r="S82" s="123"/>
      <c r="T82" s="123"/>
    </row>
    <row r="83" spans="1:20" s="34" customFormat="1" ht="52.5" customHeight="1">
      <c r="A83" s="84" t="s">
        <v>320</v>
      </c>
      <c r="B83" s="85">
        <v>7363</v>
      </c>
      <c r="C83" s="84" t="s">
        <v>570</v>
      </c>
      <c r="D83" s="2" t="s">
        <v>318</v>
      </c>
      <c r="E83" s="153">
        <f>F83+I83</f>
        <v>0</v>
      </c>
      <c r="F83" s="154"/>
      <c r="G83" s="154"/>
      <c r="H83" s="154"/>
      <c r="I83" s="154"/>
      <c r="J83" s="155">
        <f t="shared" si="6"/>
        <v>306000</v>
      </c>
      <c r="K83" s="159">
        <f>0+206000+100000</f>
        <v>306000</v>
      </c>
      <c r="L83" s="154"/>
      <c r="M83" s="154"/>
      <c r="N83" s="154"/>
      <c r="O83" s="159">
        <f>0+206000+100000</f>
        <v>306000</v>
      </c>
      <c r="P83" s="157">
        <f>E83+J83</f>
        <v>306000</v>
      </c>
      <c r="Q83" s="223"/>
      <c r="R83" s="123"/>
      <c r="S83" s="123"/>
      <c r="T83" s="123"/>
    </row>
    <row r="84" spans="1:20" s="143" customFormat="1" ht="48.75" customHeight="1">
      <c r="A84" s="144"/>
      <c r="B84" s="145"/>
      <c r="C84" s="146"/>
      <c r="D84" s="147" t="s">
        <v>319</v>
      </c>
      <c r="E84" s="168">
        <f>F84+I84</f>
        <v>0</v>
      </c>
      <c r="F84" s="169"/>
      <c r="G84" s="169"/>
      <c r="H84" s="169"/>
      <c r="I84" s="169"/>
      <c r="J84" s="170">
        <f t="shared" si="6"/>
        <v>200000</v>
      </c>
      <c r="K84" s="171">
        <v>200000</v>
      </c>
      <c r="L84" s="169"/>
      <c r="M84" s="169"/>
      <c r="N84" s="169"/>
      <c r="O84" s="169">
        <f>0+200000</f>
        <v>200000</v>
      </c>
      <c r="P84" s="172">
        <f>E84+J84</f>
        <v>200000</v>
      </c>
      <c r="Q84" s="223"/>
      <c r="R84" s="142"/>
      <c r="S84" s="142"/>
      <c r="T84" s="142"/>
    </row>
    <row r="85" spans="1:20" s="143" customFormat="1" ht="57" customHeight="1">
      <c r="A85" s="144"/>
      <c r="B85" s="145"/>
      <c r="C85" s="146"/>
      <c r="D85" s="147" t="s">
        <v>380</v>
      </c>
      <c r="E85" s="168">
        <f>F85+I85</f>
        <v>0</v>
      </c>
      <c r="F85" s="169"/>
      <c r="G85" s="169"/>
      <c r="H85" s="169"/>
      <c r="I85" s="169"/>
      <c r="J85" s="170">
        <f t="shared" si="6"/>
        <v>100000</v>
      </c>
      <c r="K85" s="171">
        <v>100000</v>
      </c>
      <c r="L85" s="169"/>
      <c r="M85" s="169"/>
      <c r="N85" s="169"/>
      <c r="O85" s="169">
        <v>100000</v>
      </c>
      <c r="P85" s="172">
        <f>E85+J85</f>
        <v>100000</v>
      </c>
      <c r="Q85" s="223"/>
      <c r="R85" s="142"/>
      <c r="S85" s="142"/>
      <c r="T85" s="142"/>
    </row>
    <row r="86" spans="1:20" s="34" customFormat="1" ht="15" hidden="1">
      <c r="A86" s="75" t="s">
        <v>565</v>
      </c>
      <c r="B86" s="76" t="s">
        <v>567</v>
      </c>
      <c r="C86" s="75" t="s">
        <v>566</v>
      </c>
      <c r="D86" s="7" t="s">
        <v>568</v>
      </c>
      <c r="E86" s="153">
        <f t="shared" si="1"/>
        <v>0</v>
      </c>
      <c r="F86" s="154">
        <v>0</v>
      </c>
      <c r="G86" s="154">
        <v>0</v>
      </c>
      <c r="H86" s="154">
        <v>0</v>
      </c>
      <c r="I86" s="154">
        <v>0</v>
      </c>
      <c r="J86" s="155">
        <f t="shared" si="6"/>
        <v>0</v>
      </c>
      <c r="K86" s="159"/>
      <c r="L86" s="154">
        <v>0</v>
      </c>
      <c r="M86" s="154">
        <v>0</v>
      </c>
      <c r="N86" s="154">
        <v>0</v>
      </c>
      <c r="O86" s="154"/>
      <c r="P86" s="157">
        <f t="shared" si="5"/>
        <v>0</v>
      </c>
      <c r="Q86" s="223"/>
      <c r="R86" s="123"/>
      <c r="S86" s="123"/>
      <c r="T86" s="123"/>
    </row>
    <row r="87" spans="1:20" s="35" customFormat="1" ht="24" hidden="1">
      <c r="A87" s="79"/>
      <c r="B87" s="80"/>
      <c r="C87" s="79"/>
      <c r="D87" s="3" t="s">
        <v>220</v>
      </c>
      <c r="E87" s="162">
        <f>F87+I87</f>
        <v>0</v>
      </c>
      <c r="F87" s="163">
        <v>0</v>
      </c>
      <c r="G87" s="163">
        <v>0</v>
      </c>
      <c r="H87" s="163">
        <v>0</v>
      </c>
      <c r="I87" s="163">
        <v>0</v>
      </c>
      <c r="J87" s="155">
        <f t="shared" si="6"/>
        <v>0</v>
      </c>
      <c r="K87" s="164"/>
      <c r="L87" s="163">
        <v>0</v>
      </c>
      <c r="M87" s="163">
        <v>0</v>
      </c>
      <c r="N87" s="163">
        <v>0</v>
      </c>
      <c r="O87" s="163"/>
      <c r="P87" s="165">
        <f>E87+J87</f>
        <v>0</v>
      </c>
      <c r="Q87" s="223"/>
      <c r="R87" s="124"/>
      <c r="S87" s="124"/>
      <c r="T87" s="124"/>
    </row>
    <row r="88" spans="1:20" s="34" customFormat="1" ht="22.5" customHeight="1">
      <c r="A88" s="75" t="s">
        <v>569</v>
      </c>
      <c r="B88" s="76" t="s">
        <v>571</v>
      </c>
      <c r="C88" s="75" t="s">
        <v>570</v>
      </c>
      <c r="D88" s="7" t="s">
        <v>572</v>
      </c>
      <c r="E88" s="153">
        <f t="shared" si="1"/>
        <v>0</v>
      </c>
      <c r="F88" s="154">
        <v>0</v>
      </c>
      <c r="G88" s="154">
        <v>0</v>
      </c>
      <c r="H88" s="154">
        <v>0</v>
      </c>
      <c r="I88" s="154">
        <v>0</v>
      </c>
      <c r="J88" s="155">
        <f t="shared" si="6"/>
        <v>3165000</v>
      </c>
      <c r="K88" s="159">
        <f>3000000+165000</f>
        <v>3165000</v>
      </c>
      <c r="L88" s="154">
        <v>0</v>
      </c>
      <c r="M88" s="154">
        <v>0</v>
      </c>
      <c r="N88" s="154">
        <v>0</v>
      </c>
      <c r="O88" s="154">
        <f>3000000+165000</f>
        <v>3165000</v>
      </c>
      <c r="P88" s="157">
        <f t="shared" si="5"/>
        <v>3165000</v>
      </c>
      <c r="Q88" s="223"/>
      <c r="R88" s="123"/>
      <c r="S88" s="123"/>
      <c r="T88" s="123"/>
    </row>
    <row r="89" spans="1:20" s="36" customFormat="1" ht="29.25" customHeight="1" hidden="1">
      <c r="A89" s="68" t="s">
        <v>383</v>
      </c>
      <c r="B89" s="76">
        <v>8340</v>
      </c>
      <c r="C89" s="68" t="s">
        <v>101</v>
      </c>
      <c r="D89" s="12" t="s">
        <v>103</v>
      </c>
      <c r="E89" s="153">
        <f t="shared" si="1"/>
        <v>0</v>
      </c>
      <c r="F89" s="154">
        <v>0</v>
      </c>
      <c r="G89" s="154">
        <v>0</v>
      </c>
      <c r="H89" s="154">
        <v>0</v>
      </c>
      <c r="I89" s="154">
        <v>0</v>
      </c>
      <c r="J89" s="148">
        <f t="shared" si="6"/>
        <v>0</v>
      </c>
      <c r="K89" s="159"/>
      <c r="L89" s="154">
        <v>0</v>
      </c>
      <c r="M89" s="154">
        <v>0</v>
      </c>
      <c r="N89" s="154">
        <v>0</v>
      </c>
      <c r="O89" s="154">
        <v>0</v>
      </c>
      <c r="P89" s="157">
        <f t="shared" si="5"/>
        <v>0</v>
      </c>
      <c r="Q89" s="223"/>
      <c r="R89" s="125"/>
      <c r="S89" s="125"/>
      <c r="T89" s="125"/>
    </row>
    <row r="90" spans="1:20" s="29" customFormat="1" ht="24.75" customHeight="1">
      <c r="A90" s="69" t="s">
        <v>573</v>
      </c>
      <c r="B90" s="70"/>
      <c r="C90" s="71"/>
      <c r="D90" s="5" t="s">
        <v>574</v>
      </c>
      <c r="E90" s="148">
        <f>F90+I90</f>
        <v>366145980.67</v>
      </c>
      <c r="F90" s="148">
        <f>F91</f>
        <v>366145980.67</v>
      </c>
      <c r="G90" s="148">
        <f>G91</f>
        <v>1200011</v>
      </c>
      <c r="H90" s="148">
        <f>H91</f>
        <v>56628</v>
      </c>
      <c r="I90" s="148">
        <f>I91</f>
        <v>0</v>
      </c>
      <c r="J90" s="148">
        <f t="shared" si="6"/>
        <v>23960549.189999998</v>
      </c>
      <c r="K90" s="148">
        <f>K91</f>
        <v>11340168</v>
      </c>
      <c r="L90" s="148">
        <f>L91</f>
        <v>12573481.19</v>
      </c>
      <c r="M90" s="148">
        <f>M91</f>
        <v>0</v>
      </c>
      <c r="N90" s="148">
        <f>N91</f>
        <v>0</v>
      </c>
      <c r="O90" s="148">
        <f>O91</f>
        <v>11387068</v>
      </c>
      <c r="P90" s="149">
        <f>E90+J90</f>
        <v>390106529.86</v>
      </c>
      <c r="Q90" s="223"/>
      <c r="R90" s="118"/>
      <c r="S90" s="118"/>
      <c r="T90" s="118"/>
    </row>
    <row r="91" spans="1:20" s="30" customFormat="1" ht="24" customHeight="1">
      <c r="A91" s="72" t="s">
        <v>575</v>
      </c>
      <c r="B91" s="73"/>
      <c r="C91" s="74"/>
      <c r="D91" s="9" t="s">
        <v>191</v>
      </c>
      <c r="E91" s="150">
        <f>F91+I91</f>
        <v>366145980.67</v>
      </c>
      <c r="F91" s="150">
        <f>F92+F93+F94+F95+F98+F100+F102+F104+F106+F110+F113+F115+F116+F117+F118</f>
        <v>366145980.67</v>
      </c>
      <c r="G91" s="150">
        <f>G92+G93+G94+G95+G98+G100+G102+G104+G106+G110+G113+G115+G116+G117+G118</f>
        <v>1200011</v>
      </c>
      <c r="H91" s="150">
        <f>H92+H93+H94+H95+H98+H100+H102+H104+H106+H110+H113+H115+H116+H117+H118</f>
        <v>56628</v>
      </c>
      <c r="I91" s="150">
        <f>I92+I93+I94+I95+I98+I100+I102+I104+I106+I110+I113+I115+I116+I117+I118</f>
        <v>0</v>
      </c>
      <c r="J91" s="151">
        <f>L91+O91</f>
        <v>23960549.189999998</v>
      </c>
      <c r="K91" s="150">
        <f>K92+K93+K94+K95+K98+K100+K102+K104+K106+K110+K113+K115+K116+K117+K118</f>
        <v>11340168</v>
      </c>
      <c r="L91" s="150">
        <f>L92+L93+L94+L95+L98+L100+L102+L104+L106+L110+L113+L115+L116+L117+L118</f>
        <v>12573481.19</v>
      </c>
      <c r="M91" s="150">
        <f>M92+M93+M94+M95+M98+M100+M102+M104+M106+M110+M113+M115+M116+M117+M118</f>
        <v>0</v>
      </c>
      <c r="N91" s="150">
        <f>N92+N93+N94+N95+N98+N100+N102+N104+N106+N110+N113+N115+N116+N117+N118</f>
        <v>0</v>
      </c>
      <c r="O91" s="150">
        <f>O92+O93+O94+O95+O98+O100+O102+O104+O106+O110+O113+O115+O116+O117+O118</f>
        <v>11387068</v>
      </c>
      <c r="P91" s="152">
        <f>E91+J91</f>
        <v>390106529.86</v>
      </c>
      <c r="Q91" s="223"/>
      <c r="R91" s="119"/>
      <c r="S91" s="119"/>
      <c r="T91" s="119"/>
    </row>
    <row r="92" spans="1:20" s="26" customFormat="1" ht="46.5" customHeight="1">
      <c r="A92" s="75" t="s">
        <v>576</v>
      </c>
      <c r="B92" s="76" t="s">
        <v>464</v>
      </c>
      <c r="C92" s="75" t="s">
        <v>449</v>
      </c>
      <c r="D92" s="7" t="s">
        <v>465</v>
      </c>
      <c r="E92" s="153">
        <f>F92+I92</f>
        <v>1633737</v>
      </c>
      <c r="F92" s="154">
        <v>1633737</v>
      </c>
      <c r="G92" s="154">
        <v>1200011</v>
      </c>
      <c r="H92" s="154">
        <v>56628</v>
      </c>
      <c r="I92" s="154"/>
      <c r="J92" s="155">
        <f t="shared" si="6"/>
        <v>0</v>
      </c>
      <c r="K92" s="159"/>
      <c r="L92" s="154">
        <v>0</v>
      </c>
      <c r="M92" s="154">
        <v>0</v>
      </c>
      <c r="N92" s="154">
        <v>0</v>
      </c>
      <c r="O92" s="154">
        <v>0</v>
      </c>
      <c r="P92" s="157">
        <f t="shared" si="5"/>
        <v>1633737</v>
      </c>
      <c r="Q92" s="223"/>
      <c r="R92" s="115"/>
      <c r="S92" s="115"/>
      <c r="T92" s="115"/>
    </row>
    <row r="93" spans="1:20" s="26" customFormat="1" ht="31.5" customHeight="1">
      <c r="A93" s="68" t="s">
        <v>416</v>
      </c>
      <c r="B93" s="68" t="s">
        <v>152</v>
      </c>
      <c r="C93" s="68" t="s">
        <v>326</v>
      </c>
      <c r="D93" s="12" t="s">
        <v>327</v>
      </c>
      <c r="E93" s="153">
        <f aca="true" t="shared" si="7" ref="E93:E117">F93+I93</f>
        <v>4500</v>
      </c>
      <c r="F93" s="156">
        <v>4500</v>
      </c>
      <c r="G93" s="154"/>
      <c r="H93" s="154"/>
      <c r="I93" s="154"/>
      <c r="J93" s="155">
        <f t="shared" si="6"/>
        <v>0</v>
      </c>
      <c r="K93" s="159"/>
      <c r="L93" s="154"/>
      <c r="M93" s="154"/>
      <c r="N93" s="154"/>
      <c r="O93" s="154"/>
      <c r="P93" s="157">
        <f t="shared" si="5"/>
        <v>4500</v>
      </c>
      <c r="Q93" s="223"/>
      <c r="R93" s="115"/>
      <c r="S93" s="115"/>
      <c r="T93" s="115"/>
    </row>
    <row r="94" spans="1:20" s="26" customFormat="1" ht="25.5" customHeight="1">
      <c r="A94" s="75" t="s">
        <v>577</v>
      </c>
      <c r="B94" s="76" t="s">
        <v>454</v>
      </c>
      <c r="C94" s="75" t="s">
        <v>453</v>
      </c>
      <c r="D94" s="7" t="s">
        <v>455</v>
      </c>
      <c r="E94" s="153">
        <f t="shared" si="7"/>
        <v>230000</v>
      </c>
      <c r="F94" s="154">
        <v>230000</v>
      </c>
      <c r="G94" s="154"/>
      <c r="H94" s="154"/>
      <c r="I94" s="154"/>
      <c r="J94" s="155">
        <f t="shared" si="6"/>
        <v>0</v>
      </c>
      <c r="K94" s="159"/>
      <c r="L94" s="154">
        <v>0</v>
      </c>
      <c r="M94" s="154">
        <v>0</v>
      </c>
      <c r="N94" s="154">
        <v>0</v>
      </c>
      <c r="O94" s="154">
        <v>0</v>
      </c>
      <c r="P94" s="157">
        <f t="shared" si="5"/>
        <v>230000</v>
      </c>
      <c r="Q94" s="223"/>
      <c r="R94" s="115"/>
      <c r="S94" s="115"/>
      <c r="T94" s="115"/>
    </row>
    <row r="95" spans="1:20" s="26" customFormat="1" ht="15">
      <c r="A95" s="75" t="s">
        <v>578</v>
      </c>
      <c r="B95" s="76" t="s">
        <v>580</v>
      </c>
      <c r="C95" s="75" t="s">
        <v>579</v>
      </c>
      <c r="D95" s="7" t="s">
        <v>581</v>
      </c>
      <c r="E95" s="153">
        <f t="shared" si="7"/>
        <v>234339533.58</v>
      </c>
      <c r="F95" s="154">
        <f>234195037+144494+F97</f>
        <v>234339533.58</v>
      </c>
      <c r="G95" s="154">
        <v>0</v>
      </c>
      <c r="H95" s="154">
        <v>0</v>
      </c>
      <c r="I95" s="154">
        <v>0</v>
      </c>
      <c r="J95" s="155">
        <f>L95+O95</f>
        <v>7967530.1899999995</v>
      </c>
      <c r="K95" s="159">
        <f>2000000+1450000+2500000+100000</f>
        <v>6050000</v>
      </c>
      <c r="L95" s="154">
        <f>1533826+336804.19</f>
        <v>1870630.19</v>
      </c>
      <c r="M95" s="154"/>
      <c r="N95" s="154"/>
      <c r="O95" s="154">
        <f>46900+2000000+1450000+2500000+100000</f>
        <v>6096900</v>
      </c>
      <c r="P95" s="157">
        <f t="shared" si="5"/>
        <v>242307063.77</v>
      </c>
      <c r="Q95" s="223"/>
      <c r="R95" s="115"/>
      <c r="S95" s="115"/>
      <c r="T95" s="115"/>
    </row>
    <row r="96" spans="1:20" s="235" customFormat="1" ht="33.75" customHeight="1">
      <c r="A96" s="225"/>
      <c r="B96" s="226"/>
      <c r="C96" s="225"/>
      <c r="D96" s="227" t="s">
        <v>232</v>
      </c>
      <c r="E96" s="228">
        <f t="shared" si="7"/>
        <v>142595803</v>
      </c>
      <c r="F96" s="229">
        <f>141802794+793009</f>
        <v>142595803</v>
      </c>
      <c r="G96" s="229"/>
      <c r="H96" s="229"/>
      <c r="I96" s="229"/>
      <c r="J96" s="230">
        <f t="shared" si="6"/>
        <v>0</v>
      </c>
      <c r="K96" s="244"/>
      <c r="L96" s="245">
        <v>0</v>
      </c>
      <c r="M96" s="229">
        <v>0</v>
      </c>
      <c r="N96" s="229">
        <v>0</v>
      </c>
      <c r="O96" s="229">
        <v>0</v>
      </c>
      <c r="P96" s="232">
        <f t="shared" si="5"/>
        <v>142595803</v>
      </c>
      <c r="Q96" s="233"/>
      <c r="R96" s="234"/>
      <c r="S96" s="234"/>
      <c r="T96" s="234"/>
    </row>
    <row r="97" spans="1:20" s="235" customFormat="1" ht="33.75" customHeight="1">
      <c r="A97" s="225"/>
      <c r="B97" s="226"/>
      <c r="C97" s="225"/>
      <c r="D97" s="279" t="s">
        <v>208</v>
      </c>
      <c r="E97" s="228">
        <f t="shared" si="7"/>
        <v>2.58</v>
      </c>
      <c r="F97" s="229">
        <v>2.58</v>
      </c>
      <c r="G97" s="229"/>
      <c r="H97" s="229"/>
      <c r="I97" s="229"/>
      <c r="J97" s="230">
        <f t="shared" si="6"/>
        <v>0</v>
      </c>
      <c r="K97" s="238"/>
      <c r="L97" s="245"/>
      <c r="M97" s="229"/>
      <c r="N97" s="229"/>
      <c r="O97" s="229"/>
      <c r="P97" s="232">
        <f t="shared" si="5"/>
        <v>2.58</v>
      </c>
      <c r="Q97" s="233"/>
      <c r="R97" s="234"/>
      <c r="S97" s="234"/>
      <c r="T97" s="234"/>
    </row>
    <row r="98" spans="1:20" s="26" customFormat="1" ht="15">
      <c r="A98" s="75" t="s">
        <v>582</v>
      </c>
      <c r="B98" s="76" t="s">
        <v>584</v>
      </c>
      <c r="C98" s="75" t="s">
        <v>583</v>
      </c>
      <c r="D98" s="7" t="s">
        <v>585</v>
      </c>
      <c r="E98" s="153">
        <f t="shared" si="7"/>
        <v>34607722</v>
      </c>
      <c r="F98" s="154">
        <f>34346966+260756</f>
        <v>34607722</v>
      </c>
      <c r="G98" s="154">
        <v>0</v>
      </c>
      <c r="H98" s="154">
        <v>0</v>
      </c>
      <c r="I98" s="154">
        <v>0</v>
      </c>
      <c r="J98" s="155">
        <f t="shared" si="6"/>
        <v>321382</v>
      </c>
      <c r="K98" s="159">
        <f>19488</f>
        <v>19488</v>
      </c>
      <c r="L98" s="154">
        <v>301894</v>
      </c>
      <c r="M98" s="154"/>
      <c r="N98" s="154"/>
      <c r="O98" s="154">
        <f>19488</f>
        <v>19488</v>
      </c>
      <c r="P98" s="157">
        <f t="shared" si="5"/>
        <v>34929104</v>
      </c>
      <c r="Q98" s="223"/>
      <c r="R98" s="115"/>
      <c r="S98" s="115"/>
      <c r="T98" s="115"/>
    </row>
    <row r="99" spans="1:20" s="235" customFormat="1" ht="33.75" customHeight="1">
      <c r="A99" s="225"/>
      <c r="B99" s="226"/>
      <c r="C99" s="225"/>
      <c r="D99" s="227" t="s">
        <v>232</v>
      </c>
      <c r="E99" s="228">
        <f t="shared" si="7"/>
        <v>21820983</v>
      </c>
      <c r="F99" s="229">
        <f>21692131+128852</f>
        <v>21820983</v>
      </c>
      <c r="G99" s="229">
        <v>0</v>
      </c>
      <c r="H99" s="229">
        <v>0</v>
      </c>
      <c r="I99" s="229">
        <v>0</v>
      </c>
      <c r="J99" s="230">
        <f t="shared" si="6"/>
        <v>0</v>
      </c>
      <c r="K99" s="238"/>
      <c r="L99" s="229"/>
      <c r="M99" s="229"/>
      <c r="N99" s="229"/>
      <c r="O99" s="229"/>
      <c r="P99" s="232">
        <f t="shared" si="5"/>
        <v>21820983</v>
      </c>
      <c r="Q99" s="233"/>
      <c r="R99" s="234"/>
      <c r="S99" s="234"/>
      <c r="T99" s="234"/>
    </row>
    <row r="100" spans="1:20" s="26" customFormat="1" ht="26.25">
      <c r="A100" s="75" t="s">
        <v>586</v>
      </c>
      <c r="B100" s="76" t="s">
        <v>588</v>
      </c>
      <c r="C100" s="75" t="s">
        <v>587</v>
      </c>
      <c r="D100" s="7" t="s">
        <v>236</v>
      </c>
      <c r="E100" s="153">
        <f t="shared" si="7"/>
        <v>6808401</v>
      </c>
      <c r="F100" s="154">
        <f>6804401+4000</f>
        <v>6808401</v>
      </c>
      <c r="G100" s="154">
        <v>0</v>
      </c>
      <c r="H100" s="154">
        <v>0</v>
      </c>
      <c r="I100" s="154">
        <v>0</v>
      </c>
      <c r="J100" s="155">
        <f t="shared" si="6"/>
        <v>649779</v>
      </c>
      <c r="K100" s="159"/>
      <c r="L100" s="154">
        <v>649779</v>
      </c>
      <c r="M100" s="154"/>
      <c r="N100" s="154"/>
      <c r="O100" s="154"/>
      <c r="P100" s="157">
        <f t="shared" si="5"/>
        <v>7458180</v>
      </c>
      <c r="Q100" s="223"/>
      <c r="R100" s="115"/>
      <c r="S100" s="115"/>
      <c r="T100" s="115"/>
    </row>
    <row r="101" spans="1:20" s="235" customFormat="1" ht="35.25" customHeight="1">
      <c r="A101" s="225"/>
      <c r="B101" s="226"/>
      <c r="C101" s="225"/>
      <c r="D101" s="227" t="s">
        <v>232</v>
      </c>
      <c r="E101" s="228">
        <f t="shared" si="7"/>
        <v>4668408</v>
      </c>
      <c r="F101" s="229">
        <f>4641817+26591</f>
        <v>4668408</v>
      </c>
      <c r="G101" s="229">
        <v>0</v>
      </c>
      <c r="H101" s="229">
        <v>0</v>
      </c>
      <c r="I101" s="229">
        <v>0</v>
      </c>
      <c r="J101" s="230">
        <f t="shared" si="6"/>
        <v>0</v>
      </c>
      <c r="K101" s="238"/>
      <c r="L101" s="229"/>
      <c r="M101" s="229"/>
      <c r="N101" s="229"/>
      <c r="O101" s="229"/>
      <c r="P101" s="232">
        <f t="shared" si="5"/>
        <v>4668408</v>
      </c>
      <c r="Q101" s="233"/>
      <c r="R101" s="234"/>
      <c r="S101" s="234"/>
      <c r="T101" s="234"/>
    </row>
    <row r="102" spans="1:20" s="26" customFormat="1" ht="18.75" customHeight="1">
      <c r="A102" s="75" t="s">
        <v>589</v>
      </c>
      <c r="B102" s="76" t="s">
        <v>591</v>
      </c>
      <c r="C102" s="75" t="s">
        <v>590</v>
      </c>
      <c r="D102" s="7" t="s">
        <v>592</v>
      </c>
      <c r="E102" s="153">
        <f t="shared" si="7"/>
        <v>12799774</v>
      </c>
      <c r="F102" s="154">
        <v>12799774</v>
      </c>
      <c r="G102" s="154">
        <v>0</v>
      </c>
      <c r="H102" s="154">
        <v>0</v>
      </c>
      <c r="I102" s="154">
        <v>0</v>
      </c>
      <c r="J102" s="155">
        <f t="shared" si="6"/>
        <v>9751178</v>
      </c>
      <c r="K102" s="159"/>
      <c r="L102" s="154">
        <v>9751178</v>
      </c>
      <c r="M102" s="154"/>
      <c r="N102" s="154"/>
      <c r="O102" s="154"/>
      <c r="P102" s="165">
        <f t="shared" si="5"/>
        <v>22550952</v>
      </c>
      <c r="Q102" s="223"/>
      <c r="R102" s="115"/>
      <c r="S102" s="115"/>
      <c r="T102" s="115"/>
    </row>
    <row r="103" spans="1:20" s="235" customFormat="1" ht="33" customHeight="1">
      <c r="A103" s="225"/>
      <c r="B103" s="226"/>
      <c r="C103" s="225"/>
      <c r="D103" s="227" t="s">
        <v>232</v>
      </c>
      <c r="E103" s="228">
        <f t="shared" si="7"/>
        <v>8203828</v>
      </c>
      <c r="F103" s="229">
        <f>8158759+45069</f>
        <v>8203828</v>
      </c>
      <c r="G103" s="229">
        <v>0</v>
      </c>
      <c r="H103" s="229">
        <v>0</v>
      </c>
      <c r="I103" s="229">
        <v>0</v>
      </c>
      <c r="J103" s="230">
        <f t="shared" si="6"/>
        <v>0</v>
      </c>
      <c r="K103" s="238"/>
      <c r="L103" s="229">
        <v>0</v>
      </c>
      <c r="M103" s="229">
        <v>0</v>
      </c>
      <c r="N103" s="229">
        <v>0</v>
      </c>
      <c r="O103" s="229">
        <v>0</v>
      </c>
      <c r="P103" s="232">
        <f t="shared" si="5"/>
        <v>8203828</v>
      </c>
      <c r="Q103" s="233"/>
      <c r="R103" s="234"/>
      <c r="S103" s="234"/>
      <c r="T103" s="234"/>
    </row>
    <row r="104" spans="1:20" s="26" customFormat="1" ht="41.25" customHeight="1">
      <c r="A104" s="75" t="s">
        <v>593</v>
      </c>
      <c r="B104" s="76" t="s">
        <v>594</v>
      </c>
      <c r="C104" s="75" t="s">
        <v>237</v>
      </c>
      <c r="D104" s="7" t="s">
        <v>595</v>
      </c>
      <c r="E104" s="153">
        <f t="shared" si="7"/>
        <v>31214637</v>
      </c>
      <c r="F104" s="154">
        <f>31415393+300000-260756-240000</f>
        <v>31214637</v>
      </c>
      <c r="G104" s="154">
        <v>0</v>
      </c>
      <c r="H104" s="154">
        <v>0</v>
      </c>
      <c r="I104" s="154">
        <v>0</v>
      </c>
      <c r="J104" s="155">
        <f t="shared" si="6"/>
        <v>1710000</v>
      </c>
      <c r="K104" s="159">
        <f>240000+1420000+50000</f>
        <v>1710000</v>
      </c>
      <c r="L104" s="154"/>
      <c r="M104" s="154"/>
      <c r="N104" s="154"/>
      <c r="O104" s="154">
        <f>240000+1420000+50000</f>
        <v>1710000</v>
      </c>
      <c r="P104" s="157">
        <f t="shared" si="5"/>
        <v>32924637</v>
      </c>
      <c r="Q104" s="223"/>
      <c r="R104" s="115"/>
      <c r="S104" s="115"/>
      <c r="T104" s="115"/>
    </row>
    <row r="105" spans="1:20" s="235" customFormat="1" ht="27.75" customHeight="1">
      <c r="A105" s="225"/>
      <c r="B105" s="226"/>
      <c r="C105" s="225"/>
      <c r="D105" s="227" t="s">
        <v>232</v>
      </c>
      <c r="E105" s="228">
        <f t="shared" si="7"/>
        <v>0</v>
      </c>
      <c r="F105" s="229">
        <v>0</v>
      </c>
      <c r="G105" s="229">
        <v>0</v>
      </c>
      <c r="H105" s="229">
        <v>0</v>
      </c>
      <c r="I105" s="229">
        <v>0</v>
      </c>
      <c r="J105" s="230">
        <f t="shared" si="6"/>
        <v>0</v>
      </c>
      <c r="K105" s="238"/>
      <c r="L105" s="229">
        <v>0</v>
      </c>
      <c r="M105" s="229">
        <v>0</v>
      </c>
      <c r="N105" s="229">
        <v>0</v>
      </c>
      <c r="O105" s="229">
        <v>0</v>
      </c>
      <c r="P105" s="232">
        <f t="shared" si="5"/>
        <v>0</v>
      </c>
      <c r="Q105" s="233"/>
      <c r="R105" s="234"/>
      <c r="S105" s="234"/>
      <c r="T105" s="234"/>
    </row>
    <row r="106" spans="1:20" s="37" customFormat="1" ht="27.75" customHeight="1">
      <c r="A106" s="84" t="s">
        <v>353</v>
      </c>
      <c r="B106" s="88">
        <v>2144</v>
      </c>
      <c r="C106" s="84" t="s">
        <v>597</v>
      </c>
      <c r="D106" s="15" t="s">
        <v>354</v>
      </c>
      <c r="E106" s="153">
        <f t="shared" si="7"/>
        <v>6546211.83</v>
      </c>
      <c r="F106" s="156">
        <f>F107+F108+F109</f>
        <v>6546211.83</v>
      </c>
      <c r="G106" s="163">
        <v>0</v>
      </c>
      <c r="H106" s="163">
        <v>0</v>
      </c>
      <c r="I106" s="163">
        <v>0</v>
      </c>
      <c r="J106" s="155">
        <f t="shared" si="6"/>
        <v>0</v>
      </c>
      <c r="K106" s="159"/>
      <c r="L106" s="154">
        <v>0</v>
      </c>
      <c r="M106" s="154">
        <v>0</v>
      </c>
      <c r="N106" s="154">
        <v>0</v>
      </c>
      <c r="O106" s="154">
        <v>0</v>
      </c>
      <c r="P106" s="157">
        <f t="shared" si="5"/>
        <v>6546211.83</v>
      </c>
      <c r="Q106" s="223"/>
      <c r="R106" s="126"/>
      <c r="S106" s="126"/>
      <c r="T106" s="126"/>
    </row>
    <row r="107" spans="1:20" s="243" customFormat="1" ht="54" customHeight="1">
      <c r="A107" s="239"/>
      <c r="B107" s="240"/>
      <c r="C107" s="239"/>
      <c r="D107" s="241" t="s">
        <v>355</v>
      </c>
      <c r="E107" s="228">
        <f t="shared" si="7"/>
        <v>5297889</v>
      </c>
      <c r="F107" s="231">
        <f>5297889</f>
        <v>5297889</v>
      </c>
      <c r="G107" s="229">
        <v>0</v>
      </c>
      <c r="H107" s="229">
        <v>0</v>
      </c>
      <c r="I107" s="229">
        <v>0</v>
      </c>
      <c r="J107" s="230">
        <f t="shared" si="6"/>
        <v>0</v>
      </c>
      <c r="K107" s="238"/>
      <c r="L107" s="229">
        <v>0</v>
      </c>
      <c r="M107" s="229">
        <v>0</v>
      </c>
      <c r="N107" s="229">
        <v>0</v>
      </c>
      <c r="O107" s="229">
        <v>0</v>
      </c>
      <c r="P107" s="232">
        <f t="shared" si="5"/>
        <v>5297889</v>
      </c>
      <c r="Q107" s="233"/>
      <c r="R107" s="242"/>
      <c r="S107" s="242"/>
      <c r="T107" s="242"/>
    </row>
    <row r="108" spans="1:20" s="37" customFormat="1" ht="54" customHeight="1" hidden="1">
      <c r="A108" s="84"/>
      <c r="B108" s="88"/>
      <c r="C108" s="84"/>
      <c r="D108" s="16" t="s">
        <v>361</v>
      </c>
      <c r="E108" s="228">
        <f t="shared" si="7"/>
        <v>0</v>
      </c>
      <c r="F108" s="173">
        <v>0</v>
      </c>
      <c r="G108" s="163">
        <v>0</v>
      </c>
      <c r="H108" s="163">
        <v>0</v>
      </c>
      <c r="I108" s="163">
        <v>0</v>
      </c>
      <c r="J108" s="230">
        <f t="shared" si="6"/>
        <v>0</v>
      </c>
      <c r="K108" s="159"/>
      <c r="L108" s="163"/>
      <c r="M108" s="163"/>
      <c r="N108" s="163"/>
      <c r="O108" s="163"/>
      <c r="P108" s="232">
        <f t="shared" si="5"/>
        <v>0</v>
      </c>
      <c r="Q108" s="223"/>
      <c r="R108" s="126"/>
      <c r="S108" s="126"/>
      <c r="T108" s="126"/>
    </row>
    <row r="109" spans="1:20" s="37" customFormat="1" ht="54" customHeight="1">
      <c r="A109" s="84"/>
      <c r="B109" s="88"/>
      <c r="C109" s="84"/>
      <c r="D109" s="16" t="s">
        <v>209</v>
      </c>
      <c r="E109" s="228">
        <f t="shared" si="7"/>
        <v>1248322.83</v>
      </c>
      <c r="F109" s="173">
        <v>1248322.83</v>
      </c>
      <c r="G109" s="163"/>
      <c r="H109" s="163"/>
      <c r="I109" s="163"/>
      <c r="J109" s="230">
        <f t="shared" si="6"/>
        <v>0</v>
      </c>
      <c r="K109" s="159"/>
      <c r="L109" s="163"/>
      <c r="M109" s="163"/>
      <c r="N109" s="163"/>
      <c r="O109" s="163"/>
      <c r="P109" s="232">
        <f t="shared" si="5"/>
        <v>1248322.83</v>
      </c>
      <c r="Q109" s="223"/>
      <c r="R109" s="126"/>
      <c r="S109" s="126"/>
      <c r="T109" s="126"/>
    </row>
    <row r="110" spans="1:20" s="31" customFormat="1" ht="27.75" customHeight="1">
      <c r="A110" s="68" t="s">
        <v>309</v>
      </c>
      <c r="B110" s="76">
        <v>2146</v>
      </c>
      <c r="C110" s="68" t="s">
        <v>597</v>
      </c>
      <c r="D110" s="12" t="s">
        <v>310</v>
      </c>
      <c r="E110" s="153">
        <f t="shared" si="7"/>
        <v>1724721</v>
      </c>
      <c r="F110" s="154">
        <f>F111</f>
        <v>1724721</v>
      </c>
      <c r="G110" s="154">
        <v>0</v>
      </c>
      <c r="H110" s="154">
        <v>0</v>
      </c>
      <c r="I110" s="154">
        <v>0</v>
      </c>
      <c r="J110" s="155">
        <f t="shared" si="6"/>
        <v>0</v>
      </c>
      <c r="K110" s="159"/>
      <c r="L110" s="154">
        <v>0</v>
      </c>
      <c r="M110" s="154">
        <v>0</v>
      </c>
      <c r="N110" s="154">
        <v>0</v>
      </c>
      <c r="O110" s="154">
        <v>0</v>
      </c>
      <c r="P110" s="157">
        <f t="shared" si="5"/>
        <v>1724721</v>
      </c>
      <c r="Q110" s="223"/>
      <c r="R110" s="121"/>
      <c r="S110" s="121"/>
      <c r="T110" s="121"/>
    </row>
    <row r="111" spans="1:20" s="235" customFormat="1" ht="74.25" customHeight="1">
      <c r="A111" s="236"/>
      <c r="B111" s="226"/>
      <c r="C111" s="236"/>
      <c r="D111" s="237" t="s">
        <v>311</v>
      </c>
      <c r="E111" s="228">
        <f t="shared" si="7"/>
        <v>1724721</v>
      </c>
      <c r="F111" s="229">
        <f>1724721</f>
        <v>1724721</v>
      </c>
      <c r="G111" s="229">
        <v>0</v>
      </c>
      <c r="H111" s="229">
        <v>0</v>
      </c>
      <c r="I111" s="229">
        <v>0</v>
      </c>
      <c r="J111" s="230">
        <f t="shared" si="6"/>
        <v>0</v>
      </c>
      <c r="K111" s="238"/>
      <c r="L111" s="229">
        <v>0</v>
      </c>
      <c r="M111" s="229">
        <v>0</v>
      </c>
      <c r="N111" s="229">
        <v>0</v>
      </c>
      <c r="O111" s="229">
        <v>0</v>
      </c>
      <c r="P111" s="232">
        <f t="shared" si="5"/>
        <v>1724721</v>
      </c>
      <c r="Q111" s="233"/>
      <c r="R111" s="234"/>
      <c r="S111" s="234"/>
      <c r="T111" s="234"/>
    </row>
    <row r="112" spans="1:20" s="26" customFormat="1" ht="15" hidden="1">
      <c r="A112" s="81" t="s">
        <v>596</v>
      </c>
      <c r="B112" s="82" t="s">
        <v>598</v>
      </c>
      <c r="C112" s="81"/>
      <c r="D112" s="13" t="s">
        <v>599</v>
      </c>
      <c r="E112" s="153">
        <f t="shared" si="7"/>
        <v>36236743.26</v>
      </c>
      <c r="F112" s="166">
        <f>F113+F115</f>
        <v>36236743.26</v>
      </c>
      <c r="G112" s="166">
        <f>G113+G115</f>
        <v>0</v>
      </c>
      <c r="H112" s="166">
        <f>H113+H115</f>
        <v>0</v>
      </c>
      <c r="I112" s="166">
        <f>I113+I115</f>
        <v>0</v>
      </c>
      <c r="J112" s="166">
        <f t="shared" si="6"/>
        <v>3555000</v>
      </c>
      <c r="K112" s="166">
        <f>K113+K115</f>
        <v>3555000</v>
      </c>
      <c r="L112" s="166">
        <f>L113+L115</f>
        <v>0</v>
      </c>
      <c r="M112" s="166">
        <f>M113+M115</f>
        <v>0</v>
      </c>
      <c r="N112" s="166">
        <f>N113+N115</f>
        <v>0</v>
      </c>
      <c r="O112" s="166">
        <f>O113+O115</f>
        <v>3555000</v>
      </c>
      <c r="P112" s="167">
        <f t="shared" si="5"/>
        <v>39791743.26</v>
      </c>
      <c r="Q112" s="223"/>
      <c r="R112" s="115"/>
      <c r="S112" s="115"/>
      <c r="T112" s="115"/>
    </row>
    <row r="113" spans="1:20" s="26" customFormat="1" ht="15">
      <c r="A113" s="89" t="s">
        <v>240</v>
      </c>
      <c r="B113" s="76">
        <v>2151</v>
      </c>
      <c r="C113" s="75" t="s">
        <v>597</v>
      </c>
      <c r="D113" s="12" t="s">
        <v>238</v>
      </c>
      <c r="E113" s="153">
        <f t="shared" si="7"/>
        <v>5204830.26</v>
      </c>
      <c r="F113" s="154">
        <f>5182582+10400+11848.26</f>
        <v>5204830.26</v>
      </c>
      <c r="G113" s="154">
        <v>0</v>
      </c>
      <c r="H113" s="154">
        <v>0</v>
      </c>
      <c r="I113" s="154">
        <v>0</v>
      </c>
      <c r="J113" s="155">
        <f t="shared" si="6"/>
        <v>0</v>
      </c>
      <c r="K113" s="156"/>
      <c r="L113" s="154">
        <v>0</v>
      </c>
      <c r="M113" s="154">
        <v>0</v>
      </c>
      <c r="N113" s="154">
        <v>0</v>
      </c>
      <c r="O113" s="154"/>
      <c r="P113" s="157">
        <f>E113+J113</f>
        <v>5204830.26</v>
      </c>
      <c r="Q113" s="223"/>
      <c r="R113" s="115"/>
      <c r="S113" s="115"/>
      <c r="T113" s="115"/>
    </row>
    <row r="114" spans="1:20" s="235" customFormat="1" ht="33" customHeight="1">
      <c r="A114" s="225"/>
      <c r="B114" s="226"/>
      <c r="C114" s="225"/>
      <c r="D114" s="227" t="s">
        <v>232</v>
      </c>
      <c r="E114" s="228">
        <f t="shared" si="7"/>
        <v>1777738</v>
      </c>
      <c r="F114" s="229">
        <f>1768199+9539</f>
        <v>1777738</v>
      </c>
      <c r="G114" s="229">
        <v>0</v>
      </c>
      <c r="H114" s="229">
        <v>0</v>
      </c>
      <c r="I114" s="229">
        <v>0</v>
      </c>
      <c r="J114" s="230">
        <f t="shared" si="6"/>
        <v>0</v>
      </c>
      <c r="K114" s="231"/>
      <c r="L114" s="229">
        <v>0</v>
      </c>
      <c r="M114" s="229">
        <v>0</v>
      </c>
      <c r="N114" s="229">
        <v>0</v>
      </c>
      <c r="O114" s="229"/>
      <c r="P114" s="232">
        <f>E114+J114</f>
        <v>1777738</v>
      </c>
      <c r="Q114" s="233"/>
      <c r="R114" s="234"/>
      <c r="S114" s="234"/>
      <c r="T114" s="234"/>
    </row>
    <row r="115" spans="1:20" s="26" customFormat="1" ht="28.5" customHeight="1">
      <c r="A115" s="89" t="s">
        <v>241</v>
      </c>
      <c r="B115" s="76">
        <v>2152</v>
      </c>
      <c r="C115" s="75" t="s">
        <v>597</v>
      </c>
      <c r="D115" s="12" t="s">
        <v>239</v>
      </c>
      <c r="E115" s="153">
        <f t="shared" si="7"/>
        <v>31031913</v>
      </c>
      <c r="F115" s="154">
        <f>31180407-144494-4000</f>
        <v>31031913</v>
      </c>
      <c r="G115" s="154">
        <v>0</v>
      </c>
      <c r="H115" s="154">
        <v>0</v>
      </c>
      <c r="I115" s="154">
        <v>0</v>
      </c>
      <c r="J115" s="155">
        <f t="shared" si="6"/>
        <v>3555000</v>
      </c>
      <c r="K115" s="156">
        <f>3000000-100000+705000-50000</f>
        <v>3555000</v>
      </c>
      <c r="L115" s="154">
        <v>0</v>
      </c>
      <c r="M115" s="154">
        <v>0</v>
      </c>
      <c r="N115" s="154">
        <v>0</v>
      </c>
      <c r="O115" s="154">
        <f>3000000-100000+705000-50000</f>
        <v>3555000</v>
      </c>
      <c r="P115" s="157">
        <f>E115+J115</f>
        <v>34586913</v>
      </c>
      <c r="Q115" s="223"/>
      <c r="R115" s="115"/>
      <c r="S115" s="115"/>
      <c r="T115" s="115"/>
    </row>
    <row r="116" spans="1:20" s="26" customFormat="1" ht="15.75" customHeight="1" hidden="1">
      <c r="A116" s="84" t="s">
        <v>394</v>
      </c>
      <c r="B116" s="76">
        <v>3210</v>
      </c>
      <c r="C116" s="75" t="s">
        <v>23</v>
      </c>
      <c r="D116" s="7" t="s">
        <v>24</v>
      </c>
      <c r="E116" s="153">
        <f t="shared" si="7"/>
        <v>0</v>
      </c>
      <c r="F116" s="154"/>
      <c r="G116" s="154">
        <v>0</v>
      </c>
      <c r="H116" s="154">
        <v>0</v>
      </c>
      <c r="I116" s="154">
        <v>0</v>
      </c>
      <c r="J116" s="155">
        <f t="shared" si="6"/>
        <v>0</v>
      </c>
      <c r="K116" s="156"/>
      <c r="L116" s="154">
        <v>0</v>
      </c>
      <c r="M116" s="154">
        <v>0</v>
      </c>
      <c r="N116" s="154">
        <v>0</v>
      </c>
      <c r="O116" s="154">
        <v>0</v>
      </c>
      <c r="P116" s="157">
        <f>E116+J116</f>
        <v>0</v>
      </c>
      <c r="Q116" s="223"/>
      <c r="R116" s="115"/>
      <c r="S116" s="115"/>
      <c r="T116" s="115"/>
    </row>
    <row r="117" spans="1:20" s="26" customFormat="1" ht="20.25" customHeight="1">
      <c r="A117" s="75" t="s">
        <v>600</v>
      </c>
      <c r="B117" s="76" t="s">
        <v>601</v>
      </c>
      <c r="C117" s="75" t="s">
        <v>561</v>
      </c>
      <c r="D117" s="7" t="s">
        <v>602</v>
      </c>
      <c r="E117" s="153">
        <f t="shared" si="7"/>
        <v>0</v>
      </c>
      <c r="F117" s="154">
        <v>0</v>
      </c>
      <c r="G117" s="154">
        <v>0</v>
      </c>
      <c r="H117" s="154">
        <v>0</v>
      </c>
      <c r="I117" s="154">
        <v>0</v>
      </c>
      <c r="J117" s="155">
        <f t="shared" si="6"/>
        <v>5680</v>
      </c>
      <c r="K117" s="156">
        <v>5680</v>
      </c>
      <c r="L117" s="154">
        <v>0</v>
      </c>
      <c r="M117" s="154">
        <v>0</v>
      </c>
      <c r="N117" s="154">
        <v>0</v>
      </c>
      <c r="O117" s="154">
        <v>5680</v>
      </c>
      <c r="P117" s="157">
        <f t="shared" si="5"/>
        <v>5680</v>
      </c>
      <c r="Q117" s="223"/>
      <c r="R117" s="115"/>
      <c r="S117" s="115"/>
      <c r="T117" s="115"/>
    </row>
    <row r="118" spans="1:20" s="26" customFormat="1" ht="27" hidden="1">
      <c r="A118" s="84" t="s">
        <v>321</v>
      </c>
      <c r="B118" s="85">
        <v>7363</v>
      </c>
      <c r="C118" s="84" t="s">
        <v>570</v>
      </c>
      <c r="D118" s="2" t="s">
        <v>318</v>
      </c>
      <c r="E118" s="153">
        <f t="shared" si="1"/>
        <v>0</v>
      </c>
      <c r="F118" s="154"/>
      <c r="G118" s="154"/>
      <c r="H118" s="154"/>
      <c r="I118" s="154"/>
      <c r="J118" s="148">
        <f t="shared" si="6"/>
        <v>0</v>
      </c>
      <c r="K118" s="159"/>
      <c r="L118" s="154"/>
      <c r="M118" s="154"/>
      <c r="N118" s="154"/>
      <c r="O118" s="154"/>
      <c r="P118" s="157">
        <f t="shared" si="5"/>
        <v>0</v>
      </c>
      <c r="Q118" s="223"/>
      <c r="R118" s="115"/>
      <c r="S118" s="115"/>
      <c r="T118" s="115"/>
    </row>
    <row r="119" spans="1:20" s="26" customFormat="1" ht="36" hidden="1">
      <c r="A119" s="79"/>
      <c r="B119" s="80"/>
      <c r="C119" s="87"/>
      <c r="D119" s="1" t="s">
        <v>319</v>
      </c>
      <c r="E119" s="162">
        <f t="shared" si="1"/>
        <v>0</v>
      </c>
      <c r="F119" s="163"/>
      <c r="G119" s="163"/>
      <c r="H119" s="163"/>
      <c r="I119" s="163"/>
      <c r="J119" s="148">
        <f t="shared" si="6"/>
        <v>0</v>
      </c>
      <c r="K119" s="164"/>
      <c r="L119" s="163"/>
      <c r="M119" s="163"/>
      <c r="N119" s="163"/>
      <c r="O119" s="163"/>
      <c r="P119" s="165">
        <f t="shared" si="5"/>
        <v>0</v>
      </c>
      <c r="Q119" s="223"/>
      <c r="R119" s="115"/>
      <c r="S119" s="115"/>
      <c r="T119" s="115"/>
    </row>
    <row r="120" spans="1:20" s="29" customFormat="1" ht="21.75" customHeight="1">
      <c r="A120" s="69" t="s">
        <v>603</v>
      </c>
      <c r="B120" s="70"/>
      <c r="C120" s="71"/>
      <c r="D120" s="5" t="s">
        <v>604</v>
      </c>
      <c r="E120" s="148">
        <f>F120+I120</f>
        <v>590504833</v>
      </c>
      <c r="F120" s="148">
        <f>F121+F141+F197+F253</f>
        <v>590504833</v>
      </c>
      <c r="G120" s="148">
        <f>G121+G141+G197+G253</f>
        <v>51612128</v>
      </c>
      <c r="H120" s="148">
        <f>H121+H141+H197+H253</f>
        <v>3666585</v>
      </c>
      <c r="I120" s="148">
        <f>I121+I141+I197+I253</f>
        <v>0</v>
      </c>
      <c r="J120" s="148">
        <f t="shared" si="6"/>
        <v>483100</v>
      </c>
      <c r="K120" s="148">
        <f>O120</f>
        <v>190000</v>
      </c>
      <c r="L120" s="148">
        <f>L121+L141+L197+L253</f>
        <v>293100</v>
      </c>
      <c r="M120" s="148">
        <f>M121+M141+M197+M253</f>
        <v>157900</v>
      </c>
      <c r="N120" s="148">
        <f>N121+N141+N197+N253</f>
        <v>0</v>
      </c>
      <c r="O120" s="148">
        <f>O121+O141+O197+O253</f>
        <v>190000</v>
      </c>
      <c r="P120" s="149">
        <f t="shared" si="5"/>
        <v>590987933</v>
      </c>
      <c r="Q120" s="223"/>
      <c r="R120" s="118"/>
      <c r="S120" s="118"/>
      <c r="T120" s="118"/>
    </row>
    <row r="121" spans="1:20" s="30" customFormat="1" ht="33" customHeight="1">
      <c r="A121" s="72" t="s">
        <v>605</v>
      </c>
      <c r="B121" s="73"/>
      <c r="C121" s="74"/>
      <c r="D121" s="6" t="s">
        <v>174</v>
      </c>
      <c r="E121" s="150">
        <f>F121+I121</f>
        <v>30308480</v>
      </c>
      <c r="F121" s="150">
        <f>F122+F124+F125+F130+F133+F134+F135+F137+F123</f>
        <v>30308480</v>
      </c>
      <c r="G121" s="150">
        <f>G122+G124+G125+G130+G133+G134+G135+G137+G123</f>
        <v>6933050</v>
      </c>
      <c r="H121" s="150">
        <f>H122+H124+H125+H130+H133+H134+H135+H137+H123</f>
        <v>757727</v>
      </c>
      <c r="I121" s="150">
        <f>I122+I124+I125+I130+I133+I134+I135+I137+I123</f>
        <v>0</v>
      </c>
      <c r="J121" s="151">
        <f t="shared" si="6"/>
        <v>145000</v>
      </c>
      <c r="K121" s="150">
        <f>O121</f>
        <v>145000</v>
      </c>
      <c r="L121" s="150">
        <f>M122+M124+M125+M130+M133+M134+M135+M137</f>
        <v>0</v>
      </c>
      <c r="M121" s="150">
        <f>M122+M124+M125+M130+M133+M134+M135+M137</f>
        <v>0</v>
      </c>
      <c r="N121" s="150">
        <f>N122+N124+N125+N130+N133+N134+N135+N137</f>
        <v>0</v>
      </c>
      <c r="O121" s="150">
        <f>O122+O124+O125+O130+O133+O134+O135+O137</f>
        <v>145000</v>
      </c>
      <c r="P121" s="152">
        <f t="shared" si="5"/>
        <v>30453480</v>
      </c>
      <c r="Q121" s="223"/>
      <c r="R121" s="119"/>
      <c r="S121" s="119"/>
      <c r="T121" s="119"/>
    </row>
    <row r="122" spans="1:20" s="26" customFormat="1" ht="26.25">
      <c r="A122" s="75" t="s">
        <v>606</v>
      </c>
      <c r="B122" s="76" t="s">
        <v>464</v>
      </c>
      <c r="C122" s="75" t="s">
        <v>449</v>
      </c>
      <c r="D122" s="7" t="s">
        <v>465</v>
      </c>
      <c r="E122" s="153">
        <f t="shared" si="1"/>
        <v>4474360</v>
      </c>
      <c r="F122" s="154">
        <v>4474360</v>
      </c>
      <c r="G122" s="154">
        <v>3409280</v>
      </c>
      <c r="H122" s="154">
        <v>211052</v>
      </c>
      <c r="I122" s="154">
        <v>0</v>
      </c>
      <c r="J122" s="155">
        <f t="shared" si="6"/>
        <v>30000</v>
      </c>
      <c r="K122" s="159">
        <v>30000</v>
      </c>
      <c r="L122" s="154">
        <v>0</v>
      </c>
      <c r="M122" s="154">
        <v>0</v>
      </c>
      <c r="N122" s="154">
        <v>0</v>
      </c>
      <c r="O122" s="154">
        <v>30000</v>
      </c>
      <c r="P122" s="157">
        <f t="shared" si="5"/>
        <v>4504360</v>
      </c>
      <c r="Q122" s="223"/>
      <c r="R122" s="115"/>
      <c r="S122" s="115"/>
      <c r="T122" s="115"/>
    </row>
    <row r="123" spans="1:20" s="26" customFormat="1" ht="31.5" customHeight="1">
      <c r="A123" s="68" t="s">
        <v>397</v>
      </c>
      <c r="B123" s="68" t="s">
        <v>152</v>
      </c>
      <c r="C123" s="68" t="s">
        <v>326</v>
      </c>
      <c r="D123" s="12" t="s">
        <v>327</v>
      </c>
      <c r="E123" s="153">
        <f>F123+I123</f>
        <v>35000</v>
      </c>
      <c r="F123" s="156">
        <v>35000</v>
      </c>
      <c r="G123" s="154"/>
      <c r="H123" s="154"/>
      <c r="I123" s="154"/>
      <c r="J123" s="155">
        <f>L123+O123</f>
        <v>0</v>
      </c>
      <c r="K123" s="159"/>
      <c r="L123" s="154"/>
      <c r="M123" s="154"/>
      <c r="N123" s="154"/>
      <c r="O123" s="154"/>
      <c r="P123" s="157">
        <f t="shared" si="5"/>
        <v>35000</v>
      </c>
      <c r="Q123" s="223"/>
      <c r="R123" s="115"/>
      <c r="S123" s="115"/>
      <c r="T123" s="115"/>
    </row>
    <row r="124" spans="1:20" s="26" customFormat="1" ht="27.75" customHeight="1">
      <c r="A124" s="75" t="s">
        <v>607</v>
      </c>
      <c r="B124" s="76" t="s">
        <v>454</v>
      </c>
      <c r="C124" s="75" t="s">
        <v>453</v>
      </c>
      <c r="D124" s="7" t="s">
        <v>455</v>
      </c>
      <c r="E124" s="153">
        <f aca="true" t="shared" si="8" ref="E124:E189">F124+I124</f>
        <v>232000</v>
      </c>
      <c r="F124" s="154">
        <v>232000</v>
      </c>
      <c r="G124" s="154"/>
      <c r="H124" s="154"/>
      <c r="I124" s="154">
        <v>0</v>
      </c>
      <c r="J124" s="155">
        <f t="shared" si="6"/>
        <v>0</v>
      </c>
      <c r="K124" s="159">
        <v>0</v>
      </c>
      <c r="L124" s="154">
        <v>0</v>
      </c>
      <c r="M124" s="154">
        <v>0</v>
      </c>
      <c r="N124" s="154">
        <v>0</v>
      </c>
      <c r="O124" s="154">
        <v>0</v>
      </c>
      <c r="P124" s="157">
        <f t="shared" si="5"/>
        <v>232000</v>
      </c>
      <c r="Q124" s="223"/>
      <c r="R124" s="115"/>
      <c r="S124" s="115"/>
      <c r="T124" s="115"/>
    </row>
    <row r="125" spans="1:20" s="32" customFormat="1" ht="39" hidden="1">
      <c r="A125" s="81" t="s">
        <v>628</v>
      </c>
      <c r="B125" s="82" t="s">
        <v>629</v>
      </c>
      <c r="C125" s="83"/>
      <c r="D125" s="13" t="s">
        <v>630</v>
      </c>
      <c r="E125" s="166">
        <f t="shared" si="8"/>
        <v>5227100</v>
      </c>
      <c r="F125" s="166">
        <f>F126+F127+F128+F129</f>
        <v>5227100</v>
      </c>
      <c r="G125" s="166">
        <f>G126+G127+G128+G129</f>
        <v>0</v>
      </c>
      <c r="H125" s="166">
        <f>H126+H127+H128+H129</f>
        <v>0</v>
      </c>
      <c r="I125" s="166">
        <f>I126+I127+I128+I129</f>
        <v>0</v>
      </c>
      <c r="J125" s="166">
        <f t="shared" si="6"/>
        <v>115000</v>
      </c>
      <c r="K125" s="166">
        <f>K126</f>
        <v>115000</v>
      </c>
      <c r="L125" s="166">
        <f>M126+M127+M128+M129</f>
        <v>0</v>
      </c>
      <c r="M125" s="166">
        <f>M126+M127+M128+M129</f>
        <v>0</v>
      </c>
      <c r="N125" s="166">
        <f>N126+N127+N128+N129</f>
        <v>0</v>
      </c>
      <c r="O125" s="166">
        <f>O126+O127+O128+O129</f>
        <v>115000</v>
      </c>
      <c r="P125" s="167">
        <f t="shared" si="5"/>
        <v>5342100</v>
      </c>
      <c r="Q125" s="223"/>
      <c r="R125" s="122"/>
      <c r="S125" s="122"/>
      <c r="T125" s="122"/>
    </row>
    <row r="126" spans="1:20" s="26" customFormat="1" ht="37.5" customHeight="1">
      <c r="A126" s="75" t="s">
        <v>631</v>
      </c>
      <c r="B126" s="76" t="s">
        <v>632</v>
      </c>
      <c r="C126" s="75" t="s">
        <v>613</v>
      </c>
      <c r="D126" s="7" t="s">
        <v>633</v>
      </c>
      <c r="E126" s="153">
        <f t="shared" si="8"/>
        <v>0</v>
      </c>
      <c r="F126" s="154">
        <v>0</v>
      </c>
      <c r="G126" s="154">
        <v>0</v>
      </c>
      <c r="H126" s="154">
        <v>0</v>
      </c>
      <c r="I126" s="154">
        <v>0</v>
      </c>
      <c r="J126" s="155">
        <f t="shared" si="6"/>
        <v>115000</v>
      </c>
      <c r="K126" s="159">
        <v>115000</v>
      </c>
      <c r="L126" s="154">
        <v>0</v>
      </c>
      <c r="M126" s="154">
        <v>0</v>
      </c>
      <c r="N126" s="154">
        <v>0</v>
      </c>
      <c r="O126" s="154">
        <v>115000</v>
      </c>
      <c r="P126" s="157">
        <f t="shared" si="5"/>
        <v>115000</v>
      </c>
      <c r="Q126" s="223"/>
      <c r="R126" s="115"/>
      <c r="S126" s="115"/>
      <c r="T126" s="115"/>
    </row>
    <row r="127" spans="1:20" s="26" customFormat="1" ht="48" customHeight="1">
      <c r="A127" s="75" t="s">
        <v>634</v>
      </c>
      <c r="B127" s="76" t="s">
        <v>636</v>
      </c>
      <c r="C127" s="75" t="s">
        <v>635</v>
      </c>
      <c r="D127" s="7" t="s">
        <v>637</v>
      </c>
      <c r="E127" s="153">
        <f t="shared" si="8"/>
        <v>1074000</v>
      </c>
      <c r="F127" s="154">
        <v>1074000</v>
      </c>
      <c r="G127" s="154">
        <v>0</v>
      </c>
      <c r="H127" s="154">
        <v>0</v>
      </c>
      <c r="I127" s="154">
        <v>0</v>
      </c>
      <c r="J127" s="155">
        <f t="shared" si="6"/>
        <v>0</v>
      </c>
      <c r="K127" s="159"/>
      <c r="L127" s="154">
        <v>0</v>
      </c>
      <c r="M127" s="154">
        <v>0</v>
      </c>
      <c r="N127" s="154">
        <v>0</v>
      </c>
      <c r="O127" s="154">
        <v>0</v>
      </c>
      <c r="P127" s="157">
        <f t="shared" si="5"/>
        <v>1074000</v>
      </c>
      <c r="Q127" s="223"/>
      <c r="R127" s="115"/>
      <c r="S127" s="115"/>
      <c r="T127" s="115"/>
    </row>
    <row r="128" spans="1:20" s="26" customFormat="1" ht="44.25" customHeight="1">
      <c r="A128" s="75" t="s">
        <v>638</v>
      </c>
      <c r="B128" s="76" t="s">
        <v>639</v>
      </c>
      <c r="C128" s="75" t="s">
        <v>635</v>
      </c>
      <c r="D128" s="7" t="s">
        <v>640</v>
      </c>
      <c r="E128" s="153">
        <f t="shared" si="8"/>
        <v>931100</v>
      </c>
      <c r="F128" s="154">
        <f>1031100-100000</f>
        <v>931100</v>
      </c>
      <c r="G128" s="154">
        <v>0</v>
      </c>
      <c r="H128" s="154">
        <v>0</v>
      </c>
      <c r="I128" s="154">
        <v>0</v>
      </c>
      <c r="J128" s="155">
        <f t="shared" si="6"/>
        <v>0</v>
      </c>
      <c r="K128" s="159"/>
      <c r="L128" s="154">
        <v>0</v>
      </c>
      <c r="M128" s="154">
        <v>0</v>
      </c>
      <c r="N128" s="154">
        <v>0</v>
      </c>
      <c r="O128" s="154">
        <v>0</v>
      </c>
      <c r="P128" s="157">
        <f t="shared" si="5"/>
        <v>931100</v>
      </c>
      <c r="Q128" s="223"/>
      <c r="R128" s="115"/>
      <c r="S128" s="115"/>
      <c r="T128" s="115"/>
    </row>
    <row r="129" spans="1:20" s="26" customFormat="1" ht="45.75" customHeight="1">
      <c r="A129" s="75" t="s">
        <v>641</v>
      </c>
      <c r="B129" s="76" t="s">
        <v>642</v>
      </c>
      <c r="C129" s="75" t="s">
        <v>635</v>
      </c>
      <c r="D129" s="7" t="s">
        <v>643</v>
      </c>
      <c r="E129" s="153">
        <f t="shared" si="8"/>
        <v>3222000</v>
      </c>
      <c r="F129" s="154">
        <v>3222000</v>
      </c>
      <c r="G129" s="154">
        <v>0</v>
      </c>
      <c r="H129" s="154">
        <v>0</v>
      </c>
      <c r="I129" s="154">
        <v>0</v>
      </c>
      <c r="J129" s="155">
        <f t="shared" si="6"/>
        <v>0</v>
      </c>
      <c r="K129" s="159"/>
      <c r="L129" s="154">
        <v>0</v>
      </c>
      <c r="M129" s="154">
        <v>0</v>
      </c>
      <c r="N129" s="154">
        <v>0</v>
      </c>
      <c r="O129" s="154">
        <v>0</v>
      </c>
      <c r="P129" s="157">
        <f t="shared" si="5"/>
        <v>3222000</v>
      </c>
      <c r="Q129" s="223"/>
      <c r="R129" s="115"/>
      <c r="S129" s="115"/>
      <c r="T129" s="115"/>
    </row>
    <row r="130" spans="1:20" s="32" customFormat="1" ht="30.75" customHeight="1" hidden="1">
      <c r="A130" s="81" t="s">
        <v>670</v>
      </c>
      <c r="B130" s="82" t="s">
        <v>671</v>
      </c>
      <c r="C130" s="83"/>
      <c r="D130" s="13" t="s">
        <v>672</v>
      </c>
      <c r="E130" s="166">
        <f t="shared" si="8"/>
        <v>2685550</v>
      </c>
      <c r="F130" s="166">
        <f>F131+F132</f>
        <v>2685550</v>
      </c>
      <c r="G130" s="166">
        <f>G131+G132</f>
        <v>1930000</v>
      </c>
      <c r="H130" s="166">
        <f>H131+H132</f>
        <v>86855</v>
      </c>
      <c r="I130" s="166">
        <f>I131+I132</f>
        <v>0</v>
      </c>
      <c r="J130" s="166">
        <f t="shared" si="6"/>
        <v>0</v>
      </c>
      <c r="K130" s="166"/>
      <c r="L130" s="166">
        <f>M131+M132</f>
        <v>0</v>
      </c>
      <c r="M130" s="166">
        <f>M131+M132</f>
        <v>0</v>
      </c>
      <c r="N130" s="166">
        <f>N131+N132</f>
        <v>0</v>
      </c>
      <c r="O130" s="166">
        <f>O131+O132</f>
        <v>0</v>
      </c>
      <c r="P130" s="167">
        <f t="shared" si="5"/>
        <v>2685550</v>
      </c>
      <c r="Q130" s="223"/>
      <c r="R130" s="122"/>
      <c r="S130" s="122"/>
      <c r="T130" s="122"/>
    </row>
    <row r="131" spans="1:20" s="26" customFormat="1" ht="26.25">
      <c r="A131" s="75" t="s">
        <v>673</v>
      </c>
      <c r="B131" s="76" t="s">
        <v>674</v>
      </c>
      <c r="C131" s="75" t="s">
        <v>483</v>
      </c>
      <c r="D131" s="7" t="s">
        <v>675</v>
      </c>
      <c r="E131" s="153">
        <f t="shared" si="8"/>
        <v>2508000</v>
      </c>
      <c r="F131" s="154">
        <v>2508000</v>
      </c>
      <c r="G131" s="154">
        <v>1930000</v>
      </c>
      <c r="H131" s="154">
        <f>86300+555</f>
        <v>86855</v>
      </c>
      <c r="I131" s="154">
        <v>0</v>
      </c>
      <c r="J131" s="155">
        <f t="shared" si="6"/>
        <v>0</v>
      </c>
      <c r="K131" s="159"/>
      <c r="L131" s="154">
        <v>0</v>
      </c>
      <c r="M131" s="154">
        <v>0</v>
      </c>
      <c r="N131" s="154">
        <v>0</v>
      </c>
      <c r="O131" s="154">
        <v>0</v>
      </c>
      <c r="P131" s="157">
        <f t="shared" si="5"/>
        <v>2508000</v>
      </c>
      <c r="Q131" s="223"/>
      <c r="R131" s="115"/>
      <c r="S131" s="115"/>
      <c r="T131" s="115"/>
    </row>
    <row r="132" spans="1:20" s="26" customFormat="1" ht="21" customHeight="1">
      <c r="A132" s="75" t="s">
        <v>676</v>
      </c>
      <c r="B132" s="76" t="s">
        <v>677</v>
      </c>
      <c r="C132" s="75" t="s">
        <v>483</v>
      </c>
      <c r="D132" s="7" t="s">
        <v>678</v>
      </c>
      <c r="E132" s="153">
        <f t="shared" si="8"/>
        <v>177550</v>
      </c>
      <c r="F132" s="154">
        <v>177550</v>
      </c>
      <c r="G132" s="154"/>
      <c r="H132" s="154"/>
      <c r="I132" s="154">
        <v>0</v>
      </c>
      <c r="J132" s="155">
        <f t="shared" si="6"/>
        <v>0</v>
      </c>
      <c r="K132" s="159"/>
      <c r="L132" s="154">
        <v>0</v>
      </c>
      <c r="M132" s="154">
        <v>0</v>
      </c>
      <c r="N132" s="154">
        <v>0</v>
      </c>
      <c r="O132" s="154">
        <v>0</v>
      </c>
      <c r="P132" s="157">
        <f t="shared" si="5"/>
        <v>177550</v>
      </c>
      <c r="Q132" s="223"/>
      <c r="R132" s="115"/>
      <c r="S132" s="115"/>
      <c r="T132" s="115"/>
    </row>
    <row r="133" spans="1:20" s="26" customFormat="1" ht="39">
      <c r="A133" s="75" t="s">
        <v>679</v>
      </c>
      <c r="B133" s="76" t="s">
        <v>502</v>
      </c>
      <c r="C133" s="75" t="s">
        <v>483</v>
      </c>
      <c r="D133" s="7" t="s">
        <v>503</v>
      </c>
      <c r="E133" s="153">
        <f t="shared" si="8"/>
        <v>1503600</v>
      </c>
      <c r="F133" s="154">
        <v>1503600</v>
      </c>
      <c r="G133" s="154"/>
      <c r="H133" s="154"/>
      <c r="I133" s="154">
        <v>0</v>
      </c>
      <c r="J133" s="155">
        <f t="shared" si="6"/>
        <v>0</v>
      </c>
      <c r="K133" s="159"/>
      <c r="L133" s="154">
        <v>0</v>
      </c>
      <c r="M133" s="154">
        <v>0</v>
      </c>
      <c r="N133" s="154">
        <v>0</v>
      </c>
      <c r="O133" s="154">
        <v>0</v>
      </c>
      <c r="P133" s="157">
        <f t="shared" si="5"/>
        <v>1503600</v>
      </c>
      <c r="Q133" s="223"/>
      <c r="R133" s="115"/>
      <c r="S133" s="115"/>
      <c r="T133" s="115"/>
    </row>
    <row r="134" spans="1:20" s="26" customFormat="1" ht="39">
      <c r="A134" s="75" t="s">
        <v>1</v>
      </c>
      <c r="B134" s="76" t="s">
        <v>2</v>
      </c>
      <c r="C134" s="75" t="s">
        <v>608</v>
      </c>
      <c r="D134" s="7" t="s">
        <v>0</v>
      </c>
      <c r="E134" s="153">
        <f t="shared" si="8"/>
        <v>30000</v>
      </c>
      <c r="F134" s="154">
        <v>30000</v>
      </c>
      <c r="G134" s="154"/>
      <c r="H134" s="154"/>
      <c r="I134" s="154">
        <v>0</v>
      </c>
      <c r="J134" s="155">
        <f t="shared" si="6"/>
        <v>0</v>
      </c>
      <c r="K134" s="159"/>
      <c r="L134" s="154">
        <v>0</v>
      </c>
      <c r="M134" s="154">
        <v>0</v>
      </c>
      <c r="N134" s="154">
        <v>0</v>
      </c>
      <c r="O134" s="154">
        <v>0</v>
      </c>
      <c r="P134" s="157">
        <f t="shared" si="5"/>
        <v>30000</v>
      </c>
      <c r="Q134" s="223"/>
      <c r="R134" s="115"/>
      <c r="S134" s="115"/>
      <c r="T134" s="115"/>
    </row>
    <row r="135" spans="1:20" s="32" customFormat="1" ht="15" hidden="1">
      <c r="A135" s="83" t="s">
        <v>255</v>
      </c>
      <c r="B135" s="86">
        <v>3190</v>
      </c>
      <c r="C135" s="83"/>
      <c r="D135" s="38" t="s">
        <v>3</v>
      </c>
      <c r="E135" s="166">
        <f t="shared" si="8"/>
        <v>556100</v>
      </c>
      <c r="F135" s="166">
        <f>F136</f>
        <v>556100</v>
      </c>
      <c r="G135" s="166">
        <f>G136</f>
        <v>0</v>
      </c>
      <c r="H135" s="166">
        <f>H136</f>
        <v>0</v>
      </c>
      <c r="I135" s="166">
        <f>I136</f>
        <v>0</v>
      </c>
      <c r="J135" s="166">
        <f t="shared" si="6"/>
        <v>0</v>
      </c>
      <c r="K135" s="166"/>
      <c r="L135" s="166">
        <f>L136</f>
        <v>0</v>
      </c>
      <c r="M135" s="166">
        <f>M136</f>
        <v>0</v>
      </c>
      <c r="N135" s="166">
        <f>N136</f>
        <v>0</v>
      </c>
      <c r="O135" s="166">
        <f>O136</f>
        <v>0</v>
      </c>
      <c r="P135" s="167">
        <f aca="true" t="shared" si="9" ref="P135:P200">E135+J135</f>
        <v>556100</v>
      </c>
      <c r="Q135" s="223"/>
      <c r="R135" s="122"/>
      <c r="S135" s="122"/>
      <c r="T135" s="122"/>
    </row>
    <row r="136" spans="1:20" s="26" customFormat="1" ht="50.25" customHeight="1">
      <c r="A136" s="68" t="s">
        <v>256</v>
      </c>
      <c r="B136" s="90">
        <v>3192</v>
      </c>
      <c r="C136" s="68">
        <v>1030</v>
      </c>
      <c r="D136" s="19" t="s">
        <v>257</v>
      </c>
      <c r="E136" s="153">
        <f t="shared" si="8"/>
        <v>556100</v>
      </c>
      <c r="F136" s="154">
        <v>556100</v>
      </c>
      <c r="G136" s="154">
        <v>0</v>
      </c>
      <c r="H136" s="154">
        <v>0</v>
      </c>
      <c r="I136" s="154">
        <v>0</v>
      </c>
      <c r="J136" s="155">
        <f t="shared" si="6"/>
        <v>0</v>
      </c>
      <c r="K136" s="159"/>
      <c r="L136" s="154">
        <v>0</v>
      </c>
      <c r="M136" s="154">
        <v>0</v>
      </c>
      <c r="N136" s="154">
        <v>0</v>
      </c>
      <c r="O136" s="154">
        <v>0</v>
      </c>
      <c r="P136" s="157">
        <f t="shared" si="9"/>
        <v>556100</v>
      </c>
      <c r="Q136" s="223"/>
      <c r="R136" s="115"/>
      <c r="S136" s="115"/>
      <c r="T136" s="115"/>
    </row>
    <row r="137" spans="1:20" s="32" customFormat="1" ht="21.75" customHeight="1" hidden="1">
      <c r="A137" s="83" t="s">
        <v>258</v>
      </c>
      <c r="B137" s="86">
        <v>3240</v>
      </c>
      <c r="C137" s="83"/>
      <c r="D137" s="13" t="s">
        <v>259</v>
      </c>
      <c r="E137" s="166">
        <f t="shared" si="8"/>
        <v>15564770</v>
      </c>
      <c r="F137" s="166">
        <f>F138+F139</f>
        <v>15564770</v>
      </c>
      <c r="G137" s="166">
        <f>G138+G139</f>
        <v>1593770</v>
      </c>
      <c r="H137" s="166">
        <f>H138+H139</f>
        <v>459820</v>
      </c>
      <c r="I137" s="166">
        <f>I138+I139</f>
        <v>0</v>
      </c>
      <c r="J137" s="166">
        <f t="shared" si="6"/>
        <v>0</v>
      </c>
      <c r="K137" s="166"/>
      <c r="L137" s="166">
        <f>L138+L139</f>
        <v>0</v>
      </c>
      <c r="M137" s="166">
        <f>M138+M139</f>
        <v>0</v>
      </c>
      <c r="N137" s="166">
        <f>N138+N139</f>
        <v>0</v>
      </c>
      <c r="O137" s="166">
        <f>O138+O139</f>
        <v>0</v>
      </c>
      <c r="P137" s="167">
        <f t="shared" si="9"/>
        <v>15564770</v>
      </c>
      <c r="Q137" s="223"/>
      <c r="R137" s="122"/>
      <c r="S137" s="122"/>
      <c r="T137" s="122"/>
    </row>
    <row r="138" spans="1:20" s="26" customFormat="1" ht="30" customHeight="1">
      <c r="A138" s="68" t="s">
        <v>260</v>
      </c>
      <c r="B138" s="90">
        <v>3241</v>
      </c>
      <c r="C138" s="68">
        <v>1090</v>
      </c>
      <c r="D138" s="12" t="s">
        <v>261</v>
      </c>
      <c r="E138" s="153">
        <f t="shared" si="8"/>
        <v>2638470</v>
      </c>
      <c r="F138" s="174">
        <v>2638470</v>
      </c>
      <c r="G138" s="154">
        <v>1593770</v>
      </c>
      <c r="H138" s="154">
        <f>458020+1800</f>
        <v>459820</v>
      </c>
      <c r="I138" s="154"/>
      <c r="J138" s="155">
        <f aca="true" t="shared" si="10" ref="J138:J203">L138+O138</f>
        <v>0</v>
      </c>
      <c r="K138" s="159"/>
      <c r="L138" s="154"/>
      <c r="M138" s="154"/>
      <c r="N138" s="154"/>
      <c r="O138" s="154"/>
      <c r="P138" s="157">
        <f t="shared" si="9"/>
        <v>2638470</v>
      </c>
      <c r="Q138" s="223"/>
      <c r="R138" s="115"/>
      <c r="S138" s="115"/>
      <c r="T138" s="115"/>
    </row>
    <row r="139" spans="1:20" s="39" customFormat="1" ht="32.25" customHeight="1">
      <c r="A139" s="84" t="s">
        <v>262</v>
      </c>
      <c r="B139" s="84" t="s">
        <v>263</v>
      </c>
      <c r="C139" s="89">
        <v>1090</v>
      </c>
      <c r="D139" s="15" t="s">
        <v>253</v>
      </c>
      <c r="E139" s="156">
        <f t="shared" si="8"/>
        <v>12926300</v>
      </c>
      <c r="F139" s="175">
        <f>11464800+550000+100000+607500+12000+192000</f>
        <v>12926300</v>
      </c>
      <c r="G139" s="156"/>
      <c r="H139" s="156"/>
      <c r="I139" s="156"/>
      <c r="J139" s="155">
        <f t="shared" si="10"/>
        <v>0</v>
      </c>
      <c r="K139" s="156"/>
      <c r="L139" s="156"/>
      <c r="M139" s="156"/>
      <c r="N139" s="156"/>
      <c r="O139" s="156"/>
      <c r="P139" s="265">
        <f t="shared" si="9"/>
        <v>12926300</v>
      </c>
      <c r="Q139" s="223"/>
      <c r="R139" s="127"/>
      <c r="S139" s="127"/>
      <c r="T139" s="127"/>
    </row>
    <row r="140" spans="1:20" s="39" customFormat="1" ht="31.5" customHeight="1">
      <c r="A140" s="84"/>
      <c r="B140" s="84"/>
      <c r="C140" s="89"/>
      <c r="D140" s="16" t="s">
        <v>423</v>
      </c>
      <c r="E140" s="156">
        <f t="shared" si="8"/>
        <v>754000</v>
      </c>
      <c r="F140" s="175">
        <f>550000+12000+192000</f>
        <v>754000</v>
      </c>
      <c r="G140" s="156"/>
      <c r="H140" s="156"/>
      <c r="I140" s="156"/>
      <c r="J140" s="155">
        <f t="shared" si="10"/>
        <v>0</v>
      </c>
      <c r="K140" s="156"/>
      <c r="L140" s="156"/>
      <c r="M140" s="156"/>
      <c r="N140" s="156"/>
      <c r="O140" s="156"/>
      <c r="P140" s="265">
        <f t="shared" si="9"/>
        <v>754000</v>
      </c>
      <c r="Q140" s="223"/>
      <c r="R140" s="127"/>
      <c r="S140" s="127"/>
      <c r="T140" s="127"/>
    </row>
    <row r="141" spans="1:20" s="40" customFormat="1" ht="26.25">
      <c r="A141" s="72" t="s">
        <v>605</v>
      </c>
      <c r="B141" s="73"/>
      <c r="C141" s="74"/>
      <c r="D141" s="6" t="s">
        <v>175</v>
      </c>
      <c r="E141" s="150">
        <f t="shared" si="8"/>
        <v>193152225</v>
      </c>
      <c r="F141" s="150">
        <f>F142+F143+F144+F146+F151+F158+F186+F188+F189+F190+F195+F173+F156</f>
        <v>193152225</v>
      </c>
      <c r="G141" s="150">
        <f>G142+G143+G144+G146+G151+G158+G186+G188+G189+G190+G195+G173</f>
        <v>14612374</v>
      </c>
      <c r="H141" s="150">
        <f>H142+H143+H144+H146+H151+H158+H186+H188+H189+H190+H195+H173</f>
        <v>1462839</v>
      </c>
      <c r="I141" s="150">
        <f>I142+I143+I144+I146+I151+I158+I186+I188+I189+I190+I195+I173</f>
        <v>0</v>
      </c>
      <c r="J141" s="151">
        <f t="shared" si="10"/>
        <v>129000</v>
      </c>
      <c r="K141" s="150">
        <f>K142</f>
        <v>15000</v>
      </c>
      <c r="L141" s="150">
        <f>L142+L143+L144+L146+L151+L158+L186+L188+L189+L190+L195+L173</f>
        <v>114000</v>
      </c>
      <c r="M141" s="150">
        <f>M142+M143+M144+M146+M151+M158+M186+M188+M189+M190+M195+M173</f>
        <v>30000</v>
      </c>
      <c r="N141" s="150">
        <f>N142+N143+N144+N146+N151+N158+N186+N188+N189+N190+N195+N173</f>
        <v>0</v>
      </c>
      <c r="O141" s="150">
        <f>O142+O143+O144+O146+O151+O158+O186+O188+O189+O190+O195+O173+O192</f>
        <v>15000</v>
      </c>
      <c r="P141" s="152">
        <f>E141+J141</f>
        <v>193281225</v>
      </c>
      <c r="Q141" s="223"/>
      <c r="R141" s="128"/>
      <c r="S141" s="128"/>
      <c r="T141" s="128"/>
    </row>
    <row r="142" spans="1:20" s="26" customFormat="1" ht="26.25">
      <c r="A142" s="75" t="s">
        <v>606</v>
      </c>
      <c r="B142" s="76" t="s">
        <v>464</v>
      </c>
      <c r="C142" s="75" t="s">
        <v>449</v>
      </c>
      <c r="D142" s="7" t="s">
        <v>465</v>
      </c>
      <c r="E142" s="153">
        <f t="shared" si="8"/>
        <v>12268670</v>
      </c>
      <c r="F142" s="154">
        <f>12069170+199500</f>
        <v>12268670</v>
      </c>
      <c r="G142" s="154">
        <v>9525004</v>
      </c>
      <c r="H142" s="154">
        <v>273281</v>
      </c>
      <c r="I142" s="154">
        <v>0</v>
      </c>
      <c r="J142" s="155">
        <f t="shared" si="10"/>
        <v>15000</v>
      </c>
      <c r="K142" s="156">
        <v>15000</v>
      </c>
      <c r="L142" s="154">
        <v>0</v>
      </c>
      <c r="M142" s="154">
        <v>0</v>
      </c>
      <c r="N142" s="154">
        <v>0</v>
      </c>
      <c r="O142" s="154">
        <v>15000</v>
      </c>
      <c r="P142" s="157">
        <f t="shared" si="9"/>
        <v>12283670</v>
      </c>
      <c r="Q142" s="223"/>
      <c r="R142" s="115"/>
      <c r="S142" s="115"/>
      <c r="T142" s="115"/>
    </row>
    <row r="143" spans="1:20" s="26" customFormat="1" ht="15">
      <c r="A143" s="75" t="s">
        <v>607</v>
      </c>
      <c r="B143" s="76" t="s">
        <v>454</v>
      </c>
      <c r="C143" s="75" t="s">
        <v>453</v>
      </c>
      <c r="D143" s="7" t="s">
        <v>455</v>
      </c>
      <c r="E143" s="153">
        <f t="shared" si="8"/>
        <v>240805</v>
      </c>
      <c r="F143" s="154">
        <f>182000+58805</f>
        <v>240805</v>
      </c>
      <c r="G143" s="154">
        <v>0</v>
      </c>
      <c r="H143" s="154">
        <v>0</v>
      </c>
      <c r="I143" s="154">
        <v>0</v>
      </c>
      <c r="J143" s="155">
        <f t="shared" si="10"/>
        <v>0</v>
      </c>
      <c r="K143" s="156"/>
      <c r="L143" s="154">
        <v>0</v>
      </c>
      <c r="M143" s="154">
        <v>0</v>
      </c>
      <c r="N143" s="154">
        <v>0</v>
      </c>
      <c r="O143" s="154">
        <v>0</v>
      </c>
      <c r="P143" s="157">
        <f t="shared" si="9"/>
        <v>240805</v>
      </c>
      <c r="Q143" s="223"/>
      <c r="R143" s="115"/>
      <c r="S143" s="115"/>
      <c r="T143" s="115"/>
    </row>
    <row r="144" spans="1:20" s="26" customFormat="1" ht="146.25" customHeight="1">
      <c r="A144" s="75" t="s">
        <v>333</v>
      </c>
      <c r="B144" s="76">
        <v>3230</v>
      </c>
      <c r="C144" s="68" t="s">
        <v>483</v>
      </c>
      <c r="D144" s="18" t="s">
        <v>405</v>
      </c>
      <c r="E144" s="153">
        <f t="shared" si="8"/>
        <v>5611850</v>
      </c>
      <c r="F144" s="154">
        <f>F145</f>
        <v>5611850</v>
      </c>
      <c r="G144" s="154">
        <f>G145</f>
        <v>0</v>
      </c>
      <c r="H144" s="154">
        <f>H145</f>
        <v>0</v>
      </c>
      <c r="I144" s="154">
        <f>I145</f>
        <v>0</v>
      </c>
      <c r="J144" s="155">
        <f t="shared" si="10"/>
        <v>0</v>
      </c>
      <c r="K144" s="159"/>
      <c r="L144" s="154">
        <f>L145</f>
        <v>0</v>
      </c>
      <c r="M144" s="154">
        <f>M145</f>
        <v>0</v>
      </c>
      <c r="N144" s="154">
        <f>N145</f>
        <v>0</v>
      </c>
      <c r="O144" s="154">
        <f>O145</f>
        <v>0</v>
      </c>
      <c r="P144" s="157">
        <f t="shared" si="9"/>
        <v>5611850</v>
      </c>
      <c r="Q144" s="223"/>
      <c r="R144" s="115"/>
      <c r="S144" s="115"/>
      <c r="T144" s="115"/>
    </row>
    <row r="145" spans="1:20" s="26" customFormat="1" ht="172.5" customHeight="1">
      <c r="A145" s="75"/>
      <c r="B145" s="76"/>
      <c r="C145" s="75"/>
      <c r="D145" s="12" t="s">
        <v>406</v>
      </c>
      <c r="E145" s="153">
        <f t="shared" si="8"/>
        <v>5611850</v>
      </c>
      <c r="F145" s="154">
        <v>5611850</v>
      </c>
      <c r="G145" s="154"/>
      <c r="H145" s="154"/>
      <c r="I145" s="154"/>
      <c r="J145" s="155">
        <f t="shared" si="10"/>
        <v>0</v>
      </c>
      <c r="K145" s="159"/>
      <c r="L145" s="154"/>
      <c r="M145" s="154"/>
      <c r="N145" s="154"/>
      <c r="O145" s="154"/>
      <c r="P145" s="157">
        <f t="shared" si="9"/>
        <v>5611850</v>
      </c>
      <c r="Q145" s="223"/>
      <c r="R145" s="115"/>
      <c r="S145" s="115"/>
      <c r="T145" s="115"/>
    </row>
    <row r="146" spans="1:20" s="32" customFormat="1" ht="39" hidden="1">
      <c r="A146" s="81" t="s">
        <v>609</v>
      </c>
      <c r="B146" s="82" t="s">
        <v>610</v>
      </c>
      <c r="C146" s="83"/>
      <c r="D146" s="13" t="s">
        <v>611</v>
      </c>
      <c r="E146" s="166">
        <f t="shared" si="8"/>
        <v>73000000</v>
      </c>
      <c r="F146" s="166">
        <f>F147+F149</f>
        <v>73000000</v>
      </c>
      <c r="G146" s="166">
        <f>G147+G149</f>
        <v>0</v>
      </c>
      <c r="H146" s="166">
        <f>H147+H149</f>
        <v>0</v>
      </c>
      <c r="I146" s="166">
        <f>I147+I149</f>
        <v>0</v>
      </c>
      <c r="J146" s="166">
        <f t="shared" si="10"/>
        <v>0</v>
      </c>
      <c r="K146" s="166"/>
      <c r="L146" s="166">
        <f>L147+L149</f>
        <v>0</v>
      </c>
      <c r="M146" s="166">
        <f>M147+M149</f>
        <v>0</v>
      </c>
      <c r="N146" s="166">
        <f>N147+N149</f>
        <v>0</v>
      </c>
      <c r="O146" s="166">
        <f>O147+O149</f>
        <v>0</v>
      </c>
      <c r="P146" s="167">
        <f t="shared" si="9"/>
        <v>73000000</v>
      </c>
      <c r="Q146" s="223"/>
      <c r="R146" s="122"/>
      <c r="S146" s="122"/>
      <c r="T146" s="122"/>
    </row>
    <row r="147" spans="1:20" s="26" customFormat="1" ht="26.25">
      <c r="A147" s="75" t="s">
        <v>612</v>
      </c>
      <c r="B147" s="76" t="s">
        <v>614</v>
      </c>
      <c r="C147" s="75" t="s">
        <v>613</v>
      </c>
      <c r="D147" s="7" t="s">
        <v>615</v>
      </c>
      <c r="E147" s="153">
        <f t="shared" si="8"/>
        <v>13000000</v>
      </c>
      <c r="F147" s="154">
        <f>F148</f>
        <v>13000000</v>
      </c>
      <c r="G147" s="154">
        <f>G148</f>
        <v>0</v>
      </c>
      <c r="H147" s="154">
        <f>H148</f>
        <v>0</v>
      </c>
      <c r="I147" s="154">
        <f>I148</f>
        <v>0</v>
      </c>
      <c r="J147" s="148">
        <f t="shared" si="10"/>
        <v>0</v>
      </c>
      <c r="K147" s="156"/>
      <c r="L147" s="154">
        <f>L148</f>
        <v>0</v>
      </c>
      <c r="M147" s="154">
        <f>M148</f>
        <v>0</v>
      </c>
      <c r="N147" s="154">
        <f>N148</f>
        <v>0</v>
      </c>
      <c r="O147" s="154">
        <f>O148</f>
        <v>0</v>
      </c>
      <c r="P147" s="157">
        <f t="shared" si="9"/>
        <v>13000000</v>
      </c>
      <c r="Q147" s="223"/>
      <c r="R147" s="115"/>
      <c r="S147" s="115"/>
      <c r="T147" s="115"/>
    </row>
    <row r="148" spans="1:20" s="26" customFormat="1" ht="191.25" customHeight="1">
      <c r="A148" s="75"/>
      <c r="B148" s="76"/>
      <c r="C148" s="75"/>
      <c r="D148" s="12" t="s">
        <v>408</v>
      </c>
      <c r="E148" s="153">
        <f t="shared" si="8"/>
        <v>13000000</v>
      </c>
      <c r="F148" s="154">
        <v>13000000</v>
      </c>
      <c r="G148" s="154"/>
      <c r="H148" s="154"/>
      <c r="I148" s="154"/>
      <c r="J148" s="155">
        <f t="shared" si="10"/>
        <v>0</v>
      </c>
      <c r="K148" s="159"/>
      <c r="L148" s="154"/>
      <c r="M148" s="154"/>
      <c r="N148" s="154"/>
      <c r="O148" s="154"/>
      <c r="P148" s="157">
        <f t="shared" si="9"/>
        <v>13000000</v>
      </c>
      <c r="Q148" s="223"/>
      <c r="R148" s="115"/>
      <c r="S148" s="115"/>
      <c r="T148" s="115"/>
    </row>
    <row r="149" spans="1:20" s="26" customFormat="1" ht="26.25">
      <c r="A149" s="75" t="s">
        <v>616</v>
      </c>
      <c r="B149" s="76" t="s">
        <v>617</v>
      </c>
      <c r="C149" s="75" t="s">
        <v>608</v>
      </c>
      <c r="D149" s="7" t="s">
        <v>618</v>
      </c>
      <c r="E149" s="153">
        <f t="shared" si="8"/>
        <v>60000000</v>
      </c>
      <c r="F149" s="154">
        <f>F150</f>
        <v>60000000</v>
      </c>
      <c r="G149" s="154">
        <f>G150</f>
        <v>0</v>
      </c>
      <c r="H149" s="154">
        <f>H150</f>
        <v>0</v>
      </c>
      <c r="I149" s="154">
        <f>I150</f>
        <v>0</v>
      </c>
      <c r="J149" s="155">
        <f t="shared" si="10"/>
        <v>0</v>
      </c>
      <c r="K149" s="159"/>
      <c r="L149" s="154">
        <f>L150</f>
        <v>0</v>
      </c>
      <c r="M149" s="154">
        <f>M150</f>
        <v>0</v>
      </c>
      <c r="N149" s="154">
        <f>N150</f>
        <v>0</v>
      </c>
      <c r="O149" s="154">
        <f>O150</f>
        <v>0</v>
      </c>
      <c r="P149" s="157">
        <f t="shared" si="9"/>
        <v>60000000</v>
      </c>
      <c r="Q149" s="223"/>
      <c r="R149" s="115"/>
      <c r="S149" s="115"/>
      <c r="T149" s="115"/>
    </row>
    <row r="150" spans="1:20" s="26" customFormat="1" ht="195" customHeight="1">
      <c r="A150" s="75"/>
      <c r="B150" s="76"/>
      <c r="C150" s="75"/>
      <c r="D150" s="12" t="s">
        <v>408</v>
      </c>
      <c r="E150" s="153">
        <f t="shared" si="8"/>
        <v>60000000</v>
      </c>
      <c r="F150" s="154">
        <v>60000000</v>
      </c>
      <c r="G150" s="154"/>
      <c r="H150" s="154"/>
      <c r="I150" s="154"/>
      <c r="J150" s="155">
        <f t="shared" si="10"/>
        <v>0</v>
      </c>
      <c r="K150" s="159"/>
      <c r="L150" s="154"/>
      <c r="M150" s="154"/>
      <c r="N150" s="154"/>
      <c r="O150" s="154"/>
      <c r="P150" s="157">
        <f t="shared" si="9"/>
        <v>60000000</v>
      </c>
      <c r="Q150" s="223"/>
      <c r="R150" s="115"/>
      <c r="S150" s="115"/>
      <c r="T150" s="115"/>
    </row>
    <row r="151" spans="1:20" s="32" customFormat="1" ht="26.25" hidden="1">
      <c r="A151" s="81" t="s">
        <v>619</v>
      </c>
      <c r="B151" s="82" t="s">
        <v>620</v>
      </c>
      <c r="C151" s="83"/>
      <c r="D151" s="13" t="s">
        <v>621</v>
      </c>
      <c r="E151" s="166">
        <f t="shared" si="8"/>
        <v>139100</v>
      </c>
      <c r="F151" s="166">
        <f>F152+F154</f>
        <v>139100</v>
      </c>
      <c r="G151" s="166">
        <f>G152+G154</f>
        <v>0</v>
      </c>
      <c r="H151" s="166">
        <f>H152+H154</f>
        <v>0</v>
      </c>
      <c r="I151" s="166">
        <f>I152+I154</f>
        <v>0</v>
      </c>
      <c r="J151" s="166">
        <f t="shared" si="10"/>
        <v>0</v>
      </c>
      <c r="K151" s="166"/>
      <c r="L151" s="166">
        <f>L152+L154</f>
        <v>0</v>
      </c>
      <c r="M151" s="166">
        <v>0</v>
      </c>
      <c r="N151" s="166">
        <v>0</v>
      </c>
      <c r="O151" s="166">
        <v>0</v>
      </c>
      <c r="P151" s="167">
        <f t="shared" si="9"/>
        <v>139100</v>
      </c>
      <c r="Q151" s="223"/>
      <c r="R151" s="122"/>
      <c r="S151" s="122"/>
      <c r="T151" s="122"/>
    </row>
    <row r="152" spans="1:20" s="26" customFormat="1" ht="39">
      <c r="A152" s="75" t="s">
        <v>622</v>
      </c>
      <c r="B152" s="76" t="s">
        <v>623</v>
      </c>
      <c r="C152" s="75" t="s">
        <v>613</v>
      </c>
      <c r="D152" s="7" t="s">
        <v>624</v>
      </c>
      <c r="E152" s="153">
        <f t="shared" si="8"/>
        <v>24600</v>
      </c>
      <c r="F152" s="154">
        <f>F153</f>
        <v>24600</v>
      </c>
      <c r="G152" s="154">
        <f>G153</f>
        <v>0</v>
      </c>
      <c r="H152" s="154">
        <f>H153</f>
        <v>0</v>
      </c>
      <c r="I152" s="154">
        <f>I153</f>
        <v>0</v>
      </c>
      <c r="J152" s="155">
        <f t="shared" si="10"/>
        <v>0</v>
      </c>
      <c r="K152" s="159"/>
      <c r="L152" s="154">
        <f>L153</f>
        <v>0</v>
      </c>
      <c r="M152" s="154">
        <f>M153</f>
        <v>0</v>
      </c>
      <c r="N152" s="154">
        <f>N153</f>
        <v>0</v>
      </c>
      <c r="O152" s="154">
        <f>O153</f>
        <v>0</v>
      </c>
      <c r="P152" s="157">
        <f t="shared" si="9"/>
        <v>24600</v>
      </c>
      <c r="Q152" s="223"/>
      <c r="R152" s="115"/>
      <c r="S152" s="115"/>
      <c r="T152" s="115"/>
    </row>
    <row r="153" spans="1:20" s="26" customFormat="1" ht="81" customHeight="1">
      <c r="A153" s="75"/>
      <c r="B153" s="76"/>
      <c r="C153" s="75"/>
      <c r="D153" s="7" t="s">
        <v>180</v>
      </c>
      <c r="E153" s="153">
        <f t="shared" si="8"/>
        <v>24600</v>
      </c>
      <c r="F153" s="154">
        <v>24600</v>
      </c>
      <c r="G153" s="154"/>
      <c r="H153" s="154"/>
      <c r="I153" s="154"/>
      <c r="J153" s="155">
        <f t="shared" si="10"/>
        <v>0</v>
      </c>
      <c r="K153" s="159"/>
      <c r="L153" s="154"/>
      <c r="M153" s="154"/>
      <c r="N153" s="154"/>
      <c r="O153" s="154"/>
      <c r="P153" s="157">
        <f t="shared" si="9"/>
        <v>24600</v>
      </c>
      <c r="Q153" s="223"/>
      <c r="R153" s="115"/>
      <c r="S153" s="115"/>
      <c r="T153" s="115"/>
    </row>
    <row r="154" spans="1:20" s="26" customFormat="1" ht="47.25" customHeight="1">
      <c r="A154" s="75" t="s">
        <v>625</v>
      </c>
      <c r="B154" s="76" t="s">
        <v>626</v>
      </c>
      <c r="C154" s="75" t="s">
        <v>608</v>
      </c>
      <c r="D154" s="7" t="s">
        <v>627</v>
      </c>
      <c r="E154" s="153">
        <f t="shared" si="8"/>
        <v>114500</v>
      </c>
      <c r="F154" s="154">
        <f>F155</f>
        <v>114500</v>
      </c>
      <c r="G154" s="154">
        <f>G155</f>
        <v>0</v>
      </c>
      <c r="H154" s="154">
        <f>H155</f>
        <v>0</v>
      </c>
      <c r="I154" s="154">
        <f>I155</f>
        <v>0</v>
      </c>
      <c r="J154" s="155">
        <f t="shared" si="10"/>
        <v>0</v>
      </c>
      <c r="K154" s="159"/>
      <c r="L154" s="154">
        <f>L155</f>
        <v>0</v>
      </c>
      <c r="M154" s="154">
        <f>M155</f>
        <v>0</v>
      </c>
      <c r="N154" s="154">
        <f>N155</f>
        <v>0</v>
      </c>
      <c r="O154" s="154">
        <f>O155</f>
        <v>0</v>
      </c>
      <c r="P154" s="157">
        <f t="shared" si="9"/>
        <v>114500</v>
      </c>
      <c r="Q154" s="223"/>
      <c r="R154" s="115"/>
      <c r="S154" s="115"/>
      <c r="T154" s="115"/>
    </row>
    <row r="155" spans="1:20" s="26" customFormat="1" ht="81" customHeight="1">
      <c r="A155" s="75"/>
      <c r="B155" s="76"/>
      <c r="C155" s="75"/>
      <c r="D155" s="7" t="s">
        <v>180</v>
      </c>
      <c r="E155" s="153">
        <f t="shared" si="8"/>
        <v>114500</v>
      </c>
      <c r="F155" s="154">
        <f>114500</f>
        <v>114500</v>
      </c>
      <c r="G155" s="154"/>
      <c r="H155" s="154"/>
      <c r="I155" s="154"/>
      <c r="J155" s="155">
        <f t="shared" si="10"/>
        <v>0</v>
      </c>
      <c r="K155" s="159"/>
      <c r="L155" s="154"/>
      <c r="M155" s="154"/>
      <c r="N155" s="154"/>
      <c r="O155" s="154"/>
      <c r="P155" s="157">
        <f t="shared" si="9"/>
        <v>114500</v>
      </c>
      <c r="Q155" s="223"/>
      <c r="R155" s="115"/>
      <c r="S155" s="115"/>
      <c r="T155" s="115"/>
    </row>
    <row r="156" spans="1:20" s="32" customFormat="1" ht="51" customHeight="1" hidden="1">
      <c r="A156" s="81" t="s">
        <v>628</v>
      </c>
      <c r="B156" s="82">
        <v>3030</v>
      </c>
      <c r="C156" s="81"/>
      <c r="D156" s="38" t="s">
        <v>315</v>
      </c>
      <c r="E156" s="166">
        <f t="shared" si="8"/>
        <v>0</v>
      </c>
      <c r="F156" s="166">
        <f>F157</f>
        <v>0</v>
      </c>
      <c r="G156" s="166">
        <f aca="true" t="shared" si="11" ref="G156:O156">G157</f>
        <v>0</v>
      </c>
      <c r="H156" s="166">
        <f t="shared" si="11"/>
        <v>0</v>
      </c>
      <c r="I156" s="166">
        <f t="shared" si="11"/>
        <v>0</v>
      </c>
      <c r="J156" s="148">
        <f t="shared" si="10"/>
        <v>0</v>
      </c>
      <c r="K156" s="166"/>
      <c r="L156" s="166">
        <f t="shared" si="11"/>
        <v>0</v>
      </c>
      <c r="M156" s="166">
        <f t="shared" si="11"/>
        <v>0</v>
      </c>
      <c r="N156" s="166">
        <f t="shared" si="11"/>
        <v>0</v>
      </c>
      <c r="O156" s="166">
        <f t="shared" si="11"/>
        <v>0</v>
      </c>
      <c r="P156" s="167">
        <f t="shared" si="9"/>
        <v>0</v>
      </c>
      <c r="Q156" s="223"/>
      <c r="R156" s="122"/>
      <c r="S156" s="122"/>
      <c r="T156" s="122"/>
    </row>
    <row r="157" spans="1:20" s="26" customFormat="1" ht="30.75" customHeight="1" hidden="1">
      <c r="A157" s="75" t="s">
        <v>316</v>
      </c>
      <c r="B157" s="76">
        <v>3032</v>
      </c>
      <c r="C157" s="68" t="s">
        <v>635</v>
      </c>
      <c r="D157" s="41" t="s">
        <v>317</v>
      </c>
      <c r="E157" s="153">
        <f t="shared" si="8"/>
        <v>0</v>
      </c>
      <c r="F157" s="154">
        <v>0</v>
      </c>
      <c r="G157" s="154"/>
      <c r="H157" s="154"/>
      <c r="I157" s="154"/>
      <c r="J157" s="148">
        <f t="shared" si="10"/>
        <v>0</v>
      </c>
      <c r="K157" s="153"/>
      <c r="L157" s="154"/>
      <c r="M157" s="154"/>
      <c r="N157" s="154"/>
      <c r="O157" s="154"/>
      <c r="P157" s="157">
        <f t="shared" si="9"/>
        <v>0</v>
      </c>
      <c r="Q157" s="223"/>
      <c r="R157" s="115"/>
      <c r="S157" s="115"/>
      <c r="T157" s="115"/>
    </row>
    <row r="158" spans="1:20" s="32" customFormat="1" ht="26.25" hidden="1">
      <c r="A158" s="81" t="s">
        <v>644</v>
      </c>
      <c r="B158" s="82" t="s">
        <v>645</v>
      </c>
      <c r="C158" s="83"/>
      <c r="D158" s="13" t="s">
        <v>264</v>
      </c>
      <c r="E158" s="166">
        <f t="shared" si="8"/>
        <v>68001500</v>
      </c>
      <c r="F158" s="166">
        <f>F159+F161+F163+F165+F167+F169+F171</f>
        <v>68001500</v>
      </c>
      <c r="G158" s="166">
        <f>G159+G161+G163+G165+G167+G169+G171</f>
        <v>0</v>
      </c>
      <c r="H158" s="166">
        <f>H159+H161+H163+H165+H167+H169+H171</f>
        <v>0</v>
      </c>
      <c r="I158" s="166">
        <f>I159+I161+I163+I165+I167+I169+I171</f>
        <v>0</v>
      </c>
      <c r="J158" s="166">
        <f t="shared" si="10"/>
        <v>0</v>
      </c>
      <c r="K158" s="166"/>
      <c r="L158" s="166">
        <f>L159+L161+L163+L165+L167+L169+L171</f>
        <v>0</v>
      </c>
      <c r="M158" s="166">
        <f>M159+M161+M163+M165+M167+M169+M171</f>
        <v>0</v>
      </c>
      <c r="N158" s="166">
        <f>N159+N161+N163+N165+N167+N169+N171</f>
        <v>0</v>
      </c>
      <c r="O158" s="166">
        <f>O159+O161+O163+O165+O167+O169+O171</f>
        <v>0</v>
      </c>
      <c r="P158" s="167">
        <f t="shared" si="9"/>
        <v>68001500</v>
      </c>
      <c r="Q158" s="223"/>
      <c r="R158" s="122"/>
      <c r="S158" s="122"/>
      <c r="T158" s="122"/>
    </row>
    <row r="159" spans="1:20" s="26" customFormat="1" ht="15">
      <c r="A159" s="75" t="s">
        <v>646</v>
      </c>
      <c r="B159" s="76" t="s">
        <v>647</v>
      </c>
      <c r="C159" s="75" t="s">
        <v>483</v>
      </c>
      <c r="D159" s="7" t="s">
        <v>648</v>
      </c>
      <c r="E159" s="153">
        <f t="shared" si="8"/>
        <v>778100</v>
      </c>
      <c r="F159" s="154">
        <f>F160</f>
        <v>778100</v>
      </c>
      <c r="G159" s="154">
        <v>0</v>
      </c>
      <c r="H159" s="154">
        <v>0</v>
      </c>
      <c r="I159" s="154">
        <v>0</v>
      </c>
      <c r="J159" s="155">
        <f t="shared" si="10"/>
        <v>0</v>
      </c>
      <c r="K159" s="159"/>
      <c r="L159" s="154">
        <v>0</v>
      </c>
      <c r="M159" s="154">
        <v>0</v>
      </c>
      <c r="N159" s="154">
        <v>0</v>
      </c>
      <c r="O159" s="154">
        <v>0</v>
      </c>
      <c r="P159" s="157">
        <f t="shared" si="9"/>
        <v>778100</v>
      </c>
      <c r="Q159" s="223"/>
      <c r="R159" s="120">
        <f>F159+F161+F163+F165+F167+F169+F171+F174+F176+F178+F182+F184+F180</f>
        <v>92563420</v>
      </c>
      <c r="S159" s="115"/>
      <c r="T159" s="115"/>
    </row>
    <row r="160" spans="1:20" s="26" customFormat="1" ht="209.25" customHeight="1">
      <c r="A160" s="75"/>
      <c r="B160" s="76"/>
      <c r="C160" s="75"/>
      <c r="D160" s="18" t="s">
        <v>296</v>
      </c>
      <c r="E160" s="153">
        <f t="shared" si="8"/>
        <v>778100</v>
      </c>
      <c r="F160" s="154">
        <v>778100</v>
      </c>
      <c r="G160" s="154"/>
      <c r="H160" s="154"/>
      <c r="I160" s="154"/>
      <c r="J160" s="155">
        <f t="shared" si="10"/>
        <v>0</v>
      </c>
      <c r="K160" s="159"/>
      <c r="L160" s="154"/>
      <c r="M160" s="154"/>
      <c r="N160" s="154"/>
      <c r="O160" s="154"/>
      <c r="P160" s="157">
        <f t="shared" si="9"/>
        <v>778100</v>
      </c>
      <c r="Q160" s="223"/>
      <c r="R160" s="115"/>
      <c r="S160" s="115"/>
      <c r="T160" s="115"/>
    </row>
    <row r="161" spans="1:20" s="26" customFormat="1" ht="28.5" customHeight="1">
      <c r="A161" s="68" t="s">
        <v>265</v>
      </c>
      <c r="B161" s="76">
        <v>3042</v>
      </c>
      <c r="C161" s="75">
        <v>1040</v>
      </c>
      <c r="D161" s="19" t="s">
        <v>663</v>
      </c>
      <c r="E161" s="153">
        <f>F161+I161</f>
        <v>185700</v>
      </c>
      <c r="F161" s="154">
        <f>F162</f>
        <v>185700</v>
      </c>
      <c r="G161" s="154">
        <f>G162</f>
        <v>0</v>
      </c>
      <c r="H161" s="154">
        <f>H162</f>
        <v>0</v>
      </c>
      <c r="I161" s="154">
        <f>I162</f>
        <v>0</v>
      </c>
      <c r="J161" s="155">
        <f t="shared" si="10"/>
        <v>0</v>
      </c>
      <c r="K161" s="159"/>
      <c r="L161" s="154">
        <f>L162</f>
        <v>0</v>
      </c>
      <c r="M161" s="154">
        <f>M162</f>
        <v>0</v>
      </c>
      <c r="N161" s="154">
        <f>N162</f>
        <v>0</v>
      </c>
      <c r="O161" s="154">
        <f>O162</f>
        <v>0</v>
      </c>
      <c r="P161" s="157">
        <f t="shared" si="9"/>
        <v>185700</v>
      </c>
      <c r="Q161" s="223"/>
      <c r="R161" s="115"/>
      <c r="S161" s="115"/>
      <c r="T161" s="115"/>
    </row>
    <row r="162" spans="1:20" s="26" customFormat="1" ht="209.25" customHeight="1">
      <c r="A162" s="75"/>
      <c r="B162" s="76"/>
      <c r="C162" s="75"/>
      <c r="D162" s="18" t="s">
        <v>296</v>
      </c>
      <c r="E162" s="153">
        <f>F162+I162</f>
        <v>185700</v>
      </c>
      <c r="F162" s="154">
        <v>185700</v>
      </c>
      <c r="G162" s="154"/>
      <c r="H162" s="154"/>
      <c r="I162" s="154"/>
      <c r="J162" s="155">
        <f t="shared" si="10"/>
        <v>0</v>
      </c>
      <c r="K162" s="159"/>
      <c r="L162" s="154"/>
      <c r="M162" s="154"/>
      <c r="N162" s="154"/>
      <c r="O162" s="154"/>
      <c r="P162" s="157">
        <f t="shared" si="9"/>
        <v>185700</v>
      </c>
      <c r="Q162" s="223"/>
      <c r="R162" s="115"/>
      <c r="S162" s="115"/>
      <c r="T162" s="115"/>
    </row>
    <row r="163" spans="1:20" s="26" customFormat="1" ht="19.5" customHeight="1">
      <c r="A163" s="75" t="s">
        <v>649</v>
      </c>
      <c r="B163" s="76" t="s">
        <v>650</v>
      </c>
      <c r="C163" s="75" t="s">
        <v>483</v>
      </c>
      <c r="D163" s="7" t="s">
        <v>651</v>
      </c>
      <c r="E163" s="153">
        <f t="shared" si="8"/>
        <v>30449100</v>
      </c>
      <c r="F163" s="154">
        <f>F164</f>
        <v>30449100</v>
      </c>
      <c r="G163" s="154">
        <f>G164</f>
        <v>0</v>
      </c>
      <c r="H163" s="154">
        <f>H164</f>
        <v>0</v>
      </c>
      <c r="I163" s="154">
        <f>I164</f>
        <v>0</v>
      </c>
      <c r="J163" s="148">
        <f t="shared" si="10"/>
        <v>0</v>
      </c>
      <c r="K163" s="156"/>
      <c r="L163" s="154">
        <v>0</v>
      </c>
      <c r="M163" s="154">
        <v>0</v>
      </c>
      <c r="N163" s="154">
        <v>0</v>
      </c>
      <c r="O163" s="154">
        <v>0</v>
      </c>
      <c r="P163" s="157">
        <f t="shared" si="9"/>
        <v>30449100</v>
      </c>
      <c r="Q163" s="223"/>
      <c r="R163" s="115"/>
      <c r="S163" s="115"/>
      <c r="T163" s="115"/>
    </row>
    <row r="164" spans="1:20" s="26" customFormat="1" ht="132">
      <c r="A164" s="75"/>
      <c r="B164" s="76"/>
      <c r="C164" s="75"/>
      <c r="D164" s="18" t="s">
        <v>296</v>
      </c>
      <c r="E164" s="153">
        <f t="shared" si="8"/>
        <v>30449100</v>
      </c>
      <c r="F164" s="154">
        <v>30449100</v>
      </c>
      <c r="G164" s="154"/>
      <c r="H164" s="154"/>
      <c r="I164" s="154"/>
      <c r="J164" s="155">
        <f t="shared" si="10"/>
        <v>0</v>
      </c>
      <c r="K164" s="159"/>
      <c r="L164" s="154"/>
      <c r="M164" s="154"/>
      <c r="N164" s="154"/>
      <c r="O164" s="154"/>
      <c r="P164" s="157">
        <f t="shared" si="9"/>
        <v>30449100</v>
      </c>
      <c r="Q164" s="223"/>
      <c r="R164" s="115"/>
      <c r="S164" s="115"/>
      <c r="T164" s="115"/>
    </row>
    <row r="165" spans="1:20" s="26" customFormat="1" ht="15">
      <c r="A165" s="75" t="s">
        <v>652</v>
      </c>
      <c r="B165" s="76" t="s">
        <v>653</v>
      </c>
      <c r="C165" s="75" t="s">
        <v>483</v>
      </c>
      <c r="D165" s="7" t="s">
        <v>654</v>
      </c>
      <c r="E165" s="153">
        <f t="shared" si="8"/>
        <v>4940300</v>
      </c>
      <c r="F165" s="154">
        <f>F166</f>
        <v>4940300</v>
      </c>
      <c r="G165" s="154">
        <v>0</v>
      </c>
      <c r="H165" s="154">
        <v>0</v>
      </c>
      <c r="I165" s="154">
        <v>0</v>
      </c>
      <c r="J165" s="155">
        <f t="shared" si="10"/>
        <v>0</v>
      </c>
      <c r="K165" s="159"/>
      <c r="L165" s="154">
        <v>0</v>
      </c>
      <c r="M165" s="154">
        <v>0</v>
      </c>
      <c r="N165" s="154">
        <v>0</v>
      </c>
      <c r="O165" s="154">
        <v>0</v>
      </c>
      <c r="P165" s="157">
        <f t="shared" si="9"/>
        <v>4940300</v>
      </c>
      <c r="Q165" s="223"/>
      <c r="R165" s="115"/>
      <c r="S165" s="115"/>
      <c r="T165" s="115"/>
    </row>
    <row r="166" spans="1:20" s="26" customFormat="1" ht="226.5" customHeight="1">
      <c r="A166" s="75"/>
      <c r="B166" s="76"/>
      <c r="C166" s="75"/>
      <c r="D166" s="18" t="s">
        <v>296</v>
      </c>
      <c r="E166" s="153">
        <f t="shared" si="8"/>
        <v>4940300</v>
      </c>
      <c r="F166" s="154">
        <v>4940300</v>
      </c>
      <c r="G166" s="154"/>
      <c r="H166" s="154"/>
      <c r="I166" s="154"/>
      <c r="J166" s="155">
        <f t="shared" si="10"/>
        <v>0</v>
      </c>
      <c r="K166" s="159"/>
      <c r="L166" s="154"/>
      <c r="M166" s="154"/>
      <c r="N166" s="154"/>
      <c r="O166" s="154"/>
      <c r="P166" s="157">
        <f t="shared" si="9"/>
        <v>4940300</v>
      </c>
      <c r="Q166" s="223"/>
      <c r="R166" s="115"/>
      <c r="S166" s="115"/>
      <c r="T166" s="115"/>
    </row>
    <row r="167" spans="1:20" s="26" customFormat="1" ht="15">
      <c r="A167" s="75" t="s">
        <v>655</v>
      </c>
      <c r="B167" s="76" t="s">
        <v>656</v>
      </c>
      <c r="C167" s="75" t="s">
        <v>483</v>
      </c>
      <c r="D167" s="7" t="s">
        <v>657</v>
      </c>
      <c r="E167" s="153">
        <f t="shared" si="8"/>
        <v>15930000</v>
      </c>
      <c r="F167" s="154">
        <f>F168</f>
        <v>15930000</v>
      </c>
      <c r="G167" s="154">
        <f>G168</f>
        <v>0</v>
      </c>
      <c r="H167" s="154">
        <f>H168</f>
        <v>0</v>
      </c>
      <c r="I167" s="154">
        <f>I168</f>
        <v>0</v>
      </c>
      <c r="J167" s="155">
        <f t="shared" si="10"/>
        <v>0</v>
      </c>
      <c r="K167" s="159"/>
      <c r="L167" s="154">
        <v>0</v>
      </c>
      <c r="M167" s="154">
        <v>0</v>
      </c>
      <c r="N167" s="154">
        <v>0</v>
      </c>
      <c r="O167" s="154">
        <v>0</v>
      </c>
      <c r="P167" s="157">
        <f t="shared" si="9"/>
        <v>15930000</v>
      </c>
      <c r="Q167" s="223"/>
      <c r="R167" s="115"/>
      <c r="S167" s="115"/>
      <c r="T167" s="115"/>
    </row>
    <row r="168" spans="1:20" s="26" customFormat="1" ht="132">
      <c r="A168" s="75"/>
      <c r="B168" s="76"/>
      <c r="C168" s="75"/>
      <c r="D168" s="18" t="s">
        <v>296</v>
      </c>
      <c r="E168" s="153">
        <f t="shared" si="8"/>
        <v>15930000</v>
      </c>
      <c r="F168" s="154">
        <v>15930000</v>
      </c>
      <c r="G168" s="154"/>
      <c r="H168" s="154"/>
      <c r="I168" s="154"/>
      <c r="J168" s="155">
        <f t="shared" si="10"/>
        <v>0</v>
      </c>
      <c r="K168" s="159"/>
      <c r="L168" s="154"/>
      <c r="M168" s="154"/>
      <c r="N168" s="154"/>
      <c r="O168" s="154"/>
      <c r="P168" s="157">
        <f t="shared" si="9"/>
        <v>15930000</v>
      </c>
      <c r="Q168" s="223"/>
      <c r="R168" s="115"/>
      <c r="S168" s="115"/>
      <c r="T168" s="115"/>
    </row>
    <row r="169" spans="1:20" s="26" customFormat="1" ht="15">
      <c r="A169" s="75" t="s">
        <v>658</v>
      </c>
      <c r="B169" s="76" t="s">
        <v>659</v>
      </c>
      <c r="C169" s="75" t="s">
        <v>483</v>
      </c>
      <c r="D169" s="7" t="s">
        <v>660</v>
      </c>
      <c r="E169" s="153">
        <f t="shared" si="8"/>
        <v>249500</v>
      </c>
      <c r="F169" s="154">
        <f>F170</f>
        <v>249500</v>
      </c>
      <c r="G169" s="154">
        <v>0</v>
      </c>
      <c r="H169" s="154">
        <v>0</v>
      </c>
      <c r="I169" s="154">
        <v>0</v>
      </c>
      <c r="J169" s="155">
        <f t="shared" si="10"/>
        <v>0</v>
      </c>
      <c r="K169" s="159"/>
      <c r="L169" s="154">
        <v>0</v>
      </c>
      <c r="M169" s="154">
        <v>0</v>
      </c>
      <c r="N169" s="154">
        <v>0</v>
      </c>
      <c r="O169" s="154">
        <v>0</v>
      </c>
      <c r="P169" s="157">
        <f t="shared" si="9"/>
        <v>249500</v>
      </c>
      <c r="Q169" s="223"/>
      <c r="R169" s="115"/>
      <c r="S169" s="115"/>
      <c r="T169" s="115"/>
    </row>
    <row r="170" spans="1:20" s="26" customFormat="1" ht="227.25" customHeight="1">
      <c r="A170" s="75"/>
      <c r="B170" s="76"/>
      <c r="C170" s="75"/>
      <c r="D170" s="18" t="s">
        <v>296</v>
      </c>
      <c r="E170" s="153">
        <f t="shared" si="8"/>
        <v>249500</v>
      </c>
      <c r="F170" s="154">
        <v>249500</v>
      </c>
      <c r="G170" s="154"/>
      <c r="H170" s="154"/>
      <c r="I170" s="154"/>
      <c r="J170" s="155">
        <f t="shared" si="10"/>
        <v>0</v>
      </c>
      <c r="K170" s="159"/>
      <c r="L170" s="154"/>
      <c r="M170" s="154"/>
      <c r="N170" s="154"/>
      <c r="O170" s="154"/>
      <c r="P170" s="157">
        <f t="shared" si="9"/>
        <v>249500</v>
      </c>
      <c r="Q170" s="223"/>
      <c r="R170" s="115"/>
      <c r="S170" s="115"/>
      <c r="T170" s="115"/>
    </row>
    <row r="171" spans="1:20" s="26" customFormat="1" ht="29.25" customHeight="1">
      <c r="A171" s="75" t="s">
        <v>661</v>
      </c>
      <c r="B171" s="76" t="s">
        <v>662</v>
      </c>
      <c r="C171" s="75" t="s">
        <v>483</v>
      </c>
      <c r="D171" s="7" t="s">
        <v>266</v>
      </c>
      <c r="E171" s="153">
        <f t="shared" si="8"/>
        <v>15468800</v>
      </c>
      <c r="F171" s="154">
        <f>F172</f>
        <v>15468800</v>
      </c>
      <c r="G171" s="154">
        <v>0</v>
      </c>
      <c r="H171" s="154">
        <v>0</v>
      </c>
      <c r="I171" s="154">
        <v>0</v>
      </c>
      <c r="J171" s="155">
        <f t="shared" si="10"/>
        <v>0</v>
      </c>
      <c r="K171" s="159"/>
      <c r="L171" s="154">
        <v>0</v>
      </c>
      <c r="M171" s="154">
        <v>0</v>
      </c>
      <c r="N171" s="154">
        <v>0</v>
      </c>
      <c r="O171" s="154">
        <v>0</v>
      </c>
      <c r="P171" s="157">
        <f t="shared" si="9"/>
        <v>15468800</v>
      </c>
      <c r="Q171" s="223"/>
      <c r="R171" s="115"/>
      <c r="S171" s="115"/>
      <c r="T171" s="115"/>
    </row>
    <row r="172" spans="1:20" s="26" customFormat="1" ht="211.5" customHeight="1">
      <c r="A172" s="91"/>
      <c r="B172" s="92"/>
      <c r="C172" s="91"/>
      <c r="D172" s="18" t="s">
        <v>296</v>
      </c>
      <c r="E172" s="177">
        <f t="shared" si="8"/>
        <v>15468800</v>
      </c>
      <c r="F172" s="178">
        <f>15745400-276600</f>
        <v>15468800</v>
      </c>
      <c r="G172" s="178"/>
      <c r="H172" s="178"/>
      <c r="I172" s="178"/>
      <c r="J172" s="155">
        <f t="shared" si="10"/>
        <v>0</v>
      </c>
      <c r="K172" s="179"/>
      <c r="L172" s="178"/>
      <c r="M172" s="178"/>
      <c r="N172" s="178"/>
      <c r="O172" s="178"/>
      <c r="P172" s="180">
        <f t="shared" si="9"/>
        <v>15468800</v>
      </c>
      <c r="Q172" s="223"/>
      <c r="R172" s="115"/>
      <c r="S172" s="115"/>
      <c r="T172" s="115"/>
    </row>
    <row r="173" spans="1:21" s="43" customFormat="1" ht="135.75" customHeight="1" hidden="1">
      <c r="A173" s="75" t="s">
        <v>664</v>
      </c>
      <c r="B173" s="76" t="s">
        <v>665</v>
      </c>
      <c r="C173" s="75"/>
      <c r="D173" s="42" t="s">
        <v>267</v>
      </c>
      <c r="E173" s="153">
        <f t="shared" si="8"/>
        <v>24561920</v>
      </c>
      <c r="F173" s="154">
        <f>F174+F176+F178+F180+F182+F184</f>
        <v>24561920</v>
      </c>
      <c r="G173" s="154">
        <f>G174+G176+G178+G180+G182</f>
        <v>0</v>
      </c>
      <c r="H173" s="154">
        <f>H174+H176+H178+H180+H182</f>
        <v>0</v>
      </c>
      <c r="I173" s="154">
        <f>I174+I176+I178+I180+I182</f>
        <v>0</v>
      </c>
      <c r="J173" s="155">
        <f t="shared" si="10"/>
        <v>0</v>
      </c>
      <c r="K173" s="159"/>
      <c r="L173" s="154">
        <f>L174+L176+L178+L180+L182</f>
        <v>0</v>
      </c>
      <c r="M173" s="154">
        <f>M174+M176+M178+M180+M182</f>
        <v>0</v>
      </c>
      <c r="N173" s="154">
        <f>N174+N176+N178+N180+N182</f>
        <v>0</v>
      </c>
      <c r="O173" s="154">
        <f>O174+O176+O178+O180+O182</f>
        <v>0</v>
      </c>
      <c r="P173" s="157">
        <f t="shared" si="9"/>
        <v>24561920</v>
      </c>
      <c r="Q173" s="223"/>
      <c r="R173" s="115"/>
      <c r="S173" s="115"/>
      <c r="T173" s="115"/>
      <c r="U173" s="112"/>
    </row>
    <row r="174" spans="1:21" s="43" customFormat="1" ht="48" customHeight="1">
      <c r="A174" s="75" t="s">
        <v>268</v>
      </c>
      <c r="B174" s="76">
        <v>3081</v>
      </c>
      <c r="C174" s="68" t="s">
        <v>475</v>
      </c>
      <c r="D174" s="19" t="s">
        <v>269</v>
      </c>
      <c r="E174" s="153">
        <f t="shared" si="8"/>
        <v>15562700</v>
      </c>
      <c r="F174" s="154">
        <f>F175</f>
        <v>15562700</v>
      </c>
      <c r="G174" s="154">
        <f>G175</f>
        <v>0</v>
      </c>
      <c r="H174" s="154">
        <f>H175</f>
        <v>0</v>
      </c>
      <c r="I174" s="154">
        <f>I175</f>
        <v>0</v>
      </c>
      <c r="J174" s="155">
        <f t="shared" si="10"/>
        <v>0</v>
      </c>
      <c r="K174" s="159"/>
      <c r="L174" s="154">
        <f>L175</f>
        <v>0</v>
      </c>
      <c r="M174" s="154">
        <f>M175</f>
        <v>0</v>
      </c>
      <c r="N174" s="154">
        <f>N175</f>
        <v>0</v>
      </c>
      <c r="O174" s="154">
        <f>O175</f>
        <v>0</v>
      </c>
      <c r="P174" s="157">
        <f aca="true" t="shared" si="12" ref="P174:P185">J174+E174</f>
        <v>15562700</v>
      </c>
      <c r="Q174" s="223"/>
      <c r="R174" s="115"/>
      <c r="S174" s="115"/>
      <c r="T174" s="115"/>
      <c r="U174" s="112"/>
    </row>
    <row r="175" spans="1:20" s="26" customFormat="1" ht="204.75" customHeight="1">
      <c r="A175" s="93"/>
      <c r="B175" s="94"/>
      <c r="C175" s="93"/>
      <c r="D175" s="18" t="s">
        <v>296</v>
      </c>
      <c r="E175" s="153">
        <f t="shared" si="8"/>
        <v>15562700</v>
      </c>
      <c r="F175" s="181">
        <v>15562700</v>
      </c>
      <c r="G175" s="181"/>
      <c r="H175" s="181"/>
      <c r="I175" s="181"/>
      <c r="J175" s="155">
        <f t="shared" si="10"/>
        <v>0</v>
      </c>
      <c r="K175" s="182"/>
      <c r="L175" s="181"/>
      <c r="M175" s="181"/>
      <c r="N175" s="181"/>
      <c r="O175" s="181"/>
      <c r="P175" s="157">
        <f t="shared" si="12"/>
        <v>15562700</v>
      </c>
      <c r="Q175" s="223"/>
      <c r="R175" s="115"/>
      <c r="S175" s="115"/>
      <c r="T175" s="115"/>
    </row>
    <row r="176" spans="1:21" s="43" customFormat="1" ht="54.75" customHeight="1">
      <c r="A176" s="75" t="s">
        <v>270</v>
      </c>
      <c r="B176" s="76">
        <v>3082</v>
      </c>
      <c r="C176" s="68" t="s">
        <v>475</v>
      </c>
      <c r="D176" s="19" t="s">
        <v>278</v>
      </c>
      <c r="E176" s="153">
        <f t="shared" si="8"/>
        <v>4059400</v>
      </c>
      <c r="F176" s="154">
        <f>F177</f>
        <v>4059400</v>
      </c>
      <c r="G176" s="154">
        <f>G177</f>
        <v>0</v>
      </c>
      <c r="H176" s="154">
        <f>H177</f>
        <v>0</v>
      </c>
      <c r="I176" s="154">
        <f>I177</f>
        <v>0</v>
      </c>
      <c r="J176" s="155">
        <f t="shared" si="10"/>
        <v>0</v>
      </c>
      <c r="K176" s="159"/>
      <c r="L176" s="154">
        <f>L177</f>
        <v>0</v>
      </c>
      <c r="M176" s="154">
        <f>M177</f>
        <v>0</v>
      </c>
      <c r="N176" s="154">
        <f>N177</f>
        <v>0</v>
      </c>
      <c r="O176" s="154">
        <f>O177</f>
        <v>0</v>
      </c>
      <c r="P176" s="183">
        <f t="shared" si="12"/>
        <v>4059400</v>
      </c>
      <c r="Q176" s="223"/>
      <c r="R176" s="115"/>
      <c r="S176" s="115"/>
      <c r="T176" s="115"/>
      <c r="U176" s="112"/>
    </row>
    <row r="177" spans="1:20" s="26" customFormat="1" ht="189" customHeight="1">
      <c r="A177" s="93"/>
      <c r="B177" s="94"/>
      <c r="C177" s="93"/>
      <c r="D177" s="18" t="s">
        <v>296</v>
      </c>
      <c r="E177" s="153">
        <f t="shared" si="8"/>
        <v>4059400</v>
      </c>
      <c r="F177" s="181">
        <v>4059400</v>
      </c>
      <c r="G177" s="181"/>
      <c r="H177" s="181"/>
      <c r="I177" s="181"/>
      <c r="J177" s="155">
        <f t="shared" si="10"/>
        <v>0</v>
      </c>
      <c r="K177" s="182"/>
      <c r="L177" s="181"/>
      <c r="M177" s="181"/>
      <c r="N177" s="181"/>
      <c r="O177" s="181"/>
      <c r="P177" s="184">
        <f t="shared" si="12"/>
        <v>4059400</v>
      </c>
      <c r="Q177" s="223"/>
      <c r="R177" s="115"/>
      <c r="S177" s="115"/>
      <c r="T177" s="115"/>
    </row>
    <row r="178" spans="1:21" s="43" customFormat="1" ht="45" customHeight="1">
      <c r="A178" s="75" t="s">
        <v>279</v>
      </c>
      <c r="B178" s="76">
        <v>3083</v>
      </c>
      <c r="C178" s="68" t="s">
        <v>475</v>
      </c>
      <c r="D178" s="19" t="s">
        <v>280</v>
      </c>
      <c r="E178" s="153">
        <f t="shared" si="8"/>
        <v>4343200</v>
      </c>
      <c r="F178" s="154">
        <f>F179</f>
        <v>4343200</v>
      </c>
      <c r="G178" s="154">
        <f>G179</f>
        <v>0</v>
      </c>
      <c r="H178" s="154">
        <f>H179</f>
        <v>0</v>
      </c>
      <c r="I178" s="154">
        <f>I179</f>
        <v>0</v>
      </c>
      <c r="J178" s="155">
        <f t="shared" si="10"/>
        <v>0</v>
      </c>
      <c r="K178" s="159"/>
      <c r="L178" s="154">
        <f>L179</f>
        <v>0</v>
      </c>
      <c r="M178" s="154">
        <f>M179</f>
        <v>0</v>
      </c>
      <c r="N178" s="154">
        <f>N179</f>
        <v>0</v>
      </c>
      <c r="O178" s="154">
        <f>O179</f>
        <v>0</v>
      </c>
      <c r="P178" s="157">
        <f t="shared" si="12"/>
        <v>4343200</v>
      </c>
      <c r="Q178" s="223"/>
      <c r="R178" s="115"/>
      <c r="S178" s="115"/>
      <c r="T178" s="115"/>
      <c r="U178" s="112"/>
    </row>
    <row r="179" spans="1:20" s="26" customFormat="1" ht="207.75" customHeight="1">
      <c r="A179" s="93"/>
      <c r="B179" s="94"/>
      <c r="C179" s="93"/>
      <c r="D179" s="18" t="s">
        <v>296</v>
      </c>
      <c r="E179" s="153">
        <f t="shared" si="8"/>
        <v>4343200</v>
      </c>
      <c r="F179" s="181">
        <v>4343200</v>
      </c>
      <c r="G179" s="181"/>
      <c r="H179" s="181"/>
      <c r="I179" s="181"/>
      <c r="J179" s="155">
        <f t="shared" si="10"/>
        <v>0</v>
      </c>
      <c r="K179" s="182"/>
      <c r="L179" s="181"/>
      <c r="M179" s="181"/>
      <c r="N179" s="181"/>
      <c r="O179" s="181"/>
      <c r="P179" s="183">
        <f t="shared" si="12"/>
        <v>4343200</v>
      </c>
      <c r="Q179" s="223"/>
      <c r="R179" s="115"/>
      <c r="S179" s="115"/>
      <c r="T179" s="115"/>
    </row>
    <row r="180" spans="1:21" s="43" customFormat="1" ht="52.5" customHeight="1">
      <c r="A180" s="75" t="s">
        <v>281</v>
      </c>
      <c r="B180" s="76">
        <v>3084</v>
      </c>
      <c r="C180" s="68" t="s">
        <v>483</v>
      </c>
      <c r="D180" s="19" t="s">
        <v>282</v>
      </c>
      <c r="E180" s="153">
        <f t="shared" si="8"/>
        <v>309800</v>
      </c>
      <c r="F180" s="154">
        <f>F181</f>
        <v>309800</v>
      </c>
      <c r="G180" s="154">
        <f>G181</f>
        <v>0</v>
      </c>
      <c r="H180" s="154">
        <f>H181</f>
        <v>0</v>
      </c>
      <c r="I180" s="154">
        <f>I181</f>
        <v>0</v>
      </c>
      <c r="J180" s="155">
        <f t="shared" si="10"/>
        <v>0</v>
      </c>
      <c r="K180" s="156"/>
      <c r="L180" s="154">
        <f>L181</f>
        <v>0</v>
      </c>
      <c r="M180" s="154">
        <f>M181</f>
        <v>0</v>
      </c>
      <c r="N180" s="154">
        <f>N181</f>
        <v>0</v>
      </c>
      <c r="O180" s="154">
        <f>O181</f>
        <v>0</v>
      </c>
      <c r="P180" s="157">
        <f t="shared" si="12"/>
        <v>309800</v>
      </c>
      <c r="Q180" s="223"/>
      <c r="R180" s="115"/>
      <c r="S180" s="115"/>
      <c r="T180" s="115"/>
      <c r="U180" s="112"/>
    </row>
    <row r="181" spans="1:20" s="26" customFormat="1" ht="187.5" customHeight="1">
      <c r="A181" s="93"/>
      <c r="B181" s="94"/>
      <c r="C181" s="93"/>
      <c r="D181" s="18" t="s">
        <v>296</v>
      </c>
      <c r="E181" s="153">
        <f t="shared" si="8"/>
        <v>309800</v>
      </c>
      <c r="F181" s="181">
        <v>309800</v>
      </c>
      <c r="G181" s="181"/>
      <c r="H181" s="181"/>
      <c r="I181" s="181"/>
      <c r="J181" s="155">
        <f t="shared" si="10"/>
        <v>0</v>
      </c>
      <c r="K181" s="182"/>
      <c r="L181" s="181"/>
      <c r="M181" s="181"/>
      <c r="N181" s="181"/>
      <c r="O181" s="181"/>
      <c r="P181" s="183">
        <f t="shared" si="12"/>
        <v>309800</v>
      </c>
      <c r="Q181" s="223"/>
      <c r="R181" s="115"/>
      <c r="S181" s="115"/>
      <c r="T181" s="115"/>
    </row>
    <row r="182" spans="1:21" s="43" customFormat="1" ht="54" customHeight="1">
      <c r="A182" s="75" t="s">
        <v>283</v>
      </c>
      <c r="B182" s="76">
        <v>3085</v>
      </c>
      <c r="C182" s="68" t="s">
        <v>475</v>
      </c>
      <c r="D182" s="19" t="s">
        <v>284</v>
      </c>
      <c r="E182" s="153">
        <f t="shared" si="8"/>
        <v>10220</v>
      </c>
      <c r="F182" s="154">
        <f>F183</f>
        <v>10220</v>
      </c>
      <c r="G182" s="154">
        <f>G185</f>
        <v>0</v>
      </c>
      <c r="H182" s="154">
        <f>H185</f>
        <v>0</v>
      </c>
      <c r="I182" s="154">
        <f>I185</f>
        <v>0</v>
      </c>
      <c r="J182" s="155">
        <f t="shared" si="10"/>
        <v>0</v>
      </c>
      <c r="K182" s="159"/>
      <c r="L182" s="154">
        <f>L185</f>
        <v>0</v>
      </c>
      <c r="M182" s="154">
        <f>M185</f>
        <v>0</v>
      </c>
      <c r="N182" s="154">
        <f>N185</f>
        <v>0</v>
      </c>
      <c r="O182" s="154">
        <f>O185</f>
        <v>0</v>
      </c>
      <c r="P182" s="157">
        <f t="shared" si="12"/>
        <v>10220</v>
      </c>
      <c r="Q182" s="223"/>
      <c r="R182" s="115"/>
      <c r="S182" s="115"/>
      <c r="T182" s="115"/>
      <c r="U182" s="112"/>
    </row>
    <row r="183" spans="1:21" s="44" customFormat="1" ht="139.5" customHeight="1">
      <c r="A183" s="91"/>
      <c r="B183" s="92"/>
      <c r="C183" s="273"/>
      <c r="D183" s="19" t="s">
        <v>296</v>
      </c>
      <c r="E183" s="153">
        <f t="shared" si="8"/>
        <v>10220</v>
      </c>
      <c r="F183" s="178">
        <v>10220</v>
      </c>
      <c r="G183" s="178"/>
      <c r="H183" s="178"/>
      <c r="I183" s="178"/>
      <c r="J183" s="155">
        <f t="shared" si="10"/>
        <v>0</v>
      </c>
      <c r="K183" s="179"/>
      <c r="L183" s="178"/>
      <c r="M183" s="178"/>
      <c r="N183" s="178"/>
      <c r="O183" s="178"/>
      <c r="P183" s="157">
        <f t="shared" si="12"/>
        <v>10220</v>
      </c>
      <c r="Q183" s="223"/>
      <c r="R183" s="115"/>
      <c r="S183" s="115"/>
      <c r="T183" s="115"/>
      <c r="U183" s="113"/>
    </row>
    <row r="184" spans="1:21" s="44" customFormat="1" ht="108.75" customHeight="1">
      <c r="A184" s="274" t="s">
        <v>205</v>
      </c>
      <c r="B184" s="275">
        <v>3086</v>
      </c>
      <c r="C184" s="276" t="s">
        <v>483</v>
      </c>
      <c r="D184" s="277" t="s">
        <v>207</v>
      </c>
      <c r="E184" s="153">
        <f t="shared" si="8"/>
        <v>276600</v>
      </c>
      <c r="F184" s="178">
        <f>F185</f>
        <v>276600</v>
      </c>
      <c r="G184" s="178"/>
      <c r="H184" s="178"/>
      <c r="I184" s="178"/>
      <c r="J184" s="155">
        <f t="shared" si="10"/>
        <v>0</v>
      </c>
      <c r="K184" s="179"/>
      <c r="L184" s="178"/>
      <c r="M184" s="178"/>
      <c r="N184" s="178"/>
      <c r="O184" s="178"/>
      <c r="P184" s="157">
        <f t="shared" si="12"/>
        <v>276600</v>
      </c>
      <c r="Q184" s="223"/>
      <c r="R184" s="115"/>
      <c r="S184" s="115"/>
      <c r="T184" s="115"/>
      <c r="U184" s="113"/>
    </row>
    <row r="185" spans="1:21" s="44" customFormat="1" ht="146.25" customHeight="1">
      <c r="A185" s="91"/>
      <c r="B185" s="92"/>
      <c r="C185" s="91"/>
      <c r="D185" s="19" t="s">
        <v>296</v>
      </c>
      <c r="E185" s="177">
        <f t="shared" si="8"/>
        <v>276600</v>
      </c>
      <c r="F185" s="178">
        <v>276600</v>
      </c>
      <c r="G185" s="178"/>
      <c r="H185" s="178"/>
      <c r="I185" s="178"/>
      <c r="J185" s="155">
        <f t="shared" si="10"/>
        <v>0</v>
      </c>
      <c r="K185" s="185"/>
      <c r="L185" s="178"/>
      <c r="M185" s="178"/>
      <c r="N185" s="178"/>
      <c r="O185" s="178"/>
      <c r="P185" s="180">
        <f t="shared" si="12"/>
        <v>276600</v>
      </c>
      <c r="Q185" s="223"/>
      <c r="R185" s="115"/>
      <c r="S185" s="115"/>
      <c r="T185" s="115"/>
      <c r="U185" s="113"/>
    </row>
    <row r="186" spans="1:21" s="45" customFormat="1" ht="51" customHeight="1" hidden="1">
      <c r="A186" s="81" t="s">
        <v>666</v>
      </c>
      <c r="B186" s="82" t="s">
        <v>667</v>
      </c>
      <c r="C186" s="83"/>
      <c r="D186" s="38" t="s">
        <v>285</v>
      </c>
      <c r="E186" s="166">
        <f t="shared" si="8"/>
        <v>7941130</v>
      </c>
      <c r="F186" s="166">
        <f>F187</f>
        <v>7941130</v>
      </c>
      <c r="G186" s="166">
        <f>G187</f>
        <v>5087370</v>
      </c>
      <c r="H186" s="166">
        <f>H187</f>
        <v>1189558</v>
      </c>
      <c r="I186" s="166">
        <f>I187</f>
        <v>0</v>
      </c>
      <c r="J186" s="166">
        <f t="shared" si="10"/>
        <v>114000</v>
      </c>
      <c r="K186" s="166"/>
      <c r="L186" s="166">
        <f>L187</f>
        <v>114000</v>
      </c>
      <c r="M186" s="166">
        <f>M187</f>
        <v>30000</v>
      </c>
      <c r="N186" s="166">
        <f>N187</f>
        <v>0</v>
      </c>
      <c r="O186" s="166">
        <f>O187</f>
        <v>0</v>
      </c>
      <c r="P186" s="167">
        <f t="shared" si="9"/>
        <v>8055130</v>
      </c>
      <c r="Q186" s="223"/>
      <c r="R186" s="122"/>
      <c r="S186" s="122"/>
      <c r="T186" s="122"/>
      <c r="U186" s="114"/>
    </row>
    <row r="187" spans="1:21" s="43" customFormat="1" ht="55.5" customHeight="1">
      <c r="A187" s="75" t="s">
        <v>668</v>
      </c>
      <c r="B187" s="76" t="s">
        <v>669</v>
      </c>
      <c r="C187" s="75" t="s">
        <v>479</v>
      </c>
      <c r="D187" s="19" t="s">
        <v>286</v>
      </c>
      <c r="E187" s="153">
        <f t="shared" si="8"/>
        <v>7941130</v>
      </c>
      <c r="F187" s="154">
        <v>7941130</v>
      </c>
      <c r="G187" s="154">
        <v>5087370</v>
      </c>
      <c r="H187" s="154">
        <f>1188730+828</f>
        <v>1189558</v>
      </c>
      <c r="I187" s="154"/>
      <c r="J187" s="155">
        <f t="shared" si="10"/>
        <v>114000</v>
      </c>
      <c r="K187" s="159"/>
      <c r="L187" s="154">
        <v>114000</v>
      </c>
      <c r="M187" s="154">
        <v>30000</v>
      </c>
      <c r="N187" s="154">
        <v>0</v>
      </c>
      <c r="O187" s="159">
        <v>0</v>
      </c>
      <c r="P187" s="157">
        <f t="shared" si="9"/>
        <v>8055130</v>
      </c>
      <c r="Q187" s="223"/>
      <c r="R187" s="115"/>
      <c r="S187" s="115"/>
      <c r="T187" s="115"/>
      <c r="U187" s="112"/>
    </row>
    <row r="188" spans="1:21" s="45" customFormat="1" ht="64.5" customHeight="1">
      <c r="A188" s="261" t="s">
        <v>680</v>
      </c>
      <c r="B188" s="262" t="s">
        <v>681</v>
      </c>
      <c r="C188" s="263" t="s">
        <v>475</v>
      </c>
      <c r="D188" s="264" t="s">
        <v>287</v>
      </c>
      <c r="E188" s="155">
        <f t="shared" si="8"/>
        <v>620150</v>
      </c>
      <c r="F188" s="159">
        <v>620150</v>
      </c>
      <c r="G188" s="159">
        <v>0</v>
      </c>
      <c r="H188" s="159">
        <v>0</v>
      </c>
      <c r="I188" s="159">
        <v>0</v>
      </c>
      <c r="J188" s="155">
        <f t="shared" si="10"/>
        <v>0</v>
      </c>
      <c r="K188" s="159"/>
      <c r="L188" s="159">
        <v>0</v>
      </c>
      <c r="M188" s="159">
        <v>0</v>
      </c>
      <c r="N188" s="159">
        <v>0</v>
      </c>
      <c r="O188" s="159">
        <v>0</v>
      </c>
      <c r="P188" s="265">
        <f t="shared" si="9"/>
        <v>620150</v>
      </c>
      <c r="Q188" s="223"/>
      <c r="R188" s="122"/>
      <c r="S188" s="122"/>
      <c r="T188" s="122"/>
      <c r="U188" s="114"/>
    </row>
    <row r="189" spans="1:21" s="43" customFormat="1" ht="58.5" customHeight="1">
      <c r="A189" s="75" t="s">
        <v>1</v>
      </c>
      <c r="B189" s="76" t="s">
        <v>2</v>
      </c>
      <c r="C189" s="75" t="s">
        <v>608</v>
      </c>
      <c r="D189" s="19" t="s">
        <v>288</v>
      </c>
      <c r="E189" s="153">
        <f t="shared" si="8"/>
        <v>385200</v>
      </c>
      <c r="F189" s="154">
        <v>385200</v>
      </c>
      <c r="G189" s="154">
        <v>0</v>
      </c>
      <c r="H189" s="154">
        <v>0</v>
      </c>
      <c r="I189" s="154">
        <v>0</v>
      </c>
      <c r="J189" s="155">
        <f t="shared" si="10"/>
        <v>0</v>
      </c>
      <c r="K189" s="159"/>
      <c r="L189" s="154">
        <v>0</v>
      </c>
      <c r="M189" s="154">
        <v>0</v>
      </c>
      <c r="N189" s="154">
        <v>0</v>
      </c>
      <c r="O189" s="154">
        <v>0</v>
      </c>
      <c r="P189" s="157">
        <f t="shared" si="9"/>
        <v>385200</v>
      </c>
      <c r="Q189" s="223"/>
      <c r="R189" s="115"/>
      <c r="S189" s="115"/>
      <c r="T189" s="115"/>
      <c r="U189" s="112"/>
    </row>
    <row r="190" spans="1:20" s="32" customFormat="1" ht="31.5" customHeight="1" hidden="1">
      <c r="A190" s="95" t="s">
        <v>255</v>
      </c>
      <c r="B190" s="96" t="s">
        <v>290</v>
      </c>
      <c r="C190" s="97"/>
      <c r="D190" s="20" t="s">
        <v>3</v>
      </c>
      <c r="E190" s="186">
        <f aca="true" t="shared" si="13" ref="E190:E255">F190+I190</f>
        <v>60000</v>
      </c>
      <c r="F190" s="186">
        <f>F191</f>
        <v>60000</v>
      </c>
      <c r="G190" s="186">
        <f>G191</f>
        <v>0</v>
      </c>
      <c r="H190" s="186">
        <f>H191</f>
        <v>0</v>
      </c>
      <c r="I190" s="186">
        <f>I191</f>
        <v>0</v>
      </c>
      <c r="J190" s="166">
        <f t="shared" si="10"/>
        <v>0</v>
      </c>
      <c r="K190" s="186"/>
      <c r="L190" s="186">
        <f>L191</f>
        <v>0</v>
      </c>
      <c r="M190" s="186">
        <f>M191</f>
        <v>0</v>
      </c>
      <c r="N190" s="186">
        <f>N191</f>
        <v>0</v>
      </c>
      <c r="O190" s="186">
        <f>O191</f>
        <v>0</v>
      </c>
      <c r="P190" s="187">
        <f t="shared" si="9"/>
        <v>60000</v>
      </c>
      <c r="Q190" s="223"/>
      <c r="R190" s="122"/>
      <c r="S190" s="122"/>
      <c r="T190" s="122"/>
    </row>
    <row r="191" spans="1:20" s="26" customFormat="1" ht="45" customHeight="1">
      <c r="A191" s="75" t="s">
        <v>256</v>
      </c>
      <c r="B191" s="76" t="s">
        <v>289</v>
      </c>
      <c r="C191" s="75" t="s">
        <v>613</v>
      </c>
      <c r="D191" s="19" t="s">
        <v>291</v>
      </c>
      <c r="E191" s="153">
        <f>F191+I191</f>
        <v>60000</v>
      </c>
      <c r="F191" s="154">
        <v>60000</v>
      </c>
      <c r="G191" s="154">
        <v>0</v>
      </c>
      <c r="H191" s="154">
        <v>0</v>
      </c>
      <c r="I191" s="154">
        <v>0</v>
      </c>
      <c r="J191" s="155">
        <f t="shared" si="10"/>
        <v>0</v>
      </c>
      <c r="K191" s="159"/>
      <c r="L191" s="154">
        <v>0</v>
      </c>
      <c r="M191" s="154">
        <v>0</v>
      </c>
      <c r="N191" s="154">
        <v>0</v>
      </c>
      <c r="O191" s="154">
        <v>0</v>
      </c>
      <c r="P191" s="157">
        <f>E191+J191</f>
        <v>60000</v>
      </c>
      <c r="Q191" s="223"/>
      <c r="R191" s="115"/>
      <c r="S191" s="115"/>
      <c r="T191" s="115"/>
    </row>
    <row r="192" spans="1:20" s="32" customFormat="1" ht="45" customHeight="1" hidden="1">
      <c r="A192" s="83" t="s">
        <v>374</v>
      </c>
      <c r="B192" s="82">
        <v>3220</v>
      </c>
      <c r="C192" s="81"/>
      <c r="D192" s="38" t="s">
        <v>375</v>
      </c>
      <c r="E192" s="166">
        <f>F192+I192</f>
        <v>0</v>
      </c>
      <c r="F192" s="166">
        <f aca="true" t="shared" si="14" ref="F192:I193">F193</f>
        <v>0</v>
      </c>
      <c r="G192" s="166">
        <f t="shared" si="14"/>
        <v>0</v>
      </c>
      <c r="H192" s="166">
        <f t="shared" si="14"/>
        <v>0</v>
      </c>
      <c r="I192" s="166">
        <f t="shared" si="14"/>
        <v>0</v>
      </c>
      <c r="J192" s="148">
        <f t="shared" si="10"/>
        <v>0</v>
      </c>
      <c r="K192" s="166"/>
      <c r="L192" s="166">
        <f aca="true" t="shared" si="15" ref="L192:O193">L193</f>
        <v>0</v>
      </c>
      <c r="M192" s="166">
        <f t="shared" si="15"/>
        <v>0</v>
      </c>
      <c r="N192" s="166">
        <f t="shared" si="15"/>
        <v>0</v>
      </c>
      <c r="O192" s="166">
        <f t="shared" si="15"/>
        <v>0</v>
      </c>
      <c r="P192" s="167">
        <f>E192+J192</f>
        <v>0</v>
      </c>
      <c r="Q192" s="223"/>
      <c r="R192" s="122"/>
      <c r="S192" s="122"/>
      <c r="T192" s="122"/>
    </row>
    <row r="193" spans="1:20" s="26" customFormat="1" ht="165.75" customHeight="1" hidden="1">
      <c r="A193" s="68" t="s">
        <v>376</v>
      </c>
      <c r="B193" s="76">
        <v>3221</v>
      </c>
      <c r="C193" s="68" t="s">
        <v>608</v>
      </c>
      <c r="D193" s="19" t="s">
        <v>377</v>
      </c>
      <c r="E193" s="153">
        <f>F193+I193</f>
        <v>0</v>
      </c>
      <c r="F193" s="154">
        <f t="shared" si="14"/>
        <v>0</v>
      </c>
      <c r="G193" s="154">
        <f t="shared" si="14"/>
        <v>0</v>
      </c>
      <c r="H193" s="154">
        <f t="shared" si="14"/>
        <v>0</v>
      </c>
      <c r="I193" s="154">
        <f t="shared" si="14"/>
        <v>0</v>
      </c>
      <c r="J193" s="148">
        <f t="shared" si="10"/>
        <v>0</v>
      </c>
      <c r="K193" s="153"/>
      <c r="L193" s="154">
        <f t="shared" si="15"/>
        <v>0</v>
      </c>
      <c r="M193" s="154">
        <f t="shared" si="15"/>
        <v>0</v>
      </c>
      <c r="N193" s="154">
        <f t="shared" si="15"/>
        <v>0</v>
      </c>
      <c r="O193" s="154"/>
      <c r="P193" s="157">
        <f>E193+J193</f>
        <v>0</v>
      </c>
      <c r="Q193" s="223"/>
      <c r="R193" s="115"/>
      <c r="S193" s="115"/>
      <c r="T193" s="115"/>
    </row>
    <row r="194" spans="1:20" s="26" customFormat="1" ht="239.25" customHeight="1" hidden="1">
      <c r="A194" s="68"/>
      <c r="B194" s="76"/>
      <c r="C194" s="68"/>
      <c r="D194" s="21" t="s">
        <v>378</v>
      </c>
      <c r="E194" s="153">
        <f>F194+I194</f>
        <v>0</v>
      </c>
      <c r="F194" s="154"/>
      <c r="G194" s="154"/>
      <c r="H194" s="154"/>
      <c r="I194" s="154"/>
      <c r="J194" s="148">
        <f t="shared" si="10"/>
        <v>0</v>
      </c>
      <c r="K194" s="153"/>
      <c r="L194" s="154"/>
      <c r="M194" s="154"/>
      <c r="N194" s="154"/>
      <c r="O194" s="154"/>
      <c r="P194" s="157">
        <f>E194+J194</f>
        <v>0</v>
      </c>
      <c r="Q194" s="223"/>
      <c r="R194" s="115"/>
      <c r="S194" s="115"/>
      <c r="T194" s="115"/>
    </row>
    <row r="195" spans="1:20" s="32" customFormat="1" ht="21" customHeight="1" hidden="1">
      <c r="A195" s="81" t="s">
        <v>258</v>
      </c>
      <c r="B195" s="82" t="s">
        <v>292</v>
      </c>
      <c r="C195" s="81"/>
      <c r="D195" s="13" t="s">
        <v>506</v>
      </c>
      <c r="E195" s="166">
        <f t="shared" si="13"/>
        <v>321900</v>
      </c>
      <c r="F195" s="166">
        <f>F196</f>
        <v>321900</v>
      </c>
      <c r="G195" s="166">
        <f>G196</f>
        <v>0</v>
      </c>
      <c r="H195" s="166">
        <f>H196</f>
        <v>0</v>
      </c>
      <c r="I195" s="166">
        <f>I196</f>
        <v>0</v>
      </c>
      <c r="J195" s="166">
        <f t="shared" si="10"/>
        <v>0</v>
      </c>
      <c r="K195" s="166"/>
      <c r="L195" s="166">
        <f>L196</f>
        <v>0</v>
      </c>
      <c r="M195" s="166">
        <f>M196</f>
        <v>0</v>
      </c>
      <c r="N195" s="166">
        <f>N196</f>
        <v>0</v>
      </c>
      <c r="O195" s="166">
        <f>O196</f>
        <v>0</v>
      </c>
      <c r="P195" s="167">
        <f t="shared" si="9"/>
        <v>321900</v>
      </c>
      <c r="Q195" s="223"/>
      <c r="R195" s="122"/>
      <c r="S195" s="122"/>
      <c r="T195" s="122"/>
    </row>
    <row r="196" spans="1:20" s="26" customFormat="1" ht="30" customHeight="1">
      <c r="A196" s="75" t="s">
        <v>262</v>
      </c>
      <c r="B196" s="76" t="s">
        <v>263</v>
      </c>
      <c r="C196" s="75" t="s">
        <v>487</v>
      </c>
      <c r="D196" s="18" t="s">
        <v>253</v>
      </c>
      <c r="E196" s="153">
        <f t="shared" si="13"/>
        <v>321900</v>
      </c>
      <c r="F196" s="154">
        <v>321900</v>
      </c>
      <c r="G196" s="154">
        <v>0</v>
      </c>
      <c r="H196" s="154">
        <v>0</v>
      </c>
      <c r="I196" s="154">
        <v>0</v>
      </c>
      <c r="J196" s="155">
        <f t="shared" si="10"/>
        <v>0</v>
      </c>
      <c r="K196" s="159"/>
      <c r="L196" s="154">
        <v>0</v>
      </c>
      <c r="M196" s="154">
        <v>0</v>
      </c>
      <c r="N196" s="154">
        <v>0</v>
      </c>
      <c r="O196" s="154">
        <v>0</v>
      </c>
      <c r="P196" s="157">
        <f t="shared" si="9"/>
        <v>321900</v>
      </c>
      <c r="Q196" s="223"/>
      <c r="R196" s="115"/>
      <c r="S196" s="115"/>
      <c r="T196" s="115"/>
    </row>
    <row r="197" spans="1:20" s="40" customFormat="1" ht="40.5" customHeight="1">
      <c r="A197" s="72" t="s">
        <v>605</v>
      </c>
      <c r="B197" s="73"/>
      <c r="C197" s="74"/>
      <c r="D197" s="6" t="s">
        <v>181</v>
      </c>
      <c r="E197" s="150">
        <f t="shared" si="13"/>
        <v>177267906</v>
      </c>
      <c r="F197" s="150">
        <f>F198+F200+F201+F203+F208+F215+F230+F243+F246+F247+F248+F251+F214+F199</f>
        <v>177267906</v>
      </c>
      <c r="G197" s="150">
        <f>G198+G200+G201+G203+G208+G215+G230+G243+G246+G247+G248+G251+G213+G199</f>
        <v>15098151</v>
      </c>
      <c r="H197" s="150">
        <f>H198+H200+H201+H203+H208+H215+H230+H243+H246+H247+H248+H251+H213+H199</f>
        <v>862594</v>
      </c>
      <c r="I197" s="150">
        <f>I198+I200+I201+I203+I208+I215+I230+I243+I246+I247+I248+I251+I213+I199</f>
        <v>0</v>
      </c>
      <c r="J197" s="151">
        <f t="shared" si="10"/>
        <v>121100</v>
      </c>
      <c r="K197" s="150">
        <f>K198</f>
        <v>15000</v>
      </c>
      <c r="L197" s="150">
        <f>L198+L200+L201+L203+L208+L215+L230+L243+L246+L247+L248+L251+L199</f>
        <v>106100</v>
      </c>
      <c r="M197" s="150">
        <f>M198+M200+M201+M203+M208+M215+M230+M243+M246+M247+M248+M251+M199</f>
        <v>77900</v>
      </c>
      <c r="N197" s="150">
        <f>N198+N200+N201+N203+N208+N215+N230+N243+N246+N247+N248+N251+N199</f>
        <v>0</v>
      </c>
      <c r="O197" s="150">
        <f>O198+O200+O201+O203+O208+O215+O230+O243+O246+O247+O248+O251+O199</f>
        <v>15000</v>
      </c>
      <c r="P197" s="152">
        <f>E197+J197</f>
        <v>177389006</v>
      </c>
      <c r="Q197" s="223"/>
      <c r="R197" s="128"/>
      <c r="S197" s="128"/>
      <c r="T197" s="128"/>
    </row>
    <row r="198" spans="1:20" s="26" customFormat="1" ht="36.75" customHeight="1">
      <c r="A198" s="75" t="s">
        <v>606</v>
      </c>
      <c r="B198" s="76" t="s">
        <v>464</v>
      </c>
      <c r="C198" s="75" t="s">
        <v>449</v>
      </c>
      <c r="D198" s="7" t="s">
        <v>465</v>
      </c>
      <c r="E198" s="153">
        <f t="shared" si="13"/>
        <v>13159278</v>
      </c>
      <c r="F198" s="154">
        <f>13115572+43706</f>
        <v>13159278</v>
      </c>
      <c r="G198" s="154">
        <v>10242981</v>
      </c>
      <c r="H198" s="154">
        <f>478336+5982+43706</f>
        <v>528024</v>
      </c>
      <c r="I198" s="154">
        <v>0</v>
      </c>
      <c r="J198" s="155">
        <f t="shared" si="10"/>
        <v>15000</v>
      </c>
      <c r="K198" s="156">
        <v>15000</v>
      </c>
      <c r="L198" s="154">
        <v>0</v>
      </c>
      <c r="M198" s="154">
        <v>0</v>
      </c>
      <c r="N198" s="154">
        <v>0</v>
      </c>
      <c r="O198" s="154">
        <v>15000</v>
      </c>
      <c r="P198" s="157">
        <f t="shared" si="9"/>
        <v>13174278</v>
      </c>
      <c r="Q198" s="223"/>
      <c r="R198" s="115"/>
      <c r="S198" s="115"/>
      <c r="T198" s="115"/>
    </row>
    <row r="199" spans="1:20" s="26" customFormat="1" ht="30.75" customHeight="1" hidden="1">
      <c r="A199" s="68" t="s">
        <v>397</v>
      </c>
      <c r="B199" s="68" t="s">
        <v>152</v>
      </c>
      <c r="C199" s="68" t="s">
        <v>326</v>
      </c>
      <c r="D199" s="12" t="s">
        <v>327</v>
      </c>
      <c r="E199" s="153">
        <f t="shared" si="13"/>
        <v>0</v>
      </c>
      <c r="F199" s="154"/>
      <c r="G199" s="154"/>
      <c r="H199" s="154"/>
      <c r="I199" s="154"/>
      <c r="J199" s="155">
        <f t="shared" si="10"/>
        <v>0</v>
      </c>
      <c r="K199" s="156"/>
      <c r="L199" s="154"/>
      <c r="M199" s="154"/>
      <c r="N199" s="154"/>
      <c r="O199" s="154"/>
      <c r="P199" s="157">
        <f t="shared" si="9"/>
        <v>0</v>
      </c>
      <c r="Q199" s="223"/>
      <c r="R199" s="115"/>
      <c r="S199" s="115"/>
      <c r="T199" s="115"/>
    </row>
    <row r="200" spans="1:20" s="26" customFormat="1" ht="27" customHeight="1">
      <c r="A200" s="75" t="s">
        <v>607</v>
      </c>
      <c r="B200" s="76" t="s">
        <v>454</v>
      </c>
      <c r="C200" s="75" t="s">
        <v>453</v>
      </c>
      <c r="D200" s="7" t="s">
        <v>455</v>
      </c>
      <c r="E200" s="153">
        <f t="shared" si="13"/>
        <v>242038</v>
      </c>
      <c r="F200" s="154">
        <f>155000+87038</f>
        <v>242038</v>
      </c>
      <c r="G200" s="154">
        <v>0</v>
      </c>
      <c r="H200" s="154">
        <v>0</v>
      </c>
      <c r="I200" s="154">
        <v>0</v>
      </c>
      <c r="J200" s="155">
        <f t="shared" si="10"/>
        <v>0</v>
      </c>
      <c r="K200" s="156"/>
      <c r="L200" s="154">
        <v>0</v>
      </c>
      <c r="M200" s="154">
        <v>0</v>
      </c>
      <c r="N200" s="154">
        <v>0</v>
      </c>
      <c r="O200" s="154">
        <v>0</v>
      </c>
      <c r="P200" s="157">
        <f t="shared" si="9"/>
        <v>242038</v>
      </c>
      <c r="Q200" s="223"/>
      <c r="R200" s="115"/>
      <c r="S200" s="115"/>
      <c r="T200" s="115"/>
    </row>
    <row r="201" spans="1:20" s="26" customFormat="1" ht="132" customHeight="1">
      <c r="A201" s="75" t="s">
        <v>333</v>
      </c>
      <c r="B201" s="76">
        <v>3230</v>
      </c>
      <c r="C201" s="68" t="s">
        <v>483</v>
      </c>
      <c r="D201" s="18" t="s">
        <v>405</v>
      </c>
      <c r="E201" s="153">
        <f t="shared" si="13"/>
        <v>2183450</v>
      </c>
      <c r="F201" s="154">
        <f>F202</f>
        <v>2183450</v>
      </c>
      <c r="G201" s="154">
        <f>G202</f>
        <v>0</v>
      </c>
      <c r="H201" s="154">
        <f>H202</f>
        <v>0</v>
      </c>
      <c r="I201" s="154">
        <f>I202</f>
        <v>0</v>
      </c>
      <c r="J201" s="155">
        <f t="shared" si="10"/>
        <v>0</v>
      </c>
      <c r="K201" s="159"/>
      <c r="L201" s="154">
        <f>L202</f>
        <v>0</v>
      </c>
      <c r="M201" s="154">
        <f>M202</f>
        <v>0</v>
      </c>
      <c r="N201" s="154">
        <f>N202</f>
        <v>0</v>
      </c>
      <c r="O201" s="154">
        <f>O202</f>
        <v>0</v>
      </c>
      <c r="P201" s="157">
        <f aca="true" t="shared" si="16" ref="P201:P266">E201+J201</f>
        <v>2183450</v>
      </c>
      <c r="Q201" s="223"/>
      <c r="R201" s="115"/>
      <c r="S201" s="115"/>
      <c r="T201" s="115"/>
    </row>
    <row r="202" spans="1:20" s="26" customFormat="1" ht="168.75" customHeight="1">
      <c r="A202" s="75"/>
      <c r="B202" s="76"/>
      <c r="C202" s="75"/>
      <c r="D202" s="12" t="s">
        <v>406</v>
      </c>
      <c r="E202" s="153">
        <f t="shared" si="13"/>
        <v>2183450</v>
      </c>
      <c r="F202" s="154">
        <v>2183450</v>
      </c>
      <c r="G202" s="154"/>
      <c r="H202" s="154"/>
      <c r="I202" s="154"/>
      <c r="J202" s="155">
        <f t="shared" si="10"/>
        <v>0</v>
      </c>
      <c r="K202" s="159"/>
      <c r="L202" s="154"/>
      <c r="M202" s="154"/>
      <c r="N202" s="154"/>
      <c r="O202" s="154"/>
      <c r="P202" s="157">
        <f t="shared" si="16"/>
        <v>2183450</v>
      </c>
      <c r="Q202" s="223"/>
      <c r="R202" s="115"/>
      <c r="S202" s="115"/>
      <c r="T202" s="115"/>
    </row>
    <row r="203" spans="1:20" s="32" customFormat="1" ht="39" hidden="1">
      <c r="A203" s="81" t="s">
        <v>609</v>
      </c>
      <c r="B203" s="82" t="s">
        <v>610</v>
      </c>
      <c r="C203" s="83"/>
      <c r="D203" s="13" t="s">
        <v>611</v>
      </c>
      <c r="E203" s="166">
        <f t="shared" si="13"/>
        <v>60063000</v>
      </c>
      <c r="F203" s="166">
        <f>F204+F206</f>
        <v>60063000</v>
      </c>
      <c r="G203" s="166">
        <f>G204+G206</f>
        <v>0</v>
      </c>
      <c r="H203" s="166">
        <f>H204+H206</f>
        <v>0</v>
      </c>
      <c r="I203" s="166">
        <f>I204+I206</f>
        <v>0</v>
      </c>
      <c r="J203" s="166">
        <f t="shared" si="10"/>
        <v>0</v>
      </c>
      <c r="K203" s="166"/>
      <c r="L203" s="166">
        <f>L204+L206</f>
        <v>0</v>
      </c>
      <c r="M203" s="166">
        <f>M204+M206</f>
        <v>0</v>
      </c>
      <c r="N203" s="166">
        <f>N204+N206</f>
        <v>0</v>
      </c>
      <c r="O203" s="166">
        <f>O204+O206</f>
        <v>0</v>
      </c>
      <c r="P203" s="167">
        <f t="shared" si="16"/>
        <v>60063000</v>
      </c>
      <c r="Q203" s="223"/>
      <c r="R203" s="122"/>
      <c r="S203" s="122"/>
      <c r="T203" s="122"/>
    </row>
    <row r="204" spans="1:20" s="26" customFormat="1" ht="26.25">
      <c r="A204" s="75" t="s">
        <v>612</v>
      </c>
      <c r="B204" s="76" t="s">
        <v>614</v>
      </c>
      <c r="C204" s="75" t="s">
        <v>613</v>
      </c>
      <c r="D204" s="7" t="s">
        <v>615</v>
      </c>
      <c r="E204" s="153">
        <f t="shared" si="13"/>
        <v>12500000</v>
      </c>
      <c r="F204" s="154">
        <f>F205</f>
        <v>12500000</v>
      </c>
      <c r="G204" s="154">
        <f>G205</f>
        <v>0</v>
      </c>
      <c r="H204" s="154">
        <f>H205</f>
        <v>0</v>
      </c>
      <c r="I204" s="154">
        <f>I205</f>
        <v>0</v>
      </c>
      <c r="J204" s="148">
        <f aca="true" t="shared" si="17" ref="J204:J269">L204+O204</f>
        <v>0</v>
      </c>
      <c r="K204" s="156"/>
      <c r="L204" s="154">
        <f>L205</f>
        <v>0</v>
      </c>
      <c r="M204" s="154">
        <f>M205</f>
        <v>0</v>
      </c>
      <c r="N204" s="154">
        <f>N205</f>
        <v>0</v>
      </c>
      <c r="O204" s="154">
        <f>O205</f>
        <v>0</v>
      </c>
      <c r="P204" s="157">
        <f t="shared" si="16"/>
        <v>12500000</v>
      </c>
      <c r="Q204" s="223"/>
      <c r="R204" s="115"/>
      <c r="S204" s="115"/>
      <c r="T204" s="115"/>
    </row>
    <row r="205" spans="1:20" s="26" customFormat="1" ht="198.75" customHeight="1">
      <c r="A205" s="75"/>
      <c r="B205" s="76"/>
      <c r="C205" s="75"/>
      <c r="D205" s="12" t="s">
        <v>408</v>
      </c>
      <c r="E205" s="153">
        <f t="shared" si="13"/>
        <v>12500000</v>
      </c>
      <c r="F205" s="154">
        <v>12500000</v>
      </c>
      <c r="G205" s="154"/>
      <c r="H205" s="154"/>
      <c r="I205" s="154"/>
      <c r="J205" s="155">
        <f t="shared" si="17"/>
        <v>0</v>
      </c>
      <c r="K205" s="159"/>
      <c r="L205" s="154"/>
      <c r="M205" s="154"/>
      <c r="N205" s="154"/>
      <c r="O205" s="154"/>
      <c r="P205" s="157">
        <f t="shared" si="16"/>
        <v>12500000</v>
      </c>
      <c r="Q205" s="223"/>
      <c r="R205" s="115"/>
      <c r="S205" s="115"/>
      <c r="T205" s="115"/>
    </row>
    <row r="206" spans="1:20" s="26" customFormat="1" ht="26.25">
      <c r="A206" s="75" t="s">
        <v>616</v>
      </c>
      <c r="B206" s="76" t="s">
        <v>617</v>
      </c>
      <c r="C206" s="75" t="s">
        <v>608</v>
      </c>
      <c r="D206" s="7" t="s">
        <v>618</v>
      </c>
      <c r="E206" s="153">
        <f t="shared" si="13"/>
        <v>47563000</v>
      </c>
      <c r="F206" s="154">
        <f>F207</f>
        <v>47563000</v>
      </c>
      <c r="G206" s="154">
        <f>G207</f>
        <v>0</v>
      </c>
      <c r="H206" s="154">
        <f>H207</f>
        <v>0</v>
      </c>
      <c r="I206" s="154">
        <f>I207</f>
        <v>0</v>
      </c>
      <c r="J206" s="155">
        <f t="shared" si="17"/>
        <v>0</v>
      </c>
      <c r="K206" s="159"/>
      <c r="L206" s="154">
        <f>L207</f>
        <v>0</v>
      </c>
      <c r="M206" s="154">
        <f>M207</f>
        <v>0</v>
      </c>
      <c r="N206" s="154">
        <f>N207</f>
        <v>0</v>
      </c>
      <c r="O206" s="154">
        <f>O207</f>
        <v>0</v>
      </c>
      <c r="P206" s="157">
        <f t="shared" si="16"/>
        <v>47563000</v>
      </c>
      <c r="Q206" s="223"/>
      <c r="R206" s="115"/>
      <c r="S206" s="115"/>
      <c r="T206" s="115"/>
    </row>
    <row r="207" spans="1:20" s="26" customFormat="1" ht="183.75" customHeight="1">
      <c r="A207" s="75"/>
      <c r="B207" s="76"/>
      <c r="C207" s="75"/>
      <c r="D207" s="12" t="s">
        <v>408</v>
      </c>
      <c r="E207" s="153">
        <f t="shared" si="13"/>
        <v>47563000</v>
      </c>
      <c r="F207" s="154">
        <v>47563000</v>
      </c>
      <c r="G207" s="154"/>
      <c r="H207" s="154"/>
      <c r="I207" s="154"/>
      <c r="J207" s="155">
        <f t="shared" si="17"/>
        <v>0</v>
      </c>
      <c r="K207" s="159"/>
      <c r="L207" s="154"/>
      <c r="M207" s="154"/>
      <c r="N207" s="154"/>
      <c r="O207" s="154"/>
      <c r="P207" s="157">
        <f t="shared" si="16"/>
        <v>47563000</v>
      </c>
      <c r="Q207" s="223"/>
      <c r="R207" s="115"/>
      <c r="S207" s="115"/>
      <c r="T207" s="115"/>
    </row>
    <row r="208" spans="1:20" s="32" customFormat="1" ht="26.25" hidden="1">
      <c r="A208" s="81" t="s">
        <v>619</v>
      </c>
      <c r="B208" s="82" t="s">
        <v>620</v>
      </c>
      <c r="C208" s="83"/>
      <c r="D208" s="13" t="s">
        <v>621</v>
      </c>
      <c r="E208" s="166">
        <f t="shared" si="13"/>
        <v>46600</v>
      </c>
      <c r="F208" s="166">
        <f>F209+F211</f>
        <v>46600</v>
      </c>
      <c r="G208" s="166">
        <f>G209+G211</f>
        <v>0</v>
      </c>
      <c r="H208" s="166">
        <f>H209+H211</f>
        <v>0</v>
      </c>
      <c r="I208" s="166">
        <f>I209+I211</f>
        <v>0</v>
      </c>
      <c r="J208" s="166">
        <f t="shared" si="17"/>
        <v>0</v>
      </c>
      <c r="K208" s="166"/>
      <c r="L208" s="166">
        <f>L209+L211</f>
        <v>0</v>
      </c>
      <c r="M208" s="166">
        <v>0</v>
      </c>
      <c r="N208" s="166">
        <v>0</v>
      </c>
      <c r="O208" s="166">
        <v>0</v>
      </c>
      <c r="P208" s="167">
        <f t="shared" si="16"/>
        <v>46600</v>
      </c>
      <c r="Q208" s="223"/>
      <c r="R208" s="122"/>
      <c r="S208" s="122"/>
      <c r="T208" s="122"/>
    </row>
    <row r="209" spans="1:20" s="26" customFormat="1" ht="39" hidden="1">
      <c r="A209" s="75" t="s">
        <v>622</v>
      </c>
      <c r="B209" s="76" t="s">
        <v>623</v>
      </c>
      <c r="C209" s="75" t="s">
        <v>613</v>
      </c>
      <c r="D209" s="7" t="s">
        <v>624</v>
      </c>
      <c r="E209" s="153">
        <f t="shared" si="13"/>
        <v>0</v>
      </c>
      <c r="F209" s="154">
        <f>F210</f>
        <v>0</v>
      </c>
      <c r="G209" s="154">
        <f>G210</f>
        <v>0</v>
      </c>
      <c r="H209" s="154">
        <f>H210</f>
        <v>0</v>
      </c>
      <c r="I209" s="154">
        <f>I210</f>
        <v>0</v>
      </c>
      <c r="J209" s="148">
        <f t="shared" si="17"/>
        <v>0</v>
      </c>
      <c r="K209" s="153"/>
      <c r="L209" s="154">
        <f>L210</f>
        <v>0</v>
      </c>
      <c r="M209" s="154">
        <f>M210</f>
        <v>0</v>
      </c>
      <c r="N209" s="154">
        <f>N210</f>
        <v>0</v>
      </c>
      <c r="O209" s="154">
        <f>O210</f>
        <v>0</v>
      </c>
      <c r="P209" s="157">
        <f t="shared" si="16"/>
        <v>0</v>
      </c>
      <c r="Q209" s="223"/>
      <c r="R209" s="115"/>
      <c r="S209" s="115"/>
      <c r="T209" s="115"/>
    </row>
    <row r="210" spans="1:20" s="26" customFormat="1" ht="81" customHeight="1" hidden="1">
      <c r="A210" s="75"/>
      <c r="B210" s="76"/>
      <c r="C210" s="75"/>
      <c r="D210" s="7" t="s">
        <v>180</v>
      </c>
      <c r="E210" s="153">
        <f t="shared" si="13"/>
        <v>0</v>
      </c>
      <c r="F210" s="154"/>
      <c r="G210" s="154"/>
      <c r="H210" s="154"/>
      <c r="I210" s="154"/>
      <c r="J210" s="148">
        <f t="shared" si="17"/>
        <v>0</v>
      </c>
      <c r="K210" s="153"/>
      <c r="L210" s="154"/>
      <c r="M210" s="154"/>
      <c r="N210" s="154"/>
      <c r="O210" s="154"/>
      <c r="P210" s="157">
        <f t="shared" si="16"/>
        <v>0</v>
      </c>
      <c r="Q210" s="223"/>
      <c r="R210" s="115"/>
      <c r="S210" s="115"/>
      <c r="T210" s="115"/>
    </row>
    <row r="211" spans="1:20" s="26" customFormat="1" ht="26.25">
      <c r="A211" s="75" t="s">
        <v>625</v>
      </c>
      <c r="B211" s="76" t="s">
        <v>626</v>
      </c>
      <c r="C211" s="75" t="s">
        <v>608</v>
      </c>
      <c r="D211" s="7" t="s">
        <v>627</v>
      </c>
      <c r="E211" s="153">
        <f t="shared" si="13"/>
        <v>46600</v>
      </c>
      <c r="F211" s="154">
        <f>F212</f>
        <v>46600</v>
      </c>
      <c r="G211" s="154">
        <f>G212</f>
        <v>0</v>
      </c>
      <c r="H211" s="154">
        <f>H212</f>
        <v>0</v>
      </c>
      <c r="I211" s="154">
        <f>I212</f>
        <v>0</v>
      </c>
      <c r="J211" s="155">
        <f t="shared" si="17"/>
        <v>0</v>
      </c>
      <c r="K211" s="159"/>
      <c r="L211" s="154">
        <f>L212</f>
        <v>0</v>
      </c>
      <c r="M211" s="154">
        <f>M212</f>
        <v>0</v>
      </c>
      <c r="N211" s="154">
        <f>N212</f>
        <v>0</v>
      </c>
      <c r="O211" s="154">
        <f>O212</f>
        <v>0</v>
      </c>
      <c r="P211" s="157">
        <f t="shared" si="16"/>
        <v>46600</v>
      </c>
      <c r="Q211" s="223"/>
      <c r="R211" s="115"/>
      <c r="S211" s="115"/>
      <c r="T211" s="115"/>
    </row>
    <row r="212" spans="1:20" s="26" customFormat="1" ht="81" customHeight="1">
      <c r="A212" s="75"/>
      <c r="B212" s="76"/>
      <c r="C212" s="75"/>
      <c r="D212" s="7" t="s">
        <v>180</v>
      </c>
      <c r="E212" s="153">
        <f t="shared" si="13"/>
        <v>46600</v>
      </c>
      <c r="F212" s="154">
        <f>46600</f>
        <v>46600</v>
      </c>
      <c r="G212" s="154"/>
      <c r="H212" s="154"/>
      <c r="I212" s="154"/>
      <c r="J212" s="155">
        <f t="shared" si="17"/>
        <v>0</v>
      </c>
      <c r="K212" s="159"/>
      <c r="L212" s="154"/>
      <c r="M212" s="154"/>
      <c r="N212" s="154"/>
      <c r="O212" s="154"/>
      <c r="P212" s="157">
        <f t="shared" si="16"/>
        <v>46600</v>
      </c>
      <c r="Q212" s="223"/>
      <c r="R212" s="115"/>
      <c r="S212" s="115"/>
      <c r="T212" s="115"/>
    </row>
    <row r="213" spans="1:20" s="32" customFormat="1" ht="62.25" customHeight="1" hidden="1">
      <c r="A213" s="81" t="s">
        <v>628</v>
      </c>
      <c r="B213" s="82">
        <v>3030</v>
      </c>
      <c r="C213" s="81"/>
      <c r="D213" s="38" t="s">
        <v>315</v>
      </c>
      <c r="E213" s="166">
        <f t="shared" si="13"/>
        <v>103030.21</v>
      </c>
      <c r="F213" s="166">
        <f>F214</f>
        <v>103030.21</v>
      </c>
      <c r="G213" s="166">
        <f>G214</f>
        <v>0</v>
      </c>
      <c r="H213" s="166">
        <f>H214</f>
        <v>0</v>
      </c>
      <c r="I213" s="166">
        <f>I214</f>
        <v>0</v>
      </c>
      <c r="J213" s="155">
        <f t="shared" si="17"/>
        <v>0</v>
      </c>
      <c r="K213" s="166"/>
      <c r="L213" s="166">
        <f>L214</f>
        <v>0</v>
      </c>
      <c r="M213" s="166">
        <f>M214</f>
        <v>0</v>
      </c>
      <c r="N213" s="166">
        <f>N214</f>
        <v>0</v>
      </c>
      <c r="O213" s="166">
        <f>O214</f>
        <v>0</v>
      </c>
      <c r="P213" s="167">
        <f t="shared" si="16"/>
        <v>103030.21</v>
      </c>
      <c r="Q213" s="223"/>
      <c r="R213" s="122"/>
      <c r="S213" s="122"/>
      <c r="T213" s="122"/>
    </row>
    <row r="214" spans="1:20" s="26" customFormat="1" ht="39.75" customHeight="1">
      <c r="A214" s="75" t="s">
        <v>316</v>
      </c>
      <c r="B214" s="76">
        <v>3032</v>
      </c>
      <c r="C214" s="68" t="s">
        <v>635</v>
      </c>
      <c r="D214" s="19" t="s">
        <v>317</v>
      </c>
      <c r="E214" s="153">
        <f t="shared" si="13"/>
        <v>103030.21</v>
      </c>
      <c r="F214" s="154">
        <f>103030.21</f>
        <v>103030.21</v>
      </c>
      <c r="G214" s="154"/>
      <c r="H214" s="154"/>
      <c r="I214" s="154"/>
      <c r="J214" s="155">
        <f t="shared" si="17"/>
        <v>0</v>
      </c>
      <c r="K214" s="153"/>
      <c r="L214" s="154"/>
      <c r="M214" s="154"/>
      <c r="N214" s="154"/>
      <c r="O214" s="154"/>
      <c r="P214" s="157">
        <f t="shared" si="16"/>
        <v>103030.21</v>
      </c>
      <c r="Q214" s="223"/>
      <c r="R214" s="115"/>
      <c r="S214" s="115"/>
      <c r="T214" s="115"/>
    </row>
    <row r="215" spans="1:20" s="32" customFormat="1" ht="26.25" hidden="1">
      <c r="A215" s="81" t="s">
        <v>644</v>
      </c>
      <c r="B215" s="82" t="s">
        <v>645</v>
      </c>
      <c r="C215" s="83"/>
      <c r="D215" s="46" t="s">
        <v>293</v>
      </c>
      <c r="E215" s="166">
        <f t="shared" si="13"/>
        <v>68690680</v>
      </c>
      <c r="F215" s="166">
        <f>F216+F218+F220+F222+F224+F226+F228</f>
        <v>68690680</v>
      </c>
      <c r="G215" s="166">
        <f>G216+G218+G220+G222+G224+G226+G228</f>
        <v>0</v>
      </c>
      <c r="H215" s="166">
        <f>H216+H218+H220+H222+H224+H226+H228</f>
        <v>0</v>
      </c>
      <c r="I215" s="166">
        <f>I216+I218+I220+I222+I224+I226+I228</f>
        <v>0</v>
      </c>
      <c r="J215" s="166">
        <f t="shared" si="17"/>
        <v>0</v>
      </c>
      <c r="K215" s="166"/>
      <c r="L215" s="166">
        <f>L216+L218+L220+L222+L224+L226+L228</f>
        <v>0</v>
      </c>
      <c r="M215" s="166">
        <f>M216+M218+M220+M222+M224+M226+M228</f>
        <v>0</v>
      </c>
      <c r="N215" s="166">
        <f>N216+N218+N220+N222+N224+N226+N228</f>
        <v>0</v>
      </c>
      <c r="O215" s="166">
        <f>O216+O218+O220+O222+O224+O226+O228</f>
        <v>0</v>
      </c>
      <c r="P215" s="167">
        <f t="shared" si="16"/>
        <v>68690680</v>
      </c>
      <c r="Q215" s="223"/>
      <c r="R215" s="122"/>
      <c r="S215" s="122"/>
      <c r="T215" s="122"/>
    </row>
    <row r="216" spans="1:20" s="26" customFormat="1" ht="15">
      <c r="A216" s="75" t="s">
        <v>646</v>
      </c>
      <c r="B216" s="76" t="s">
        <v>647</v>
      </c>
      <c r="C216" s="75" t="s">
        <v>483</v>
      </c>
      <c r="D216" s="7" t="s">
        <v>648</v>
      </c>
      <c r="E216" s="153">
        <f t="shared" si="13"/>
        <v>800050</v>
      </c>
      <c r="F216" s="154">
        <f>F217</f>
        <v>800050</v>
      </c>
      <c r="G216" s="154">
        <v>0</v>
      </c>
      <c r="H216" s="154">
        <v>0</v>
      </c>
      <c r="I216" s="154">
        <v>0</v>
      </c>
      <c r="J216" s="155">
        <f t="shared" si="17"/>
        <v>0</v>
      </c>
      <c r="K216" s="159"/>
      <c r="L216" s="154">
        <v>0</v>
      </c>
      <c r="M216" s="154">
        <v>0</v>
      </c>
      <c r="N216" s="154">
        <v>0</v>
      </c>
      <c r="O216" s="154">
        <v>0</v>
      </c>
      <c r="P216" s="157">
        <f t="shared" si="16"/>
        <v>800050</v>
      </c>
      <c r="Q216" s="223"/>
      <c r="R216" s="120">
        <f>F216+F218+F220+F222+F224+F226+F228+F231+F233+F235+F237+F239+F241</f>
        <v>93671970</v>
      </c>
      <c r="S216" s="115"/>
      <c r="T216" s="115"/>
    </row>
    <row r="217" spans="1:20" s="26" customFormat="1" ht="192.75" customHeight="1">
      <c r="A217" s="75"/>
      <c r="B217" s="76"/>
      <c r="C217" s="75"/>
      <c r="D217" s="18" t="s">
        <v>296</v>
      </c>
      <c r="E217" s="153">
        <f t="shared" si="13"/>
        <v>800050</v>
      </c>
      <c r="F217" s="154">
        <v>800050</v>
      </c>
      <c r="G217" s="154"/>
      <c r="H217" s="154"/>
      <c r="I217" s="154"/>
      <c r="J217" s="155">
        <f t="shared" si="17"/>
        <v>0</v>
      </c>
      <c r="K217" s="159"/>
      <c r="L217" s="154"/>
      <c r="M217" s="154"/>
      <c r="N217" s="154"/>
      <c r="O217" s="154"/>
      <c r="P217" s="157">
        <f t="shared" si="16"/>
        <v>800050</v>
      </c>
      <c r="Q217" s="223"/>
      <c r="R217" s="115"/>
      <c r="S217" s="115"/>
      <c r="T217" s="115"/>
    </row>
    <row r="218" spans="1:20" s="26" customFormat="1" ht="23.25" customHeight="1">
      <c r="A218" s="75" t="s">
        <v>265</v>
      </c>
      <c r="B218" s="76" t="s">
        <v>294</v>
      </c>
      <c r="C218" s="75" t="s">
        <v>483</v>
      </c>
      <c r="D218" s="43" t="s">
        <v>663</v>
      </c>
      <c r="E218" s="153">
        <f>F218+I218</f>
        <v>61920</v>
      </c>
      <c r="F218" s="154">
        <f>F219</f>
        <v>61920</v>
      </c>
      <c r="G218" s="154">
        <f>G219</f>
        <v>0</v>
      </c>
      <c r="H218" s="154">
        <f>H219</f>
        <v>0</v>
      </c>
      <c r="I218" s="154">
        <f>I219</f>
        <v>0</v>
      </c>
      <c r="J218" s="155">
        <f t="shared" si="17"/>
        <v>0</v>
      </c>
      <c r="K218" s="159"/>
      <c r="L218" s="154">
        <f>L219</f>
        <v>0</v>
      </c>
      <c r="M218" s="154">
        <f>M219</f>
        <v>0</v>
      </c>
      <c r="N218" s="154">
        <f>N219</f>
        <v>0</v>
      </c>
      <c r="O218" s="154">
        <f>O219</f>
        <v>0</v>
      </c>
      <c r="P218" s="157">
        <f t="shared" si="16"/>
        <v>61920</v>
      </c>
      <c r="Q218" s="223"/>
      <c r="R218" s="115"/>
      <c r="S218" s="115"/>
      <c r="T218" s="115"/>
    </row>
    <row r="219" spans="1:20" s="26" customFormat="1" ht="204" customHeight="1">
      <c r="A219" s="75"/>
      <c r="B219" s="76"/>
      <c r="C219" s="75"/>
      <c r="D219" s="18" t="s">
        <v>296</v>
      </c>
      <c r="E219" s="153">
        <f>F219+I219</f>
        <v>61920</v>
      </c>
      <c r="F219" s="154">
        <v>61920</v>
      </c>
      <c r="G219" s="154"/>
      <c r="H219" s="154"/>
      <c r="I219" s="154"/>
      <c r="J219" s="155">
        <f t="shared" si="17"/>
        <v>0</v>
      </c>
      <c r="K219" s="159"/>
      <c r="L219" s="154"/>
      <c r="M219" s="154"/>
      <c r="N219" s="154"/>
      <c r="O219" s="154"/>
      <c r="P219" s="157">
        <f t="shared" si="16"/>
        <v>61920</v>
      </c>
      <c r="Q219" s="223"/>
      <c r="R219" s="115"/>
      <c r="S219" s="115"/>
      <c r="T219" s="115"/>
    </row>
    <row r="220" spans="1:20" s="26" customFormat="1" ht="19.5" customHeight="1">
      <c r="A220" s="75" t="s">
        <v>649</v>
      </c>
      <c r="B220" s="76" t="s">
        <v>650</v>
      </c>
      <c r="C220" s="75" t="s">
        <v>483</v>
      </c>
      <c r="D220" s="7" t="s">
        <v>651</v>
      </c>
      <c r="E220" s="153">
        <f t="shared" si="13"/>
        <v>34931800</v>
      </c>
      <c r="F220" s="154">
        <f>F221</f>
        <v>34931800</v>
      </c>
      <c r="G220" s="154">
        <f>G221</f>
        <v>0</v>
      </c>
      <c r="H220" s="154">
        <f>H221</f>
        <v>0</v>
      </c>
      <c r="I220" s="154">
        <f>I221</f>
        <v>0</v>
      </c>
      <c r="J220" s="155">
        <f t="shared" si="17"/>
        <v>0</v>
      </c>
      <c r="K220" s="159"/>
      <c r="L220" s="154">
        <v>0</v>
      </c>
      <c r="M220" s="154">
        <v>0</v>
      </c>
      <c r="N220" s="154">
        <v>0</v>
      </c>
      <c r="O220" s="154">
        <v>0</v>
      </c>
      <c r="P220" s="157">
        <f t="shared" si="16"/>
        <v>34931800</v>
      </c>
      <c r="Q220" s="223"/>
      <c r="R220" s="115"/>
      <c r="S220" s="115"/>
      <c r="T220" s="115"/>
    </row>
    <row r="221" spans="1:20" s="26" customFormat="1" ht="207.75" customHeight="1">
      <c r="A221" s="75"/>
      <c r="B221" s="76"/>
      <c r="C221" s="75"/>
      <c r="D221" s="18" t="s">
        <v>296</v>
      </c>
      <c r="E221" s="153">
        <f t="shared" si="13"/>
        <v>34931800</v>
      </c>
      <c r="F221" s="154">
        <f>35151800-220000</f>
        <v>34931800</v>
      </c>
      <c r="G221" s="154"/>
      <c r="H221" s="154"/>
      <c r="I221" s="154"/>
      <c r="J221" s="155">
        <f t="shared" si="17"/>
        <v>0</v>
      </c>
      <c r="K221" s="159"/>
      <c r="L221" s="154"/>
      <c r="M221" s="154"/>
      <c r="N221" s="154"/>
      <c r="O221" s="154"/>
      <c r="P221" s="157">
        <f t="shared" si="16"/>
        <v>34931800</v>
      </c>
      <c r="Q221" s="223"/>
      <c r="R221" s="115"/>
      <c r="S221" s="115"/>
      <c r="T221" s="115"/>
    </row>
    <row r="222" spans="1:20" s="26" customFormat="1" ht="15">
      <c r="A222" s="75" t="s">
        <v>652</v>
      </c>
      <c r="B222" s="76" t="s">
        <v>653</v>
      </c>
      <c r="C222" s="75" t="s">
        <v>483</v>
      </c>
      <c r="D222" s="7" t="s">
        <v>654</v>
      </c>
      <c r="E222" s="153">
        <f t="shared" si="13"/>
        <v>5303300</v>
      </c>
      <c r="F222" s="154">
        <f>F223</f>
        <v>5303300</v>
      </c>
      <c r="G222" s="154">
        <v>0</v>
      </c>
      <c r="H222" s="154">
        <v>0</v>
      </c>
      <c r="I222" s="154">
        <v>0</v>
      </c>
      <c r="J222" s="155">
        <f t="shared" si="17"/>
        <v>0</v>
      </c>
      <c r="K222" s="159"/>
      <c r="L222" s="154">
        <v>0</v>
      </c>
      <c r="M222" s="154">
        <v>0</v>
      </c>
      <c r="N222" s="154">
        <v>0</v>
      </c>
      <c r="O222" s="154">
        <v>0</v>
      </c>
      <c r="P222" s="157">
        <f t="shared" si="16"/>
        <v>5303300</v>
      </c>
      <c r="Q222" s="223"/>
      <c r="R222" s="115"/>
      <c r="S222" s="115"/>
      <c r="T222" s="115"/>
    </row>
    <row r="223" spans="1:20" s="26" customFormat="1" ht="211.5" customHeight="1">
      <c r="A223" s="75"/>
      <c r="B223" s="76"/>
      <c r="C223" s="75"/>
      <c r="D223" s="18" t="s">
        <v>296</v>
      </c>
      <c r="E223" s="153">
        <f t="shared" si="13"/>
        <v>5303300</v>
      </c>
      <c r="F223" s="154">
        <v>5303300</v>
      </c>
      <c r="G223" s="154"/>
      <c r="H223" s="154"/>
      <c r="I223" s="154"/>
      <c r="J223" s="155">
        <f t="shared" si="17"/>
        <v>0</v>
      </c>
      <c r="K223" s="159"/>
      <c r="L223" s="154"/>
      <c r="M223" s="154"/>
      <c r="N223" s="154"/>
      <c r="O223" s="154"/>
      <c r="P223" s="157">
        <f t="shared" si="16"/>
        <v>5303300</v>
      </c>
      <c r="Q223" s="223"/>
      <c r="R223" s="115"/>
      <c r="S223" s="115"/>
      <c r="T223" s="115"/>
    </row>
    <row r="224" spans="1:20" s="26" customFormat="1" ht="15">
      <c r="A224" s="75" t="s">
        <v>655</v>
      </c>
      <c r="B224" s="76" t="s">
        <v>656</v>
      </c>
      <c r="C224" s="75" t="s">
        <v>483</v>
      </c>
      <c r="D224" s="7" t="s">
        <v>657</v>
      </c>
      <c r="E224" s="153">
        <f t="shared" si="13"/>
        <v>12355500</v>
      </c>
      <c r="F224" s="154">
        <f>F225</f>
        <v>12355500</v>
      </c>
      <c r="G224" s="154">
        <f>G225</f>
        <v>0</v>
      </c>
      <c r="H224" s="154">
        <f>H225</f>
        <v>0</v>
      </c>
      <c r="I224" s="154">
        <f>I225</f>
        <v>0</v>
      </c>
      <c r="J224" s="155">
        <f t="shared" si="17"/>
        <v>0</v>
      </c>
      <c r="K224" s="159"/>
      <c r="L224" s="154">
        <v>0</v>
      </c>
      <c r="M224" s="154">
        <v>0</v>
      </c>
      <c r="N224" s="154">
        <v>0</v>
      </c>
      <c r="O224" s="154">
        <v>0</v>
      </c>
      <c r="P224" s="157">
        <f t="shared" si="16"/>
        <v>12355500</v>
      </c>
      <c r="Q224" s="223"/>
      <c r="R224" s="115"/>
      <c r="S224" s="115"/>
      <c r="T224" s="115"/>
    </row>
    <row r="225" spans="1:20" s="26" customFormat="1" ht="132">
      <c r="A225" s="75"/>
      <c r="B225" s="76"/>
      <c r="C225" s="75"/>
      <c r="D225" s="18" t="s">
        <v>296</v>
      </c>
      <c r="E225" s="153">
        <f t="shared" si="13"/>
        <v>12355500</v>
      </c>
      <c r="F225" s="154">
        <v>12355500</v>
      </c>
      <c r="G225" s="154"/>
      <c r="H225" s="154"/>
      <c r="I225" s="154"/>
      <c r="J225" s="155">
        <f t="shared" si="17"/>
        <v>0</v>
      </c>
      <c r="K225" s="159"/>
      <c r="L225" s="154"/>
      <c r="M225" s="154"/>
      <c r="N225" s="154"/>
      <c r="O225" s="154"/>
      <c r="P225" s="157">
        <f t="shared" si="16"/>
        <v>12355500</v>
      </c>
      <c r="Q225" s="223"/>
      <c r="R225" s="115"/>
      <c r="S225" s="115"/>
      <c r="T225" s="115"/>
    </row>
    <row r="226" spans="1:20" s="26" customFormat="1" ht="15">
      <c r="A226" s="75" t="s">
        <v>658</v>
      </c>
      <c r="B226" s="76" t="s">
        <v>659</v>
      </c>
      <c r="C226" s="75" t="s">
        <v>483</v>
      </c>
      <c r="D226" s="7" t="s">
        <v>660</v>
      </c>
      <c r="E226" s="153">
        <f t="shared" si="13"/>
        <v>705710</v>
      </c>
      <c r="F226" s="154">
        <f>F227</f>
        <v>705710</v>
      </c>
      <c r="G226" s="154">
        <v>0</v>
      </c>
      <c r="H226" s="154">
        <v>0</v>
      </c>
      <c r="I226" s="154">
        <v>0</v>
      </c>
      <c r="J226" s="155">
        <f t="shared" si="17"/>
        <v>0</v>
      </c>
      <c r="K226" s="159"/>
      <c r="L226" s="154">
        <v>0</v>
      </c>
      <c r="M226" s="154">
        <v>0</v>
      </c>
      <c r="N226" s="154">
        <v>0</v>
      </c>
      <c r="O226" s="154">
        <v>0</v>
      </c>
      <c r="P226" s="157">
        <f t="shared" si="16"/>
        <v>705710</v>
      </c>
      <c r="Q226" s="223"/>
      <c r="R226" s="115"/>
      <c r="S226" s="115"/>
      <c r="T226" s="115"/>
    </row>
    <row r="227" spans="1:20" s="26" customFormat="1" ht="209.25" customHeight="1">
      <c r="A227" s="75"/>
      <c r="B227" s="76"/>
      <c r="C227" s="75"/>
      <c r="D227" s="18" t="s">
        <v>296</v>
      </c>
      <c r="E227" s="153">
        <f t="shared" si="13"/>
        <v>705710</v>
      </c>
      <c r="F227" s="154">
        <v>705710</v>
      </c>
      <c r="G227" s="154"/>
      <c r="H227" s="154"/>
      <c r="I227" s="154"/>
      <c r="J227" s="155">
        <f t="shared" si="17"/>
        <v>0</v>
      </c>
      <c r="K227" s="159"/>
      <c r="L227" s="154"/>
      <c r="M227" s="154"/>
      <c r="N227" s="154"/>
      <c r="O227" s="154"/>
      <c r="P227" s="157">
        <f t="shared" si="16"/>
        <v>705710</v>
      </c>
      <c r="Q227" s="223"/>
      <c r="R227" s="115"/>
      <c r="S227" s="115"/>
      <c r="T227" s="115"/>
    </row>
    <row r="228" spans="1:20" s="26" customFormat="1" ht="28.5" customHeight="1">
      <c r="A228" s="75" t="s">
        <v>661</v>
      </c>
      <c r="B228" s="76" t="s">
        <v>662</v>
      </c>
      <c r="C228" s="75" t="s">
        <v>483</v>
      </c>
      <c r="D228" s="19" t="s">
        <v>295</v>
      </c>
      <c r="E228" s="153">
        <f t="shared" si="13"/>
        <v>14532400</v>
      </c>
      <c r="F228" s="154">
        <f>F229</f>
        <v>14532400</v>
      </c>
      <c r="G228" s="154">
        <v>0</v>
      </c>
      <c r="H228" s="154">
        <v>0</v>
      </c>
      <c r="I228" s="154">
        <v>0</v>
      </c>
      <c r="J228" s="155">
        <f t="shared" si="17"/>
        <v>0</v>
      </c>
      <c r="K228" s="159"/>
      <c r="L228" s="154">
        <v>0</v>
      </c>
      <c r="M228" s="154">
        <v>0</v>
      </c>
      <c r="N228" s="154">
        <v>0</v>
      </c>
      <c r="O228" s="154">
        <v>0</v>
      </c>
      <c r="P228" s="157">
        <f t="shared" si="16"/>
        <v>14532400</v>
      </c>
      <c r="Q228" s="223"/>
      <c r="R228" s="115"/>
      <c r="S228" s="115"/>
      <c r="T228" s="115"/>
    </row>
    <row r="229" spans="1:20" s="26" customFormat="1" ht="214.5" customHeight="1">
      <c r="A229" s="75"/>
      <c r="B229" s="76"/>
      <c r="C229" s="75"/>
      <c r="D229" s="18" t="s">
        <v>296</v>
      </c>
      <c r="E229" s="153">
        <f t="shared" si="13"/>
        <v>14532400</v>
      </c>
      <c r="F229" s="154">
        <v>14532400</v>
      </c>
      <c r="G229" s="154"/>
      <c r="H229" s="154"/>
      <c r="I229" s="154"/>
      <c r="J229" s="155">
        <f t="shared" si="17"/>
        <v>0</v>
      </c>
      <c r="K229" s="159"/>
      <c r="L229" s="154"/>
      <c r="M229" s="154"/>
      <c r="N229" s="154"/>
      <c r="O229" s="154"/>
      <c r="P229" s="157">
        <f t="shared" si="16"/>
        <v>14532400</v>
      </c>
      <c r="Q229" s="223"/>
      <c r="R229" s="115"/>
      <c r="S229" s="115"/>
      <c r="T229" s="115"/>
    </row>
    <row r="230" spans="1:20" s="26" customFormat="1" ht="114" customHeight="1" hidden="1">
      <c r="A230" s="91" t="s">
        <v>664</v>
      </c>
      <c r="B230" s="92" t="s">
        <v>665</v>
      </c>
      <c r="C230" s="91"/>
      <c r="D230" s="19" t="s">
        <v>267</v>
      </c>
      <c r="E230" s="177">
        <f t="shared" si="13"/>
        <v>24981290</v>
      </c>
      <c r="F230" s="178">
        <f>F231+F233+F235+F237+F239+F241</f>
        <v>24981290</v>
      </c>
      <c r="G230" s="178">
        <f>G231+G233+G235+G237+G239</f>
        <v>0</v>
      </c>
      <c r="H230" s="178">
        <f>H231+H233+H235+H237+H239</f>
        <v>0</v>
      </c>
      <c r="I230" s="178">
        <f>I231+I233+I235+I237+I239</f>
        <v>0</v>
      </c>
      <c r="J230" s="155">
        <f t="shared" si="17"/>
        <v>0</v>
      </c>
      <c r="K230" s="179"/>
      <c r="L230" s="178">
        <f>L231+L233+L235+L237+L239</f>
        <v>0</v>
      </c>
      <c r="M230" s="178">
        <f>M231+M233+M235+M237+M239</f>
        <v>0</v>
      </c>
      <c r="N230" s="178">
        <f>N231+N233+N235+N237+N239</f>
        <v>0</v>
      </c>
      <c r="O230" s="178">
        <f>O231+O233+O235+O237+O239</f>
        <v>0</v>
      </c>
      <c r="P230" s="180">
        <f t="shared" si="16"/>
        <v>24981290</v>
      </c>
      <c r="Q230" s="223"/>
      <c r="R230" s="115"/>
      <c r="S230" s="115"/>
      <c r="T230" s="115"/>
    </row>
    <row r="231" spans="1:21" s="43" customFormat="1" ht="49.5" customHeight="1">
      <c r="A231" s="75" t="s">
        <v>268</v>
      </c>
      <c r="B231" s="76">
        <v>3081</v>
      </c>
      <c r="C231" s="68" t="s">
        <v>475</v>
      </c>
      <c r="D231" s="19" t="s">
        <v>269</v>
      </c>
      <c r="E231" s="153">
        <f t="shared" si="13"/>
        <v>15772460</v>
      </c>
      <c r="F231" s="154">
        <f>F232</f>
        <v>15772460</v>
      </c>
      <c r="G231" s="154">
        <f>G232</f>
        <v>0</v>
      </c>
      <c r="H231" s="154">
        <f>H232</f>
        <v>0</v>
      </c>
      <c r="I231" s="154">
        <f>I232</f>
        <v>0</v>
      </c>
      <c r="J231" s="155">
        <f t="shared" si="17"/>
        <v>0</v>
      </c>
      <c r="K231" s="159"/>
      <c r="L231" s="154">
        <f>L232</f>
        <v>0</v>
      </c>
      <c r="M231" s="154">
        <f>M232</f>
        <v>0</v>
      </c>
      <c r="N231" s="154">
        <f>N232</f>
        <v>0</v>
      </c>
      <c r="O231" s="154">
        <f>O232</f>
        <v>0</v>
      </c>
      <c r="P231" s="157">
        <f t="shared" si="16"/>
        <v>15772460</v>
      </c>
      <c r="Q231" s="223"/>
      <c r="R231" s="115"/>
      <c r="S231" s="115"/>
      <c r="T231" s="115"/>
      <c r="U231" s="112"/>
    </row>
    <row r="232" spans="1:21" s="43" customFormat="1" ht="209.25" customHeight="1">
      <c r="A232" s="93"/>
      <c r="B232" s="94"/>
      <c r="C232" s="93"/>
      <c r="D232" s="18" t="s">
        <v>296</v>
      </c>
      <c r="E232" s="153">
        <f t="shared" si="13"/>
        <v>15772460</v>
      </c>
      <c r="F232" s="154">
        <v>15772460</v>
      </c>
      <c r="G232" s="154"/>
      <c r="H232" s="154"/>
      <c r="I232" s="154"/>
      <c r="J232" s="155">
        <f t="shared" si="17"/>
        <v>0</v>
      </c>
      <c r="K232" s="159"/>
      <c r="L232" s="154"/>
      <c r="M232" s="154"/>
      <c r="N232" s="154"/>
      <c r="O232" s="154"/>
      <c r="P232" s="157">
        <f t="shared" si="16"/>
        <v>15772460</v>
      </c>
      <c r="Q232" s="223"/>
      <c r="R232" s="115"/>
      <c r="S232" s="115"/>
      <c r="T232" s="115"/>
      <c r="U232" s="112"/>
    </row>
    <row r="233" spans="1:21" s="43" customFormat="1" ht="51" customHeight="1">
      <c r="A233" s="75" t="s">
        <v>270</v>
      </c>
      <c r="B233" s="76">
        <v>3082</v>
      </c>
      <c r="C233" s="68" t="s">
        <v>475</v>
      </c>
      <c r="D233" s="19" t="s">
        <v>278</v>
      </c>
      <c r="E233" s="153">
        <f t="shared" si="13"/>
        <v>3574200</v>
      </c>
      <c r="F233" s="154">
        <f>F234</f>
        <v>3574200</v>
      </c>
      <c r="G233" s="154">
        <f>G234</f>
        <v>0</v>
      </c>
      <c r="H233" s="154">
        <f>H234</f>
        <v>0</v>
      </c>
      <c r="I233" s="154">
        <f>I234</f>
        <v>0</v>
      </c>
      <c r="J233" s="155">
        <f t="shared" si="17"/>
        <v>0</v>
      </c>
      <c r="K233" s="159"/>
      <c r="L233" s="154">
        <f>L234</f>
        <v>0</v>
      </c>
      <c r="M233" s="154">
        <f>M234</f>
        <v>0</v>
      </c>
      <c r="N233" s="154">
        <f>N234</f>
        <v>0</v>
      </c>
      <c r="O233" s="154">
        <f>O234</f>
        <v>0</v>
      </c>
      <c r="P233" s="157">
        <f aca="true" t="shared" si="18" ref="P233:P242">J233+E233</f>
        <v>3574200</v>
      </c>
      <c r="Q233" s="223"/>
      <c r="R233" s="115"/>
      <c r="S233" s="115"/>
      <c r="T233" s="115"/>
      <c r="U233" s="112"/>
    </row>
    <row r="234" spans="1:21" s="43" customFormat="1" ht="207" customHeight="1">
      <c r="A234" s="93"/>
      <c r="B234" s="94"/>
      <c r="C234" s="93"/>
      <c r="D234" s="18" t="s">
        <v>296</v>
      </c>
      <c r="E234" s="153">
        <f t="shared" si="13"/>
        <v>3574200</v>
      </c>
      <c r="F234" s="154">
        <v>3574200</v>
      </c>
      <c r="G234" s="154"/>
      <c r="H234" s="154"/>
      <c r="I234" s="154"/>
      <c r="J234" s="155">
        <f t="shared" si="17"/>
        <v>0</v>
      </c>
      <c r="K234" s="159"/>
      <c r="L234" s="154"/>
      <c r="M234" s="154"/>
      <c r="N234" s="154"/>
      <c r="O234" s="154"/>
      <c r="P234" s="157">
        <f t="shared" si="18"/>
        <v>3574200</v>
      </c>
      <c r="Q234" s="223"/>
      <c r="R234" s="115"/>
      <c r="S234" s="115"/>
      <c r="T234" s="115"/>
      <c r="U234" s="112"/>
    </row>
    <row r="235" spans="1:21" s="43" customFormat="1" ht="36" customHeight="1">
      <c r="A235" s="75" t="s">
        <v>279</v>
      </c>
      <c r="B235" s="76">
        <v>3083</v>
      </c>
      <c r="C235" s="68" t="s">
        <v>475</v>
      </c>
      <c r="D235" s="19" t="s">
        <v>280</v>
      </c>
      <c r="E235" s="153">
        <f t="shared" si="13"/>
        <v>4830080</v>
      </c>
      <c r="F235" s="154">
        <f>F236</f>
        <v>4830080</v>
      </c>
      <c r="G235" s="154">
        <f>G236</f>
        <v>0</v>
      </c>
      <c r="H235" s="154">
        <f>H236</f>
        <v>0</v>
      </c>
      <c r="I235" s="154">
        <f>I236</f>
        <v>0</v>
      </c>
      <c r="J235" s="155">
        <f t="shared" si="17"/>
        <v>0</v>
      </c>
      <c r="K235" s="159"/>
      <c r="L235" s="154">
        <f>L236</f>
        <v>0</v>
      </c>
      <c r="M235" s="154">
        <f>M236</f>
        <v>0</v>
      </c>
      <c r="N235" s="154">
        <f>N236</f>
        <v>0</v>
      </c>
      <c r="O235" s="154">
        <f>O236</f>
        <v>0</v>
      </c>
      <c r="P235" s="157">
        <f t="shared" si="18"/>
        <v>4830080</v>
      </c>
      <c r="Q235" s="223"/>
      <c r="R235" s="115"/>
      <c r="S235" s="115"/>
      <c r="T235" s="115"/>
      <c r="U235" s="112"/>
    </row>
    <row r="236" spans="1:21" s="43" customFormat="1" ht="201.75" customHeight="1">
      <c r="A236" s="93"/>
      <c r="B236" s="94"/>
      <c r="C236" s="93"/>
      <c r="D236" s="18" t="s">
        <v>296</v>
      </c>
      <c r="E236" s="153">
        <f t="shared" si="13"/>
        <v>4830080</v>
      </c>
      <c r="F236" s="154">
        <v>4830080</v>
      </c>
      <c r="G236" s="154"/>
      <c r="H236" s="154"/>
      <c r="I236" s="154"/>
      <c r="J236" s="155">
        <f t="shared" si="17"/>
        <v>0</v>
      </c>
      <c r="K236" s="159"/>
      <c r="L236" s="154"/>
      <c r="M236" s="154"/>
      <c r="N236" s="154"/>
      <c r="O236" s="154"/>
      <c r="P236" s="157">
        <f t="shared" si="18"/>
        <v>4830080</v>
      </c>
      <c r="Q236" s="223"/>
      <c r="R236" s="115"/>
      <c r="S236" s="115"/>
      <c r="T236" s="115"/>
      <c r="U236" s="112"/>
    </row>
    <row r="237" spans="1:21" s="43" customFormat="1" ht="50.25" customHeight="1">
      <c r="A237" s="75" t="s">
        <v>281</v>
      </c>
      <c r="B237" s="76">
        <v>3084</v>
      </c>
      <c r="C237" s="68" t="s">
        <v>483</v>
      </c>
      <c r="D237" s="19" t="s">
        <v>282</v>
      </c>
      <c r="E237" s="153">
        <f t="shared" si="13"/>
        <v>574950</v>
      </c>
      <c r="F237" s="154">
        <f>F238</f>
        <v>574950</v>
      </c>
      <c r="G237" s="154">
        <f>G238</f>
        <v>0</v>
      </c>
      <c r="H237" s="154">
        <f>H238</f>
        <v>0</v>
      </c>
      <c r="I237" s="154">
        <f>I238</f>
        <v>0</v>
      </c>
      <c r="J237" s="155">
        <f t="shared" si="17"/>
        <v>0</v>
      </c>
      <c r="K237" s="159"/>
      <c r="L237" s="154">
        <f>L238</f>
        <v>0</v>
      </c>
      <c r="M237" s="154">
        <f>M238</f>
        <v>0</v>
      </c>
      <c r="N237" s="154">
        <f>N238</f>
        <v>0</v>
      </c>
      <c r="O237" s="154">
        <f>O238</f>
        <v>0</v>
      </c>
      <c r="P237" s="157">
        <f t="shared" si="18"/>
        <v>574950</v>
      </c>
      <c r="Q237" s="223"/>
      <c r="R237" s="115"/>
      <c r="S237" s="115"/>
      <c r="T237" s="115"/>
      <c r="U237" s="112"/>
    </row>
    <row r="238" spans="1:21" s="43" customFormat="1" ht="208.5" customHeight="1">
      <c r="A238" s="93"/>
      <c r="B238" s="94"/>
      <c r="C238" s="93"/>
      <c r="D238" s="18" t="s">
        <v>296</v>
      </c>
      <c r="E238" s="153">
        <f t="shared" si="13"/>
        <v>574950</v>
      </c>
      <c r="F238" s="154">
        <v>574950</v>
      </c>
      <c r="G238" s="154"/>
      <c r="H238" s="154"/>
      <c r="I238" s="154"/>
      <c r="J238" s="155">
        <f t="shared" si="17"/>
        <v>0</v>
      </c>
      <c r="K238" s="159"/>
      <c r="L238" s="154"/>
      <c r="M238" s="154"/>
      <c r="N238" s="154"/>
      <c r="O238" s="154"/>
      <c r="P238" s="157">
        <f t="shared" si="18"/>
        <v>574950</v>
      </c>
      <c r="Q238" s="223"/>
      <c r="R238" s="115"/>
      <c r="S238" s="115"/>
      <c r="T238" s="115"/>
      <c r="U238" s="112"/>
    </row>
    <row r="239" spans="1:21" s="43" customFormat="1" ht="52.5" customHeight="1">
      <c r="A239" s="75" t="s">
        <v>283</v>
      </c>
      <c r="B239" s="76">
        <v>3085</v>
      </c>
      <c r="C239" s="68" t="s">
        <v>475</v>
      </c>
      <c r="D239" s="19" t="s">
        <v>284</v>
      </c>
      <c r="E239" s="153">
        <f>F239+I239</f>
        <v>9600</v>
      </c>
      <c r="F239" s="154">
        <f>F240</f>
        <v>9600</v>
      </c>
      <c r="G239" s="154">
        <f>G242</f>
        <v>0</v>
      </c>
      <c r="H239" s="154">
        <f>H242</f>
        <v>0</v>
      </c>
      <c r="I239" s="154">
        <f>I242</f>
        <v>0</v>
      </c>
      <c r="J239" s="155">
        <f t="shared" si="17"/>
        <v>0</v>
      </c>
      <c r="K239" s="159"/>
      <c r="L239" s="154">
        <f>L242</f>
        <v>0</v>
      </c>
      <c r="M239" s="154">
        <f>M242</f>
        <v>0</v>
      </c>
      <c r="N239" s="154">
        <f>N242</f>
        <v>0</v>
      </c>
      <c r="O239" s="154">
        <f>O242</f>
        <v>0</v>
      </c>
      <c r="P239" s="157">
        <f>J239+E239</f>
        <v>9600</v>
      </c>
      <c r="Q239" s="223"/>
      <c r="R239" s="115"/>
      <c r="S239" s="115"/>
      <c r="T239" s="115"/>
      <c r="U239" s="112"/>
    </row>
    <row r="240" spans="1:21" s="43" customFormat="1" ht="149.25" customHeight="1">
      <c r="A240" s="91"/>
      <c r="B240" s="92"/>
      <c r="C240" s="273"/>
      <c r="D240" s="19" t="s">
        <v>296</v>
      </c>
      <c r="E240" s="153">
        <f>F240+I240</f>
        <v>9600</v>
      </c>
      <c r="F240" s="154">
        <v>9600</v>
      </c>
      <c r="G240" s="154"/>
      <c r="H240" s="154"/>
      <c r="I240" s="154"/>
      <c r="J240" s="155">
        <f t="shared" si="17"/>
        <v>0</v>
      </c>
      <c r="K240" s="159"/>
      <c r="L240" s="154"/>
      <c r="M240" s="154"/>
      <c r="N240" s="154"/>
      <c r="O240" s="154"/>
      <c r="P240" s="157">
        <f>J240+E240</f>
        <v>9600</v>
      </c>
      <c r="Q240" s="223"/>
      <c r="R240" s="115"/>
      <c r="S240" s="115"/>
      <c r="T240" s="115"/>
      <c r="U240" s="112"/>
    </row>
    <row r="241" spans="1:21" s="43" customFormat="1" ht="107.25" customHeight="1">
      <c r="A241" s="274" t="s">
        <v>205</v>
      </c>
      <c r="B241" s="275">
        <v>3086</v>
      </c>
      <c r="C241" s="276" t="s">
        <v>483</v>
      </c>
      <c r="D241" s="277" t="s">
        <v>207</v>
      </c>
      <c r="E241" s="153">
        <f>F241+I241</f>
        <v>220000</v>
      </c>
      <c r="F241" s="154">
        <f>F242</f>
        <v>220000</v>
      </c>
      <c r="G241" s="154"/>
      <c r="H241" s="154"/>
      <c r="I241" s="154"/>
      <c r="J241" s="155">
        <f t="shared" si="17"/>
        <v>0</v>
      </c>
      <c r="K241" s="159"/>
      <c r="L241" s="154"/>
      <c r="M241" s="154"/>
      <c r="N241" s="154"/>
      <c r="O241" s="154"/>
      <c r="P241" s="157">
        <f>J241+E241</f>
        <v>220000</v>
      </c>
      <c r="Q241" s="223"/>
      <c r="R241" s="115"/>
      <c r="S241" s="115"/>
      <c r="T241" s="115"/>
      <c r="U241" s="112"/>
    </row>
    <row r="242" spans="1:21" s="43" customFormat="1" ht="145.5" customHeight="1">
      <c r="A242" s="91"/>
      <c r="B242" s="92"/>
      <c r="C242" s="91"/>
      <c r="D242" s="18" t="s">
        <v>296</v>
      </c>
      <c r="E242" s="153">
        <f t="shared" si="13"/>
        <v>220000</v>
      </c>
      <c r="F242" s="154">
        <v>220000</v>
      </c>
      <c r="G242" s="154"/>
      <c r="H242" s="154"/>
      <c r="I242" s="154"/>
      <c r="J242" s="155">
        <f t="shared" si="17"/>
        <v>0</v>
      </c>
      <c r="K242" s="159"/>
      <c r="L242" s="154"/>
      <c r="M242" s="154"/>
      <c r="N242" s="154"/>
      <c r="O242" s="154"/>
      <c r="P242" s="157">
        <f t="shared" si="18"/>
        <v>220000</v>
      </c>
      <c r="Q242" s="223"/>
      <c r="R242" s="115"/>
      <c r="S242" s="115"/>
      <c r="T242" s="115"/>
      <c r="U242" s="112"/>
    </row>
    <row r="243" spans="1:20" s="32" customFormat="1" ht="56.25" customHeight="1" hidden="1">
      <c r="A243" s="81" t="s">
        <v>666</v>
      </c>
      <c r="B243" s="82" t="s">
        <v>667</v>
      </c>
      <c r="C243" s="83"/>
      <c r="D243" s="19" t="s">
        <v>285</v>
      </c>
      <c r="E243" s="166">
        <f t="shared" si="13"/>
        <v>6623670</v>
      </c>
      <c r="F243" s="166">
        <f>F244</f>
        <v>6623670</v>
      </c>
      <c r="G243" s="166">
        <f>G244</f>
        <v>4855170</v>
      </c>
      <c r="H243" s="166">
        <f>H244</f>
        <v>334570</v>
      </c>
      <c r="I243" s="166">
        <f>I244</f>
        <v>0</v>
      </c>
      <c r="J243" s="148">
        <f t="shared" si="17"/>
        <v>106100</v>
      </c>
      <c r="K243" s="166"/>
      <c r="L243" s="166">
        <f>L244</f>
        <v>106100</v>
      </c>
      <c r="M243" s="166">
        <f>M244</f>
        <v>77900</v>
      </c>
      <c r="N243" s="166">
        <f>N244</f>
        <v>0</v>
      </c>
      <c r="O243" s="166">
        <f>O244</f>
        <v>0</v>
      </c>
      <c r="P243" s="167">
        <f t="shared" si="16"/>
        <v>6729770</v>
      </c>
      <c r="Q243" s="223"/>
      <c r="R243" s="122"/>
      <c r="S243" s="122"/>
      <c r="T243" s="122"/>
    </row>
    <row r="244" spans="1:20" s="26" customFormat="1" ht="69" customHeight="1">
      <c r="A244" s="75" t="s">
        <v>668</v>
      </c>
      <c r="B244" s="76" t="s">
        <v>669</v>
      </c>
      <c r="C244" s="75" t="s">
        <v>479</v>
      </c>
      <c r="D244" s="19" t="s">
        <v>286</v>
      </c>
      <c r="E244" s="153">
        <f t="shared" si="13"/>
        <v>6623670</v>
      </c>
      <c r="F244" s="154">
        <f>6588670+35000</f>
        <v>6623670</v>
      </c>
      <c r="G244" s="154">
        <v>4855170</v>
      </c>
      <c r="H244" s="154">
        <f>333870+700</f>
        <v>334570</v>
      </c>
      <c r="I244" s="154"/>
      <c r="J244" s="148">
        <f t="shared" si="17"/>
        <v>106100</v>
      </c>
      <c r="K244" s="156"/>
      <c r="L244" s="154">
        <v>106100</v>
      </c>
      <c r="M244" s="154">
        <v>77900</v>
      </c>
      <c r="N244" s="154"/>
      <c r="O244" s="154"/>
      <c r="P244" s="157">
        <f t="shared" si="16"/>
        <v>6729770</v>
      </c>
      <c r="Q244" s="223"/>
      <c r="R244" s="115"/>
      <c r="S244" s="115"/>
      <c r="T244" s="115"/>
    </row>
    <row r="245" spans="1:20" s="26" customFormat="1" ht="35.25" customHeight="1" hidden="1">
      <c r="A245" s="75"/>
      <c r="B245" s="76"/>
      <c r="C245" s="75"/>
      <c r="D245" s="12" t="s">
        <v>423</v>
      </c>
      <c r="E245" s="153"/>
      <c r="F245" s="154"/>
      <c r="G245" s="154"/>
      <c r="H245" s="154"/>
      <c r="I245" s="154"/>
      <c r="J245" s="148">
        <f t="shared" si="17"/>
        <v>0</v>
      </c>
      <c r="K245" s="153"/>
      <c r="L245" s="154"/>
      <c r="M245" s="154"/>
      <c r="N245" s="154"/>
      <c r="O245" s="154"/>
      <c r="P245" s="157">
        <f t="shared" si="16"/>
        <v>0</v>
      </c>
      <c r="Q245" s="223"/>
      <c r="R245" s="115"/>
      <c r="S245" s="115"/>
      <c r="T245" s="115"/>
    </row>
    <row r="246" spans="1:20" s="39" customFormat="1" ht="70.5" customHeight="1">
      <c r="A246" s="89" t="s">
        <v>680</v>
      </c>
      <c r="B246" s="88" t="s">
        <v>681</v>
      </c>
      <c r="C246" s="84" t="s">
        <v>475</v>
      </c>
      <c r="D246" s="141" t="s">
        <v>287</v>
      </c>
      <c r="E246" s="156">
        <f t="shared" si="13"/>
        <v>542400</v>
      </c>
      <c r="F246" s="156">
        <v>542400</v>
      </c>
      <c r="G246" s="156">
        <v>0</v>
      </c>
      <c r="H246" s="156">
        <v>0</v>
      </c>
      <c r="I246" s="156">
        <v>0</v>
      </c>
      <c r="J246" s="156">
        <f t="shared" si="17"/>
        <v>0</v>
      </c>
      <c r="K246" s="156"/>
      <c r="L246" s="156">
        <v>0</v>
      </c>
      <c r="M246" s="156">
        <v>0</v>
      </c>
      <c r="N246" s="156">
        <v>0</v>
      </c>
      <c r="O246" s="156">
        <v>0</v>
      </c>
      <c r="P246" s="176">
        <f t="shared" si="16"/>
        <v>542400</v>
      </c>
      <c r="Q246" s="223"/>
      <c r="R246" s="127"/>
      <c r="S246" s="127"/>
      <c r="T246" s="127"/>
    </row>
    <row r="247" spans="1:20" s="26" customFormat="1" ht="68.25" customHeight="1">
      <c r="A247" s="75" t="s">
        <v>1</v>
      </c>
      <c r="B247" s="76" t="s">
        <v>2</v>
      </c>
      <c r="C247" s="75" t="s">
        <v>608</v>
      </c>
      <c r="D247" s="7" t="s">
        <v>0</v>
      </c>
      <c r="E247" s="153">
        <f t="shared" si="13"/>
        <v>293369.79</v>
      </c>
      <c r="F247" s="154">
        <f>396400-103030.21</f>
        <v>293369.79</v>
      </c>
      <c r="G247" s="154">
        <v>0</v>
      </c>
      <c r="H247" s="154">
        <v>0</v>
      </c>
      <c r="I247" s="154">
        <v>0</v>
      </c>
      <c r="J247" s="155">
        <f t="shared" si="17"/>
        <v>0</v>
      </c>
      <c r="K247" s="156"/>
      <c r="L247" s="154">
        <v>0</v>
      </c>
      <c r="M247" s="154">
        <v>0</v>
      </c>
      <c r="N247" s="154">
        <v>0</v>
      </c>
      <c r="O247" s="154">
        <v>0</v>
      </c>
      <c r="P247" s="157">
        <f t="shared" si="16"/>
        <v>293369.79</v>
      </c>
      <c r="Q247" s="223"/>
      <c r="R247" s="115"/>
      <c r="S247" s="115"/>
      <c r="T247" s="115"/>
    </row>
    <row r="248" spans="1:20" s="32" customFormat="1" ht="20.25" customHeight="1" hidden="1">
      <c r="A248" s="95" t="s">
        <v>255</v>
      </c>
      <c r="B248" s="96" t="s">
        <v>290</v>
      </c>
      <c r="C248" s="97"/>
      <c r="D248" s="20" t="s">
        <v>3</v>
      </c>
      <c r="E248" s="166">
        <f t="shared" si="13"/>
        <v>60000</v>
      </c>
      <c r="F248" s="166">
        <f>F249</f>
        <v>60000</v>
      </c>
      <c r="G248" s="166">
        <f>G249</f>
        <v>0</v>
      </c>
      <c r="H248" s="166">
        <f>H249</f>
        <v>0</v>
      </c>
      <c r="I248" s="166">
        <f>I249</f>
        <v>0</v>
      </c>
      <c r="J248" s="166">
        <f t="shared" si="17"/>
        <v>0</v>
      </c>
      <c r="K248" s="166"/>
      <c r="L248" s="166">
        <f>L249</f>
        <v>0</v>
      </c>
      <c r="M248" s="166">
        <f>M249</f>
        <v>0</v>
      </c>
      <c r="N248" s="166">
        <f>N249</f>
        <v>0</v>
      </c>
      <c r="O248" s="166">
        <f>O249</f>
        <v>0</v>
      </c>
      <c r="P248" s="167">
        <f t="shared" si="16"/>
        <v>60000</v>
      </c>
      <c r="Q248" s="223"/>
      <c r="R248" s="122"/>
      <c r="S248" s="122"/>
      <c r="T248" s="122"/>
    </row>
    <row r="249" spans="1:20" s="26" customFormat="1" ht="43.5" customHeight="1">
      <c r="A249" s="75" t="s">
        <v>256</v>
      </c>
      <c r="B249" s="76" t="s">
        <v>289</v>
      </c>
      <c r="C249" s="75" t="s">
        <v>613</v>
      </c>
      <c r="D249" s="18" t="s">
        <v>291</v>
      </c>
      <c r="E249" s="153">
        <f t="shared" si="13"/>
        <v>60000</v>
      </c>
      <c r="F249" s="154">
        <v>60000</v>
      </c>
      <c r="G249" s="154">
        <v>0</v>
      </c>
      <c r="H249" s="154">
        <v>0</v>
      </c>
      <c r="I249" s="154">
        <v>0</v>
      </c>
      <c r="J249" s="155">
        <f t="shared" si="17"/>
        <v>0</v>
      </c>
      <c r="K249" s="159"/>
      <c r="L249" s="154">
        <v>0</v>
      </c>
      <c r="M249" s="154">
        <v>0</v>
      </c>
      <c r="N249" s="154">
        <v>0</v>
      </c>
      <c r="O249" s="154">
        <v>0</v>
      </c>
      <c r="P249" s="157">
        <f t="shared" si="16"/>
        <v>60000</v>
      </c>
      <c r="Q249" s="223"/>
      <c r="R249" s="115"/>
      <c r="S249" s="115"/>
      <c r="T249" s="115"/>
    </row>
    <row r="250" spans="1:20" s="39" customFormat="1" ht="36.75" customHeight="1" hidden="1">
      <c r="A250" s="89"/>
      <c r="B250" s="88"/>
      <c r="C250" s="89"/>
      <c r="D250" s="15" t="s">
        <v>423</v>
      </c>
      <c r="E250" s="156">
        <f t="shared" si="13"/>
        <v>0</v>
      </c>
      <c r="F250" s="156"/>
      <c r="G250" s="156"/>
      <c r="H250" s="156"/>
      <c r="I250" s="156"/>
      <c r="J250" s="148">
        <f t="shared" si="17"/>
        <v>0</v>
      </c>
      <c r="K250" s="156"/>
      <c r="L250" s="156"/>
      <c r="M250" s="156"/>
      <c r="N250" s="156"/>
      <c r="O250" s="156"/>
      <c r="P250" s="176">
        <f t="shared" si="16"/>
        <v>0</v>
      </c>
      <c r="Q250" s="223"/>
      <c r="R250" s="127"/>
      <c r="S250" s="127"/>
      <c r="T250" s="127"/>
    </row>
    <row r="251" spans="1:20" s="32" customFormat="1" ht="19.5" customHeight="1" hidden="1">
      <c r="A251" s="81" t="s">
        <v>258</v>
      </c>
      <c r="B251" s="82" t="s">
        <v>292</v>
      </c>
      <c r="C251" s="81"/>
      <c r="D251" s="13" t="s">
        <v>506</v>
      </c>
      <c r="E251" s="166">
        <f>F251+I251</f>
        <v>279100</v>
      </c>
      <c r="F251" s="166">
        <f>F252</f>
        <v>279100</v>
      </c>
      <c r="G251" s="166">
        <f>G252</f>
        <v>0</v>
      </c>
      <c r="H251" s="166">
        <f>H252</f>
        <v>0</v>
      </c>
      <c r="I251" s="166">
        <f>I252</f>
        <v>0</v>
      </c>
      <c r="J251" s="166">
        <f t="shared" si="17"/>
        <v>0</v>
      </c>
      <c r="K251" s="166"/>
      <c r="L251" s="166">
        <f>L252</f>
        <v>0</v>
      </c>
      <c r="M251" s="166">
        <f>M252</f>
        <v>0</v>
      </c>
      <c r="N251" s="166">
        <f>N252</f>
        <v>0</v>
      </c>
      <c r="O251" s="166">
        <f>O252</f>
        <v>0</v>
      </c>
      <c r="P251" s="167">
        <f t="shared" si="16"/>
        <v>279100</v>
      </c>
      <c r="Q251" s="223"/>
      <c r="R251" s="122"/>
      <c r="S251" s="122"/>
      <c r="T251" s="122"/>
    </row>
    <row r="252" spans="1:20" s="26" customFormat="1" ht="33.75" customHeight="1">
      <c r="A252" s="75" t="s">
        <v>262</v>
      </c>
      <c r="B252" s="76" t="s">
        <v>263</v>
      </c>
      <c r="C252" s="75" t="s">
        <v>487</v>
      </c>
      <c r="D252" s="19" t="s">
        <v>253</v>
      </c>
      <c r="E252" s="153">
        <f t="shared" si="13"/>
        <v>279100</v>
      </c>
      <c r="F252" s="154">
        <v>279100</v>
      </c>
      <c r="G252" s="154"/>
      <c r="H252" s="154"/>
      <c r="I252" s="154"/>
      <c r="J252" s="155">
        <f t="shared" si="17"/>
        <v>0</v>
      </c>
      <c r="K252" s="159"/>
      <c r="L252" s="154">
        <v>0</v>
      </c>
      <c r="M252" s="154">
        <v>0</v>
      </c>
      <c r="N252" s="154">
        <v>0</v>
      </c>
      <c r="O252" s="154">
        <v>0</v>
      </c>
      <c r="P252" s="157">
        <f t="shared" si="16"/>
        <v>279100</v>
      </c>
      <c r="Q252" s="223"/>
      <c r="R252" s="115"/>
      <c r="S252" s="115"/>
      <c r="T252" s="115"/>
    </row>
    <row r="253" spans="1:20" s="40" customFormat="1" ht="26.25">
      <c r="A253" s="72" t="s">
        <v>605</v>
      </c>
      <c r="B253" s="73"/>
      <c r="C253" s="74"/>
      <c r="D253" s="6" t="s">
        <v>182</v>
      </c>
      <c r="E253" s="150">
        <f t="shared" si="13"/>
        <v>189776222</v>
      </c>
      <c r="F253" s="150">
        <f>F254+F255+F256+F258+F263+F270+F285+F298+F300+F301+F302+F304+F268</f>
        <v>189776222</v>
      </c>
      <c r="G253" s="150">
        <f>G254+G255+G256+G258+G263+G270+G285+G298+G300+G301+G302+G304+G268</f>
        <v>14968553</v>
      </c>
      <c r="H253" s="150">
        <f>H254+H255+H256+H258+H263+H270+H285+H298+H300+H301+H302+H304+H268</f>
        <v>583425</v>
      </c>
      <c r="I253" s="150">
        <f>I254+I255+I256+I258+I263+I270+I285+I298+I300+I301+I302+I304+I268</f>
        <v>0</v>
      </c>
      <c r="J253" s="151">
        <f t="shared" si="17"/>
        <v>88000</v>
      </c>
      <c r="K253" s="151">
        <f>K254</f>
        <v>15000</v>
      </c>
      <c r="L253" s="150">
        <f>L254+L255+L256+L258+L263+L270+L285+L298+L300+L301+L302+L304+L268</f>
        <v>73000</v>
      </c>
      <c r="M253" s="150">
        <f>M254+M255+M256+M258+M263+M270+M285+M298+M300+M301+M302+M304+M268</f>
        <v>50000</v>
      </c>
      <c r="N253" s="150">
        <f>N254+N255+N256+N258+N263+N270+N285+N298+N300+N301+N302+N304+N268</f>
        <v>0</v>
      </c>
      <c r="O253" s="150">
        <f>O254+O255+O256+O258+O263+O270+O285+O298+O300+O301+O302+O304+O268</f>
        <v>15000</v>
      </c>
      <c r="P253" s="152">
        <f t="shared" si="16"/>
        <v>189864222</v>
      </c>
      <c r="Q253" s="223"/>
      <c r="R253" s="128"/>
      <c r="S253" s="128"/>
      <c r="T253" s="128"/>
    </row>
    <row r="254" spans="1:20" s="26" customFormat="1" ht="26.25">
      <c r="A254" s="75" t="s">
        <v>606</v>
      </c>
      <c r="B254" s="76" t="s">
        <v>464</v>
      </c>
      <c r="C254" s="75" t="s">
        <v>449</v>
      </c>
      <c r="D254" s="7" t="s">
        <v>465</v>
      </c>
      <c r="E254" s="153">
        <f t="shared" si="13"/>
        <v>11835080</v>
      </c>
      <c r="F254" s="154">
        <v>11835080</v>
      </c>
      <c r="G254" s="154">
        <v>9418553</v>
      </c>
      <c r="H254" s="154">
        <v>198035</v>
      </c>
      <c r="I254" s="154"/>
      <c r="J254" s="155">
        <f t="shared" si="17"/>
        <v>15000</v>
      </c>
      <c r="K254" s="159">
        <v>15000</v>
      </c>
      <c r="L254" s="154">
        <v>0</v>
      </c>
      <c r="M254" s="154">
        <v>0</v>
      </c>
      <c r="N254" s="154">
        <v>0</v>
      </c>
      <c r="O254" s="154">
        <v>15000</v>
      </c>
      <c r="P254" s="157">
        <f t="shared" si="16"/>
        <v>11850080</v>
      </c>
      <c r="Q254" s="223"/>
      <c r="R254" s="115"/>
      <c r="S254" s="115"/>
      <c r="T254" s="115"/>
    </row>
    <row r="255" spans="1:20" s="26" customFormat="1" ht="15">
      <c r="A255" s="75" t="s">
        <v>607</v>
      </c>
      <c r="B255" s="76" t="s">
        <v>454</v>
      </c>
      <c r="C255" s="75" t="s">
        <v>453</v>
      </c>
      <c r="D255" s="7" t="s">
        <v>455</v>
      </c>
      <c r="E255" s="153">
        <f t="shared" si="13"/>
        <v>188106</v>
      </c>
      <c r="F255" s="154">
        <f>144000+44106</f>
        <v>188106</v>
      </c>
      <c r="G255" s="154"/>
      <c r="H255" s="154"/>
      <c r="I255" s="154"/>
      <c r="J255" s="155">
        <f t="shared" si="17"/>
        <v>0</v>
      </c>
      <c r="K255" s="159"/>
      <c r="L255" s="154">
        <v>0</v>
      </c>
      <c r="M255" s="154">
        <v>0</v>
      </c>
      <c r="N255" s="154">
        <v>0</v>
      </c>
      <c r="O255" s="154">
        <v>0</v>
      </c>
      <c r="P255" s="157">
        <f t="shared" si="16"/>
        <v>188106</v>
      </c>
      <c r="Q255" s="223"/>
      <c r="R255" s="115"/>
      <c r="S255" s="115"/>
      <c r="T255" s="115"/>
    </row>
    <row r="256" spans="1:20" s="26" customFormat="1" ht="155.25" customHeight="1">
      <c r="A256" s="75" t="s">
        <v>333</v>
      </c>
      <c r="B256" s="76">
        <v>3230</v>
      </c>
      <c r="C256" s="68" t="s">
        <v>483</v>
      </c>
      <c r="D256" s="18" t="s">
        <v>405</v>
      </c>
      <c r="E256" s="153">
        <f aca="true" t="shared" si="19" ref="E256:E335">F256+I256</f>
        <v>1781236</v>
      </c>
      <c r="F256" s="154">
        <f>F257</f>
        <v>1781236</v>
      </c>
      <c r="G256" s="154"/>
      <c r="H256" s="154"/>
      <c r="I256" s="154"/>
      <c r="J256" s="155">
        <f t="shared" si="17"/>
        <v>0</v>
      </c>
      <c r="K256" s="159"/>
      <c r="L256" s="154">
        <f>L257</f>
        <v>0</v>
      </c>
      <c r="M256" s="154">
        <f>M257</f>
        <v>0</v>
      </c>
      <c r="N256" s="154">
        <f>N257</f>
        <v>0</v>
      </c>
      <c r="O256" s="154">
        <f>O257</f>
        <v>0</v>
      </c>
      <c r="P256" s="157">
        <f t="shared" si="16"/>
        <v>1781236</v>
      </c>
      <c r="Q256" s="223"/>
      <c r="R256" s="115"/>
      <c r="S256" s="115"/>
      <c r="T256" s="115"/>
    </row>
    <row r="257" spans="1:20" s="26" customFormat="1" ht="168.75" customHeight="1">
      <c r="A257" s="75"/>
      <c r="B257" s="76"/>
      <c r="C257" s="75"/>
      <c r="D257" s="12" t="s">
        <v>406</v>
      </c>
      <c r="E257" s="153">
        <f t="shared" si="19"/>
        <v>1781236</v>
      </c>
      <c r="F257" s="154">
        <v>1781236</v>
      </c>
      <c r="G257" s="154"/>
      <c r="H257" s="154"/>
      <c r="I257" s="154"/>
      <c r="J257" s="155">
        <f t="shared" si="17"/>
        <v>0</v>
      </c>
      <c r="K257" s="159"/>
      <c r="L257" s="154"/>
      <c r="M257" s="154"/>
      <c r="N257" s="154"/>
      <c r="O257" s="154"/>
      <c r="P257" s="157">
        <f t="shared" si="16"/>
        <v>1781236</v>
      </c>
      <c r="Q257" s="223"/>
      <c r="R257" s="115"/>
      <c r="S257" s="115"/>
      <c r="T257" s="115"/>
    </row>
    <row r="258" spans="1:20" s="32" customFormat="1" ht="69.75" customHeight="1" hidden="1">
      <c r="A258" s="81" t="s">
        <v>609</v>
      </c>
      <c r="B258" s="82" t="s">
        <v>610</v>
      </c>
      <c r="C258" s="83"/>
      <c r="D258" s="13" t="s">
        <v>611</v>
      </c>
      <c r="E258" s="166">
        <f t="shared" si="19"/>
        <v>76192200</v>
      </c>
      <c r="F258" s="166">
        <f>F259+F261</f>
        <v>76192200</v>
      </c>
      <c r="G258" s="166">
        <f>G259+G261</f>
        <v>0</v>
      </c>
      <c r="H258" s="166">
        <f>H259+H261</f>
        <v>0</v>
      </c>
      <c r="I258" s="166">
        <f>I259+I261</f>
        <v>0</v>
      </c>
      <c r="J258" s="166">
        <f t="shared" si="17"/>
        <v>0</v>
      </c>
      <c r="K258" s="166"/>
      <c r="L258" s="166">
        <f>L259+L261</f>
        <v>0</v>
      </c>
      <c r="M258" s="166">
        <f>M259+M261</f>
        <v>0</v>
      </c>
      <c r="N258" s="166">
        <f>N259+N261</f>
        <v>0</v>
      </c>
      <c r="O258" s="166">
        <f>O259+O261</f>
        <v>0</v>
      </c>
      <c r="P258" s="167">
        <f t="shared" si="16"/>
        <v>76192200</v>
      </c>
      <c r="Q258" s="223"/>
      <c r="R258" s="122"/>
      <c r="S258" s="122"/>
      <c r="T258" s="122"/>
    </row>
    <row r="259" spans="1:20" s="26" customFormat="1" ht="26.25">
      <c r="A259" s="75" t="s">
        <v>612</v>
      </c>
      <c r="B259" s="76" t="s">
        <v>614</v>
      </c>
      <c r="C259" s="75" t="s">
        <v>613</v>
      </c>
      <c r="D259" s="7" t="s">
        <v>615</v>
      </c>
      <c r="E259" s="153">
        <f t="shared" si="19"/>
        <v>12192200</v>
      </c>
      <c r="F259" s="154">
        <f>F260</f>
        <v>12192200</v>
      </c>
      <c r="G259" s="154">
        <f>G260</f>
        <v>0</v>
      </c>
      <c r="H259" s="154">
        <f>H260</f>
        <v>0</v>
      </c>
      <c r="I259" s="154">
        <f>I260</f>
        <v>0</v>
      </c>
      <c r="J259" s="155">
        <f t="shared" si="17"/>
        <v>0</v>
      </c>
      <c r="K259" s="159"/>
      <c r="L259" s="154">
        <f>L260</f>
        <v>0</v>
      </c>
      <c r="M259" s="154">
        <f>M260</f>
        <v>0</v>
      </c>
      <c r="N259" s="154">
        <f>N260</f>
        <v>0</v>
      </c>
      <c r="O259" s="154">
        <f>O260</f>
        <v>0</v>
      </c>
      <c r="P259" s="157">
        <f t="shared" si="16"/>
        <v>12192200</v>
      </c>
      <c r="Q259" s="223"/>
      <c r="R259" s="115"/>
      <c r="S259" s="115"/>
      <c r="T259" s="115"/>
    </row>
    <row r="260" spans="1:20" s="26" customFormat="1" ht="195" customHeight="1">
      <c r="A260" s="75"/>
      <c r="B260" s="76"/>
      <c r="C260" s="75"/>
      <c r="D260" s="12" t="s">
        <v>408</v>
      </c>
      <c r="E260" s="153">
        <f t="shared" si="19"/>
        <v>12192200</v>
      </c>
      <c r="F260" s="154">
        <v>12192200</v>
      </c>
      <c r="G260" s="154"/>
      <c r="H260" s="154"/>
      <c r="I260" s="154"/>
      <c r="J260" s="155">
        <f t="shared" si="17"/>
        <v>0</v>
      </c>
      <c r="K260" s="159"/>
      <c r="L260" s="154"/>
      <c r="M260" s="154"/>
      <c r="N260" s="154"/>
      <c r="O260" s="154"/>
      <c r="P260" s="157">
        <f t="shared" si="16"/>
        <v>12192200</v>
      </c>
      <c r="Q260" s="223"/>
      <c r="R260" s="115"/>
      <c r="S260" s="115"/>
      <c r="T260" s="115"/>
    </row>
    <row r="261" spans="1:20" s="26" customFormat="1" ht="26.25">
      <c r="A261" s="75" t="s">
        <v>616</v>
      </c>
      <c r="B261" s="76" t="s">
        <v>617</v>
      </c>
      <c r="C261" s="75" t="s">
        <v>608</v>
      </c>
      <c r="D261" s="7" t="s">
        <v>618</v>
      </c>
      <c r="E261" s="153">
        <f t="shared" si="19"/>
        <v>64000000</v>
      </c>
      <c r="F261" s="154">
        <f>F262</f>
        <v>64000000</v>
      </c>
      <c r="G261" s="154">
        <f>G262</f>
        <v>0</v>
      </c>
      <c r="H261" s="154">
        <f>H262</f>
        <v>0</v>
      </c>
      <c r="I261" s="154">
        <f>I262</f>
        <v>0</v>
      </c>
      <c r="J261" s="155">
        <f t="shared" si="17"/>
        <v>0</v>
      </c>
      <c r="K261" s="159"/>
      <c r="L261" s="154">
        <f>L262</f>
        <v>0</v>
      </c>
      <c r="M261" s="154">
        <f>M262</f>
        <v>0</v>
      </c>
      <c r="N261" s="154">
        <f>N262</f>
        <v>0</v>
      </c>
      <c r="O261" s="154">
        <f>O262</f>
        <v>0</v>
      </c>
      <c r="P261" s="157">
        <f t="shared" si="16"/>
        <v>64000000</v>
      </c>
      <c r="Q261" s="223"/>
      <c r="R261" s="115"/>
      <c r="S261" s="115"/>
      <c r="T261" s="115"/>
    </row>
    <row r="262" spans="1:20" s="26" customFormat="1" ht="197.25" customHeight="1">
      <c r="A262" s="75"/>
      <c r="B262" s="76"/>
      <c r="C262" s="75"/>
      <c r="D262" s="12" t="s">
        <v>408</v>
      </c>
      <c r="E262" s="153">
        <f t="shared" si="19"/>
        <v>64000000</v>
      </c>
      <c r="F262" s="154">
        <v>64000000</v>
      </c>
      <c r="G262" s="154"/>
      <c r="H262" s="154"/>
      <c r="I262" s="154"/>
      <c r="J262" s="155">
        <f t="shared" si="17"/>
        <v>0</v>
      </c>
      <c r="K262" s="159"/>
      <c r="L262" s="154"/>
      <c r="M262" s="154"/>
      <c r="N262" s="154"/>
      <c r="O262" s="154"/>
      <c r="P262" s="157">
        <f t="shared" si="16"/>
        <v>64000000</v>
      </c>
      <c r="Q262" s="223"/>
      <c r="R262" s="115"/>
      <c r="S262" s="115"/>
      <c r="T262" s="115"/>
    </row>
    <row r="263" spans="1:20" s="32" customFormat="1" ht="26.25" hidden="1">
      <c r="A263" s="81" t="s">
        <v>619</v>
      </c>
      <c r="B263" s="82" t="s">
        <v>620</v>
      </c>
      <c r="C263" s="83"/>
      <c r="D263" s="13" t="s">
        <v>621</v>
      </c>
      <c r="E263" s="166">
        <f t="shared" si="19"/>
        <v>137800</v>
      </c>
      <c r="F263" s="166">
        <f>F264+F266</f>
        <v>137800</v>
      </c>
      <c r="G263" s="166">
        <f>G264+G266</f>
        <v>0</v>
      </c>
      <c r="H263" s="166">
        <f>H264+H266</f>
        <v>0</v>
      </c>
      <c r="I263" s="166">
        <f>I264+I266</f>
        <v>0</v>
      </c>
      <c r="J263" s="166">
        <f t="shared" si="17"/>
        <v>0</v>
      </c>
      <c r="K263" s="166"/>
      <c r="L263" s="166">
        <f>L264+L266</f>
        <v>0</v>
      </c>
      <c r="M263" s="166">
        <v>0</v>
      </c>
      <c r="N263" s="166">
        <v>0</v>
      </c>
      <c r="O263" s="166">
        <v>0</v>
      </c>
      <c r="P263" s="167">
        <f t="shared" si="16"/>
        <v>137800</v>
      </c>
      <c r="Q263" s="223"/>
      <c r="R263" s="122"/>
      <c r="S263" s="122"/>
      <c r="T263" s="122"/>
    </row>
    <row r="264" spans="1:20" s="26" customFormat="1" ht="39">
      <c r="A264" s="75" t="s">
        <v>622</v>
      </c>
      <c r="B264" s="76" t="s">
        <v>623</v>
      </c>
      <c r="C264" s="75" t="s">
        <v>613</v>
      </c>
      <c r="D264" s="7" t="s">
        <v>624</v>
      </c>
      <c r="E264" s="153">
        <f t="shared" si="19"/>
        <v>7800</v>
      </c>
      <c r="F264" s="154">
        <f>F265</f>
        <v>7800</v>
      </c>
      <c r="G264" s="154">
        <f>G265</f>
        <v>0</v>
      </c>
      <c r="H264" s="154">
        <f>H265</f>
        <v>0</v>
      </c>
      <c r="I264" s="154">
        <f>I265</f>
        <v>0</v>
      </c>
      <c r="J264" s="155">
        <f t="shared" si="17"/>
        <v>0</v>
      </c>
      <c r="K264" s="159"/>
      <c r="L264" s="154">
        <f>L265</f>
        <v>0</v>
      </c>
      <c r="M264" s="154">
        <f>M265</f>
        <v>0</v>
      </c>
      <c r="N264" s="154">
        <f>N265</f>
        <v>0</v>
      </c>
      <c r="O264" s="154">
        <f>O265</f>
        <v>0</v>
      </c>
      <c r="P264" s="157">
        <f t="shared" si="16"/>
        <v>7800</v>
      </c>
      <c r="Q264" s="223"/>
      <c r="R264" s="115"/>
      <c r="S264" s="115"/>
      <c r="T264" s="115"/>
    </row>
    <row r="265" spans="1:20" s="26" customFormat="1" ht="81" customHeight="1">
      <c r="A265" s="75"/>
      <c r="B265" s="76"/>
      <c r="C265" s="75"/>
      <c r="D265" s="7" t="s">
        <v>180</v>
      </c>
      <c r="E265" s="153">
        <f t="shared" si="19"/>
        <v>7800</v>
      </c>
      <c r="F265" s="154">
        <f>7800</f>
        <v>7800</v>
      </c>
      <c r="G265" s="154"/>
      <c r="H265" s="154"/>
      <c r="I265" s="154"/>
      <c r="J265" s="155">
        <f t="shared" si="17"/>
        <v>0</v>
      </c>
      <c r="K265" s="159"/>
      <c r="L265" s="154"/>
      <c r="M265" s="154"/>
      <c r="N265" s="154"/>
      <c r="O265" s="154"/>
      <c r="P265" s="157">
        <f t="shared" si="16"/>
        <v>7800</v>
      </c>
      <c r="Q265" s="223"/>
      <c r="R265" s="115"/>
      <c r="S265" s="115"/>
      <c r="T265" s="115"/>
    </row>
    <row r="266" spans="1:20" s="26" customFormat="1" ht="26.25">
      <c r="A266" s="75" t="s">
        <v>625</v>
      </c>
      <c r="B266" s="76" t="s">
        <v>626</v>
      </c>
      <c r="C266" s="75" t="s">
        <v>608</v>
      </c>
      <c r="D266" s="7" t="s">
        <v>627</v>
      </c>
      <c r="E266" s="153">
        <f t="shared" si="19"/>
        <v>130000</v>
      </c>
      <c r="F266" s="154">
        <f>F267</f>
        <v>130000</v>
      </c>
      <c r="G266" s="154">
        <f>G267</f>
        <v>0</v>
      </c>
      <c r="H266" s="154">
        <f>H267</f>
        <v>0</v>
      </c>
      <c r="I266" s="154">
        <f>I267</f>
        <v>0</v>
      </c>
      <c r="J266" s="155">
        <f t="shared" si="17"/>
        <v>0</v>
      </c>
      <c r="K266" s="159"/>
      <c r="L266" s="154">
        <f>L267</f>
        <v>0</v>
      </c>
      <c r="M266" s="154">
        <f>M267</f>
        <v>0</v>
      </c>
      <c r="N266" s="154">
        <f>N267</f>
        <v>0</v>
      </c>
      <c r="O266" s="154">
        <f>O267</f>
        <v>0</v>
      </c>
      <c r="P266" s="157">
        <f t="shared" si="16"/>
        <v>130000</v>
      </c>
      <c r="Q266" s="223"/>
      <c r="R266" s="115"/>
      <c r="S266" s="115"/>
      <c r="T266" s="115"/>
    </row>
    <row r="267" spans="1:20" s="26" customFormat="1" ht="81" customHeight="1">
      <c r="A267" s="75"/>
      <c r="B267" s="76"/>
      <c r="C267" s="75"/>
      <c r="D267" s="7" t="s">
        <v>180</v>
      </c>
      <c r="E267" s="153">
        <f t="shared" si="19"/>
        <v>130000</v>
      </c>
      <c r="F267" s="154">
        <f>130000</f>
        <v>130000</v>
      </c>
      <c r="G267" s="154"/>
      <c r="H267" s="154"/>
      <c r="I267" s="154"/>
      <c r="J267" s="155">
        <f t="shared" si="17"/>
        <v>0</v>
      </c>
      <c r="K267" s="159"/>
      <c r="L267" s="154"/>
      <c r="M267" s="154"/>
      <c r="N267" s="154"/>
      <c r="O267" s="154"/>
      <c r="P267" s="157">
        <f aca="true" t="shared" si="20" ref="P267:P332">E267+J267</f>
        <v>130000</v>
      </c>
      <c r="Q267" s="223"/>
      <c r="R267" s="115"/>
      <c r="S267" s="115"/>
      <c r="T267" s="115"/>
    </row>
    <row r="268" spans="1:20" s="32" customFormat="1" ht="54.75" customHeight="1" hidden="1">
      <c r="A268" s="81" t="s">
        <v>628</v>
      </c>
      <c r="B268" s="82">
        <v>3030</v>
      </c>
      <c r="C268" s="81"/>
      <c r="D268" s="38" t="s">
        <v>315</v>
      </c>
      <c r="E268" s="166">
        <f>E269</f>
        <v>0</v>
      </c>
      <c r="F268" s="166">
        <f>F269</f>
        <v>0</v>
      </c>
      <c r="G268" s="166">
        <f>G269</f>
        <v>0</v>
      </c>
      <c r="H268" s="166">
        <f>H269</f>
        <v>0</v>
      </c>
      <c r="I268" s="166">
        <f>I269</f>
        <v>0</v>
      </c>
      <c r="J268" s="148">
        <f t="shared" si="17"/>
        <v>0</v>
      </c>
      <c r="K268" s="166"/>
      <c r="L268" s="166">
        <f>L269</f>
        <v>0</v>
      </c>
      <c r="M268" s="166">
        <f>M269</f>
        <v>0</v>
      </c>
      <c r="N268" s="166">
        <f>N269</f>
        <v>0</v>
      </c>
      <c r="O268" s="166">
        <f>O269</f>
        <v>0</v>
      </c>
      <c r="P268" s="167">
        <f>P269</f>
        <v>0</v>
      </c>
      <c r="Q268" s="223"/>
      <c r="R268" s="122"/>
      <c r="S268" s="122"/>
      <c r="T268" s="122"/>
    </row>
    <row r="269" spans="1:20" s="26" customFormat="1" ht="29.25" customHeight="1" hidden="1">
      <c r="A269" s="75" t="s">
        <v>316</v>
      </c>
      <c r="B269" s="76">
        <v>3032</v>
      </c>
      <c r="C269" s="68" t="s">
        <v>635</v>
      </c>
      <c r="D269" s="41" t="s">
        <v>317</v>
      </c>
      <c r="E269" s="153">
        <f>F269+I269</f>
        <v>0</v>
      </c>
      <c r="F269" s="154"/>
      <c r="G269" s="154"/>
      <c r="H269" s="154"/>
      <c r="I269" s="154"/>
      <c r="J269" s="148">
        <f t="shared" si="17"/>
        <v>0</v>
      </c>
      <c r="K269" s="153"/>
      <c r="L269" s="154"/>
      <c r="M269" s="154"/>
      <c r="N269" s="154"/>
      <c r="O269" s="154"/>
      <c r="P269" s="157">
        <f>J269+E269</f>
        <v>0</v>
      </c>
      <c r="Q269" s="223"/>
      <c r="R269" s="115"/>
      <c r="S269" s="115"/>
      <c r="T269" s="115"/>
    </row>
    <row r="270" spans="1:20" s="32" customFormat="1" ht="26.25" hidden="1">
      <c r="A270" s="81" t="s">
        <v>644</v>
      </c>
      <c r="B270" s="82" t="s">
        <v>645</v>
      </c>
      <c r="C270" s="83"/>
      <c r="D270" s="46" t="s">
        <v>293</v>
      </c>
      <c r="E270" s="166">
        <f t="shared" si="19"/>
        <v>64633510</v>
      </c>
      <c r="F270" s="166">
        <f>F271+F275+F277+F279+F281+F283+F273</f>
        <v>64633510</v>
      </c>
      <c r="G270" s="166">
        <f>G271+G275+G279+G277+G281+G283</f>
        <v>0</v>
      </c>
      <c r="H270" s="166">
        <f>H271+H275+H279+H277+H281+H283</f>
        <v>0</v>
      </c>
      <c r="I270" s="166">
        <f>I271+I275+I279+I277+I281+I283</f>
        <v>0</v>
      </c>
      <c r="J270" s="166">
        <f aca="true" t="shared" si="21" ref="J270:J335">L270+O270</f>
        <v>0</v>
      </c>
      <c r="K270" s="166"/>
      <c r="L270" s="166">
        <v>0</v>
      </c>
      <c r="M270" s="166">
        <v>0</v>
      </c>
      <c r="N270" s="166">
        <v>0</v>
      </c>
      <c r="O270" s="166">
        <v>0</v>
      </c>
      <c r="P270" s="167">
        <f t="shared" si="20"/>
        <v>64633510</v>
      </c>
      <c r="Q270" s="223"/>
      <c r="R270" s="122"/>
      <c r="S270" s="122"/>
      <c r="T270" s="122"/>
    </row>
    <row r="271" spans="1:20" s="26" customFormat="1" ht="15">
      <c r="A271" s="75" t="s">
        <v>646</v>
      </c>
      <c r="B271" s="76" t="s">
        <v>647</v>
      </c>
      <c r="C271" s="75" t="s">
        <v>483</v>
      </c>
      <c r="D271" s="7" t="s">
        <v>648</v>
      </c>
      <c r="E271" s="153">
        <f t="shared" si="19"/>
        <v>757800</v>
      </c>
      <c r="F271" s="154">
        <f>F272</f>
        <v>757800</v>
      </c>
      <c r="G271" s="154">
        <v>0</v>
      </c>
      <c r="H271" s="154">
        <v>0</v>
      </c>
      <c r="I271" s="154">
        <v>0</v>
      </c>
      <c r="J271" s="155">
        <f t="shared" si="21"/>
        <v>0</v>
      </c>
      <c r="K271" s="159"/>
      <c r="L271" s="154">
        <v>0</v>
      </c>
      <c r="M271" s="154">
        <v>0</v>
      </c>
      <c r="N271" s="154">
        <v>0</v>
      </c>
      <c r="O271" s="154">
        <v>0</v>
      </c>
      <c r="P271" s="157">
        <f t="shared" si="20"/>
        <v>757800</v>
      </c>
      <c r="Q271" s="223"/>
      <c r="R271" s="115"/>
      <c r="S271" s="115"/>
      <c r="T271" s="115"/>
    </row>
    <row r="272" spans="1:20" s="26" customFormat="1" ht="188.25" customHeight="1">
      <c r="A272" s="75"/>
      <c r="B272" s="76"/>
      <c r="C272" s="75"/>
      <c r="D272" s="18" t="s">
        <v>296</v>
      </c>
      <c r="E272" s="153">
        <f t="shared" si="19"/>
        <v>757800</v>
      </c>
      <c r="F272" s="154">
        <v>757800</v>
      </c>
      <c r="G272" s="154"/>
      <c r="H272" s="154"/>
      <c r="I272" s="154"/>
      <c r="J272" s="155">
        <f t="shared" si="21"/>
        <v>0</v>
      </c>
      <c r="K272" s="159"/>
      <c r="L272" s="154"/>
      <c r="M272" s="154"/>
      <c r="N272" s="154"/>
      <c r="O272" s="154"/>
      <c r="P272" s="157">
        <f t="shared" si="20"/>
        <v>757800</v>
      </c>
      <c r="Q272" s="223"/>
      <c r="R272" s="115"/>
      <c r="S272" s="115"/>
      <c r="T272" s="115"/>
    </row>
    <row r="273" spans="1:20" s="26" customFormat="1" ht="22.5" customHeight="1">
      <c r="A273" s="75" t="s">
        <v>265</v>
      </c>
      <c r="B273" s="76" t="s">
        <v>294</v>
      </c>
      <c r="C273" s="75" t="s">
        <v>483</v>
      </c>
      <c r="D273" s="19" t="s">
        <v>663</v>
      </c>
      <c r="E273" s="153">
        <f>F273+I273</f>
        <v>144600</v>
      </c>
      <c r="F273" s="154">
        <f>F274</f>
        <v>144600</v>
      </c>
      <c r="G273" s="154">
        <f>G274</f>
        <v>0</v>
      </c>
      <c r="H273" s="154">
        <f>H274</f>
        <v>0</v>
      </c>
      <c r="I273" s="154">
        <f>I274</f>
        <v>0</v>
      </c>
      <c r="J273" s="155">
        <f t="shared" si="21"/>
        <v>0</v>
      </c>
      <c r="K273" s="159"/>
      <c r="L273" s="154">
        <f>L274</f>
        <v>0</v>
      </c>
      <c r="M273" s="154">
        <f>M274</f>
        <v>0</v>
      </c>
      <c r="N273" s="154">
        <f>N274</f>
        <v>0</v>
      </c>
      <c r="O273" s="154">
        <f>O274</f>
        <v>0</v>
      </c>
      <c r="P273" s="157">
        <f t="shared" si="20"/>
        <v>144600</v>
      </c>
      <c r="Q273" s="223"/>
      <c r="R273" s="115"/>
      <c r="S273" s="115"/>
      <c r="T273" s="115"/>
    </row>
    <row r="274" spans="1:20" s="26" customFormat="1" ht="212.25" customHeight="1">
      <c r="A274" s="75"/>
      <c r="B274" s="76"/>
      <c r="C274" s="75"/>
      <c r="D274" s="18" t="s">
        <v>296</v>
      </c>
      <c r="E274" s="153">
        <f>F274+I274</f>
        <v>144600</v>
      </c>
      <c r="F274" s="154">
        <v>144600</v>
      </c>
      <c r="G274" s="154"/>
      <c r="H274" s="154"/>
      <c r="I274" s="154"/>
      <c r="J274" s="155">
        <f t="shared" si="21"/>
        <v>0</v>
      </c>
      <c r="K274" s="159"/>
      <c r="L274" s="154"/>
      <c r="M274" s="154"/>
      <c r="N274" s="154"/>
      <c r="O274" s="154"/>
      <c r="P274" s="157">
        <f t="shared" si="20"/>
        <v>144600</v>
      </c>
      <c r="Q274" s="223"/>
      <c r="R274" s="115"/>
      <c r="S274" s="115"/>
      <c r="T274" s="115"/>
    </row>
    <row r="275" spans="1:20" s="26" customFormat="1" ht="19.5" customHeight="1">
      <c r="A275" s="75" t="s">
        <v>649</v>
      </c>
      <c r="B275" s="76" t="s">
        <v>650</v>
      </c>
      <c r="C275" s="75" t="s">
        <v>483</v>
      </c>
      <c r="D275" s="7" t="s">
        <v>651</v>
      </c>
      <c r="E275" s="153">
        <f t="shared" si="19"/>
        <v>33480810</v>
      </c>
      <c r="F275" s="154">
        <f>F276</f>
        <v>33480810</v>
      </c>
      <c r="G275" s="154"/>
      <c r="H275" s="154"/>
      <c r="I275" s="154"/>
      <c r="J275" s="155">
        <f t="shared" si="21"/>
        <v>0</v>
      </c>
      <c r="K275" s="159"/>
      <c r="L275" s="154">
        <v>0</v>
      </c>
      <c r="M275" s="154">
        <v>0</v>
      </c>
      <c r="N275" s="154">
        <v>0</v>
      </c>
      <c r="O275" s="154">
        <v>0</v>
      </c>
      <c r="P275" s="157">
        <f t="shared" si="20"/>
        <v>33480810</v>
      </c>
      <c r="Q275" s="223"/>
      <c r="R275" s="115"/>
      <c r="S275" s="115"/>
      <c r="T275" s="115"/>
    </row>
    <row r="276" spans="1:20" s="26" customFormat="1" ht="132">
      <c r="A276" s="75"/>
      <c r="B276" s="76"/>
      <c r="C276" s="75"/>
      <c r="D276" s="18" t="s">
        <v>296</v>
      </c>
      <c r="E276" s="153">
        <f t="shared" si="19"/>
        <v>33480810</v>
      </c>
      <c r="F276" s="154">
        <v>33480810</v>
      </c>
      <c r="G276" s="154"/>
      <c r="H276" s="154"/>
      <c r="I276" s="154"/>
      <c r="J276" s="155">
        <f t="shared" si="21"/>
        <v>0</v>
      </c>
      <c r="K276" s="159"/>
      <c r="L276" s="154"/>
      <c r="M276" s="154"/>
      <c r="N276" s="154"/>
      <c r="O276" s="154"/>
      <c r="P276" s="157">
        <f t="shared" si="20"/>
        <v>33480810</v>
      </c>
      <c r="Q276" s="223"/>
      <c r="R276" s="115"/>
      <c r="S276" s="115"/>
      <c r="T276" s="115"/>
    </row>
    <row r="277" spans="1:20" s="26" customFormat="1" ht="15">
      <c r="A277" s="75" t="s">
        <v>652</v>
      </c>
      <c r="B277" s="76" t="s">
        <v>653</v>
      </c>
      <c r="C277" s="75" t="s">
        <v>483</v>
      </c>
      <c r="D277" s="7" t="s">
        <v>654</v>
      </c>
      <c r="E277" s="153">
        <f t="shared" si="19"/>
        <v>6487500</v>
      </c>
      <c r="F277" s="154">
        <f>F278</f>
        <v>6487500</v>
      </c>
      <c r="G277" s="154">
        <v>0</v>
      </c>
      <c r="H277" s="154">
        <v>0</v>
      </c>
      <c r="I277" s="154">
        <v>0</v>
      </c>
      <c r="J277" s="155">
        <f t="shared" si="21"/>
        <v>0</v>
      </c>
      <c r="K277" s="159"/>
      <c r="L277" s="154">
        <v>0</v>
      </c>
      <c r="M277" s="154">
        <v>0</v>
      </c>
      <c r="N277" s="154">
        <v>0</v>
      </c>
      <c r="O277" s="154">
        <v>0</v>
      </c>
      <c r="P277" s="157">
        <f t="shared" si="20"/>
        <v>6487500</v>
      </c>
      <c r="Q277" s="223"/>
      <c r="R277" s="115"/>
      <c r="S277" s="115"/>
      <c r="T277" s="115"/>
    </row>
    <row r="278" spans="1:20" s="26" customFormat="1" ht="226.5" customHeight="1">
      <c r="A278" s="75"/>
      <c r="B278" s="76"/>
      <c r="C278" s="75"/>
      <c r="D278" s="18" t="s">
        <v>296</v>
      </c>
      <c r="E278" s="153">
        <f t="shared" si="19"/>
        <v>6487500</v>
      </c>
      <c r="F278" s="154">
        <v>6487500</v>
      </c>
      <c r="G278" s="154"/>
      <c r="H278" s="154"/>
      <c r="I278" s="154"/>
      <c r="J278" s="155">
        <f t="shared" si="21"/>
        <v>0</v>
      </c>
      <c r="K278" s="159"/>
      <c r="L278" s="154"/>
      <c r="M278" s="154"/>
      <c r="N278" s="154"/>
      <c r="O278" s="154"/>
      <c r="P278" s="157">
        <f t="shared" si="20"/>
        <v>6487500</v>
      </c>
      <c r="Q278" s="223"/>
      <c r="R278" s="115"/>
      <c r="S278" s="115"/>
      <c r="T278" s="115"/>
    </row>
    <row r="279" spans="1:20" s="26" customFormat="1" ht="15">
      <c r="A279" s="75" t="s">
        <v>655</v>
      </c>
      <c r="B279" s="76" t="s">
        <v>656</v>
      </c>
      <c r="C279" s="75" t="s">
        <v>483</v>
      </c>
      <c r="D279" s="7" t="s">
        <v>657</v>
      </c>
      <c r="E279" s="153">
        <f t="shared" si="19"/>
        <v>14388600</v>
      </c>
      <c r="F279" s="154">
        <f>F280</f>
        <v>14388600</v>
      </c>
      <c r="G279" s="154"/>
      <c r="H279" s="154"/>
      <c r="I279" s="154"/>
      <c r="J279" s="155">
        <f t="shared" si="21"/>
        <v>0</v>
      </c>
      <c r="K279" s="159"/>
      <c r="L279" s="154">
        <v>0</v>
      </c>
      <c r="M279" s="154">
        <v>0</v>
      </c>
      <c r="N279" s="154">
        <v>0</v>
      </c>
      <c r="O279" s="154">
        <v>0</v>
      </c>
      <c r="P279" s="157">
        <f t="shared" si="20"/>
        <v>14388600</v>
      </c>
      <c r="Q279" s="223"/>
      <c r="R279" s="115"/>
      <c r="S279" s="115"/>
      <c r="T279" s="115"/>
    </row>
    <row r="280" spans="1:20" s="26" customFormat="1" ht="132">
      <c r="A280" s="75"/>
      <c r="B280" s="76"/>
      <c r="C280" s="75"/>
      <c r="D280" s="18" t="s">
        <v>296</v>
      </c>
      <c r="E280" s="153">
        <f t="shared" si="19"/>
        <v>14388600</v>
      </c>
      <c r="F280" s="154">
        <v>14388600</v>
      </c>
      <c r="G280" s="154"/>
      <c r="H280" s="154"/>
      <c r="I280" s="154"/>
      <c r="J280" s="155">
        <f t="shared" si="21"/>
        <v>0</v>
      </c>
      <c r="K280" s="159"/>
      <c r="L280" s="154"/>
      <c r="M280" s="154"/>
      <c r="N280" s="154"/>
      <c r="O280" s="154"/>
      <c r="P280" s="157">
        <f t="shared" si="20"/>
        <v>14388600</v>
      </c>
      <c r="Q280" s="223"/>
      <c r="R280" s="115"/>
      <c r="S280" s="115"/>
      <c r="T280" s="115"/>
    </row>
    <row r="281" spans="1:20" s="26" customFormat="1" ht="15">
      <c r="A281" s="75" t="s">
        <v>658</v>
      </c>
      <c r="B281" s="76" t="s">
        <v>659</v>
      </c>
      <c r="C281" s="75" t="s">
        <v>483</v>
      </c>
      <c r="D281" s="7" t="s">
        <v>660</v>
      </c>
      <c r="E281" s="153">
        <f t="shared" si="19"/>
        <v>511000</v>
      </c>
      <c r="F281" s="154">
        <f>F282</f>
        <v>511000</v>
      </c>
      <c r="G281" s="154"/>
      <c r="H281" s="154"/>
      <c r="I281" s="154"/>
      <c r="J281" s="155">
        <f t="shared" si="21"/>
        <v>0</v>
      </c>
      <c r="K281" s="159"/>
      <c r="L281" s="154">
        <v>0</v>
      </c>
      <c r="M281" s="154">
        <v>0</v>
      </c>
      <c r="N281" s="154">
        <v>0</v>
      </c>
      <c r="O281" s="154">
        <v>0</v>
      </c>
      <c r="P281" s="157">
        <f t="shared" si="20"/>
        <v>511000</v>
      </c>
      <c r="Q281" s="223"/>
      <c r="R281" s="115"/>
      <c r="S281" s="115"/>
      <c r="T281" s="115"/>
    </row>
    <row r="282" spans="1:20" s="26" customFormat="1" ht="227.25" customHeight="1">
      <c r="A282" s="75"/>
      <c r="B282" s="76"/>
      <c r="C282" s="75"/>
      <c r="D282" s="18" t="s">
        <v>296</v>
      </c>
      <c r="E282" s="153">
        <f t="shared" si="19"/>
        <v>511000</v>
      </c>
      <c r="F282" s="154">
        <v>511000</v>
      </c>
      <c r="G282" s="154"/>
      <c r="H282" s="154"/>
      <c r="I282" s="154"/>
      <c r="J282" s="155">
        <f t="shared" si="21"/>
        <v>0</v>
      </c>
      <c r="K282" s="159"/>
      <c r="L282" s="154"/>
      <c r="M282" s="154"/>
      <c r="N282" s="154"/>
      <c r="O282" s="154"/>
      <c r="P282" s="157">
        <f t="shared" si="20"/>
        <v>511000</v>
      </c>
      <c r="Q282" s="223"/>
      <c r="R282" s="115"/>
      <c r="S282" s="115"/>
      <c r="T282" s="115"/>
    </row>
    <row r="283" spans="1:20" s="26" customFormat="1" ht="33" customHeight="1">
      <c r="A283" s="75" t="s">
        <v>661</v>
      </c>
      <c r="B283" s="76" t="s">
        <v>662</v>
      </c>
      <c r="C283" s="75" t="s">
        <v>483</v>
      </c>
      <c r="D283" s="19" t="s">
        <v>295</v>
      </c>
      <c r="E283" s="153">
        <f t="shared" si="19"/>
        <v>8863200</v>
      </c>
      <c r="F283" s="154">
        <f>F284</f>
        <v>8863200</v>
      </c>
      <c r="G283" s="154"/>
      <c r="H283" s="154"/>
      <c r="I283" s="154"/>
      <c r="J283" s="155">
        <f t="shared" si="21"/>
        <v>0</v>
      </c>
      <c r="K283" s="159"/>
      <c r="L283" s="154">
        <v>0</v>
      </c>
      <c r="M283" s="154">
        <v>0</v>
      </c>
      <c r="N283" s="154">
        <v>0</v>
      </c>
      <c r="O283" s="154">
        <v>0</v>
      </c>
      <c r="P283" s="157">
        <f t="shared" si="20"/>
        <v>8863200</v>
      </c>
      <c r="Q283" s="223"/>
      <c r="R283" s="115"/>
      <c r="S283" s="115"/>
      <c r="T283" s="115"/>
    </row>
    <row r="284" spans="1:20" s="26" customFormat="1" ht="213" customHeight="1">
      <c r="A284" s="75"/>
      <c r="B284" s="76"/>
      <c r="C284" s="75"/>
      <c r="D284" s="18" t="s">
        <v>296</v>
      </c>
      <c r="E284" s="153">
        <f t="shared" si="19"/>
        <v>8863200</v>
      </c>
      <c r="F284" s="154">
        <v>8863200</v>
      </c>
      <c r="G284" s="154"/>
      <c r="H284" s="154"/>
      <c r="I284" s="154"/>
      <c r="J284" s="155">
        <f t="shared" si="21"/>
        <v>0</v>
      </c>
      <c r="K284" s="159"/>
      <c r="L284" s="154"/>
      <c r="M284" s="154"/>
      <c r="N284" s="154"/>
      <c r="O284" s="154"/>
      <c r="P284" s="157">
        <f t="shared" si="20"/>
        <v>8863200</v>
      </c>
      <c r="Q284" s="223"/>
      <c r="R284" s="115"/>
      <c r="S284" s="115"/>
      <c r="T284" s="115"/>
    </row>
    <row r="285" spans="1:20" s="32" customFormat="1" ht="126.75" customHeight="1" hidden="1">
      <c r="A285" s="98" t="s">
        <v>664</v>
      </c>
      <c r="B285" s="99" t="s">
        <v>665</v>
      </c>
      <c r="C285" s="98"/>
      <c r="D285" s="38" t="s">
        <v>267</v>
      </c>
      <c r="E285" s="166">
        <f t="shared" si="19"/>
        <v>26267100</v>
      </c>
      <c r="F285" s="166">
        <f>F286+F288+F290+F292+F294+F296</f>
        <v>26267100</v>
      </c>
      <c r="G285" s="166">
        <f>G286+G288+G290+G292+G294</f>
        <v>0</v>
      </c>
      <c r="H285" s="166">
        <f>H286+H288+H290+H292+H294</f>
        <v>0</v>
      </c>
      <c r="I285" s="166">
        <f>I286+I288+I290+I292+I294</f>
        <v>0</v>
      </c>
      <c r="J285" s="166">
        <f t="shared" si="21"/>
        <v>0</v>
      </c>
      <c r="K285" s="166"/>
      <c r="L285" s="166">
        <f>L286+L288+L290+L292+L294</f>
        <v>0</v>
      </c>
      <c r="M285" s="166">
        <f>M286+M288+M290+M292+M294</f>
        <v>0</v>
      </c>
      <c r="N285" s="166">
        <f>N286+N288+N290+N292+N294</f>
        <v>0</v>
      </c>
      <c r="O285" s="166">
        <f>O286+O288+O290+O292+O294</f>
        <v>0</v>
      </c>
      <c r="P285" s="167">
        <f t="shared" si="20"/>
        <v>26267100</v>
      </c>
      <c r="Q285" s="223"/>
      <c r="R285" s="122"/>
      <c r="S285" s="122"/>
      <c r="T285" s="122"/>
    </row>
    <row r="286" spans="1:20" s="26" customFormat="1" ht="49.5" customHeight="1">
      <c r="A286" s="75" t="s">
        <v>268</v>
      </c>
      <c r="B286" s="76">
        <v>3081</v>
      </c>
      <c r="C286" s="68" t="s">
        <v>475</v>
      </c>
      <c r="D286" s="19" t="s">
        <v>269</v>
      </c>
      <c r="E286" s="153">
        <f>F286+I286</f>
        <v>16538900</v>
      </c>
      <c r="F286" s="154">
        <f>F287</f>
        <v>16538900</v>
      </c>
      <c r="G286" s="154"/>
      <c r="H286" s="154"/>
      <c r="I286" s="154"/>
      <c r="J286" s="155">
        <f t="shared" si="21"/>
        <v>0</v>
      </c>
      <c r="K286" s="159"/>
      <c r="L286" s="154">
        <f>L287</f>
        <v>0</v>
      </c>
      <c r="M286" s="154">
        <f>M287</f>
        <v>0</v>
      </c>
      <c r="N286" s="154">
        <f>N287</f>
        <v>0</v>
      </c>
      <c r="O286" s="154">
        <f>O287</f>
        <v>0</v>
      </c>
      <c r="P286" s="157">
        <f t="shared" si="20"/>
        <v>16538900</v>
      </c>
      <c r="Q286" s="223"/>
      <c r="R286" s="115"/>
      <c r="S286" s="115"/>
      <c r="T286" s="115"/>
    </row>
    <row r="287" spans="1:20" s="26" customFormat="1" ht="204" customHeight="1">
      <c r="A287" s="93"/>
      <c r="B287" s="94"/>
      <c r="C287" s="93"/>
      <c r="D287" s="18" t="s">
        <v>296</v>
      </c>
      <c r="E287" s="153">
        <f>F287+I287</f>
        <v>16538900</v>
      </c>
      <c r="F287" s="154">
        <v>16538900</v>
      </c>
      <c r="G287" s="154"/>
      <c r="H287" s="154"/>
      <c r="I287" s="154"/>
      <c r="J287" s="155">
        <f t="shared" si="21"/>
        <v>0</v>
      </c>
      <c r="K287" s="159"/>
      <c r="L287" s="278"/>
      <c r="M287" s="278"/>
      <c r="N287" s="278"/>
      <c r="O287" s="278"/>
      <c r="P287" s="157">
        <f aca="true" t="shared" si="22" ref="P287:P297">J287+E287</f>
        <v>16538900</v>
      </c>
      <c r="Q287" s="223"/>
      <c r="R287" s="115"/>
      <c r="S287" s="115"/>
      <c r="T287" s="115"/>
    </row>
    <row r="288" spans="1:20" s="26" customFormat="1" ht="49.5" customHeight="1">
      <c r="A288" s="75" t="s">
        <v>270</v>
      </c>
      <c r="B288" s="76">
        <v>3082</v>
      </c>
      <c r="C288" s="68" t="s">
        <v>475</v>
      </c>
      <c r="D288" s="19" t="s">
        <v>278</v>
      </c>
      <c r="E288" s="153">
        <f>F288+I288</f>
        <v>4711500</v>
      </c>
      <c r="F288" s="154">
        <f>F289</f>
        <v>4711500</v>
      </c>
      <c r="G288" s="154"/>
      <c r="H288" s="154"/>
      <c r="I288" s="154"/>
      <c r="J288" s="155">
        <f t="shared" si="21"/>
        <v>0</v>
      </c>
      <c r="K288" s="159"/>
      <c r="L288" s="154">
        <f>L289</f>
        <v>0</v>
      </c>
      <c r="M288" s="154">
        <f>M289</f>
        <v>0</v>
      </c>
      <c r="N288" s="154">
        <f>N289</f>
        <v>0</v>
      </c>
      <c r="O288" s="154">
        <f>O289</f>
        <v>0</v>
      </c>
      <c r="P288" s="157">
        <f t="shared" si="22"/>
        <v>4711500</v>
      </c>
      <c r="Q288" s="223"/>
      <c r="R288" s="115"/>
      <c r="S288" s="115"/>
      <c r="T288" s="115"/>
    </row>
    <row r="289" spans="1:20" s="26" customFormat="1" ht="207.75" customHeight="1">
      <c r="A289" s="93"/>
      <c r="B289" s="94"/>
      <c r="C289" s="93"/>
      <c r="D289" s="18" t="s">
        <v>296</v>
      </c>
      <c r="E289" s="153">
        <f>F289+I289</f>
        <v>4711500</v>
      </c>
      <c r="F289" s="154">
        <v>4711500</v>
      </c>
      <c r="G289" s="154"/>
      <c r="H289" s="154"/>
      <c r="I289" s="154"/>
      <c r="J289" s="155">
        <f t="shared" si="21"/>
        <v>0</v>
      </c>
      <c r="K289" s="159"/>
      <c r="L289" s="154"/>
      <c r="M289" s="154"/>
      <c r="N289" s="154"/>
      <c r="O289" s="154"/>
      <c r="P289" s="157">
        <f t="shared" si="22"/>
        <v>4711500</v>
      </c>
      <c r="Q289" s="223"/>
      <c r="R289" s="115"/>
      <c r="S289" s="115"/>
      <c r="T289" s="115"/>
    </row>
    <row r="290" spans="1:20" s="26" customFormat="1" ht="40.5" customHeight="1">
      <c r="A290" s="75" t="s">
        <v>279</v>
      </c>
      <c r="B290" s="76">
        <v>3083</v>
      </c>
      <c r="C290" s="68" t="s">
        <v>475</v>
      </c>
      <c r="D290" s="19" t="s">
        <v>280</v>
      </c>
      <c r="E290" s="153">
        <f aca="true" t="shared" si="23" ref="E290:E297">F290+I290</f>
        <v>4444400</v>
      </c>
      <c r="F290" s="154">
        <f>F291</f>
        <v>4444400</v>
      </c>
      <c r="G290" s="154"/>
      <c r="H290" s="154"/>
      <c r="I290" s="154"/>
      <c r="J290" s="155">
        <f t="shared" si="21"/>
        <v>0</v>
      </c>
      <c r="K290" s="159"/>
      <c r="L290" s="154">
        <f>L291</f>
        <v>0</v>
      </c>
      <c r="M290" s="154">
        <f>M291</f>
        <v>0</v>
      </c>
      <c r="N290" s="154">
        <f>N291</f>
        <v>0</v>
      </c>
      <c r="O290" s="154">
        <f>O291</f>
        <v>0</v>
      </c>
      <c r="P290" s="157">
        <f t="shared" si="22"/>
        <v>4444400</v>
      </c>
      <c r="Q290" s="223"/>
      <c r="R290" s="115"/>
      <c r="S290" s="115"/>
      <c r="T290" s="115"/>
    </row>
    <row r="291" spans="1:20" s="26" customFormat="1" ht="209.25" customHeight="1">
      <c r="A291" s="93"/>
      <c r="B291" s="94"/>
      <c r="C291" s="93"/>
      <c r="D291" s="18" t="s">
        <v>296</v>
      </c>
      <c r="E291" s="153">
        <f t="shared" si="23"/>
        <v>4444400</v>
      </c>
      <c r="F291" s="154">
        <f>4644400-200000</f>
        <v>4444400</v>
      </c>
      <c r="G291" s="154"/>
      <c r="H291" s="154"/>
      <c r="I291" s="154"/>
      <c r="J291" s="155">
        <f t="shared" si="21"/>
        <v>0</v>
      </c>
      <c r="K291" s="159"/>
      <c r="L291" s="154"/>
      <c r="M291" s="154"/>
      <c r="N291" s="154"/>
      <c r="O291" s="154"/>
      <c r="P291" s="157">
        <f t="shared" si="22"/>
        <v>4444400</v>
      </c>
      <c r="Q291" s="223"/>
      <c r="R291" s="115"/>
      <c r="S291" s="115"/>
      <c r="T291" s="115"/>
    </row>
    <row r="292" spans="1:20" s="26" customFormat="1" ht="54" customHeight="1">
      <c r="A292" s="75" t="s">
        <v>281</v>
      </c>
      <c r="B292" s="76">
        <v>3084</v>
      </c>
      <c r="C292" s="68" t="s">
        <v>483</v>
      </c>
      <c r="D292" s="19" t="s">
        <v>282</v>
      </c>
      <c r="E292" s="153">
        <f t="shared" si="23"/>
        <v>364300</v>
      </c>
      <c r="F292" s="154">
        <f>F293</f>
        <v>364300</v>
      </c>
      <c r="G292" s="154"/>
      <c r="H292" s="154"/>
      <c r="I292" s="154"/>
      <c r="J292" s="155">
        <f t="shared" si="21"/>
        <v>0</v>
      </c>
      <c r="K292" s="159"/>
      <c r="L292" s="154">
        <f>L293</f>
        <v>0</v>
      </c>
      <c r="M292" s="154">
        <f>M293</f>
        <v>0</v>
      </c>
      <c r="N292" s="154">
        <f>N293</f>
        <v>0</v>
      </c>
      <c r="O292" s="154">
        <f>O293</f>
        <v>0</v>
      </c>
      <c r="P292" s="157">
        <f t="shared" si="22"/>
        <v>364300</v>
      </c>
      <c r="Q292" s="223"/>
      <c r="R292" s="115"/>
      <c r="S292" s="115"/>
      <c r="T292" s="115"/>
    </row>
    <row r="293" spans="1:20" s="26" customFormat="1" ht="213" customHeight="1">
      <c r="A293" s="93"/>
      <c r="B293" s="94"/>
      <c r="C293" s="93"/>
      <c r="D293" s="18" t="s">
        <v>296</v>
      </c>
      <c r="E293" s="153">
        <f t="shared" si="23"/>
        <v>364300</v>
      </c>
      <c r="F293" s="154">
        <v>364300</v>
      </c>
      <c r="G293" s="154"/>
      <c r="H293" s="154"/>
      <c r="I293" s="154"/>
      <c r="J293" s="155">
        <f t="shared" si="21"/>
        <v>0</v>
      </c>
      <c r="K293" s="159"/>
      <c r="L293" s="154"/>
      <c r="M293" s="154"/>
      <c r="N293" s="154"/>
      <c r="O293" s="154"/>
      <c r="P293" s="157">
        <f t="shared" si="22"/>
        <v>364300</v>
      </c>
      <c r="Q293" s="223"/>
      <c r="R293" s="115"/>
      <c r="S293" s="115"/>
      <c r="T293" s="115"/>
    </row>
    <row r="294" spans="1:20" s="26" customFormat="1" ht="54" customHeight="1">
      <c r="A294" s="75" t="s">
        <v>283</v>
      </c>
      <c r="B294" s="76">
        <v>3085</v>
      </c>
      <c r="C294" s="68" t="s">
        <v>475</v>
      </c>
      <c r="D294" s="19" t="s">
        <v>284</v>
      </c>
      <c r="E294" s="153">
        <f t="shared" si="23"/>
        <v>8000</v>
      </c>
      <c r="F294" s="154">
        <f>F295</f>
        <v>8000</v>
      </c>
      <c r="G294" s="154"/>
      <c r="H294" s="154"/>
      <c r="I294" s="154"/>
      <c r="J294" s="155">
        <f t="shared" si="21"/>
        <v>0</v>
      </c>
      <c r="K294" s="159"/>
      <c r="L294" s="154">
        <f>L297</f>
        <v>0</v>
      </c>
      <c r="M294" s="154">
        <f>M297</f>
        <v>0</v>
      </c>
      <c r="N294" s="154">
        <f>N297</f>
        <v>0</v>
      </c>
      <c r="O294" s="154">
        <f>O297</f>
        <v>0</v>
      </c>
      <c r="P294" s="157">
        <f t="shared" si="22"/>
        <v>8000</v>
      </c>
      <c r="Q294" s="223"/>
      <c r="R294" s="115"/>
      <c r="S294" s="115"/>
      <c r="T294" s="115"/>
    </row>
    <row r="295" spans="1:20" s="26" customFormat="1" ht="156" customHeight="1">
      <c r="A295" s="91"/>
      <c r="B295" s="92"/>
      <c r="C295" s="273"/>
      <c r="D295" s="19" t="s">
        <v>296</v>
      </c>
      <c r="E295" s="153">
        <f t="shared" si="23"/>
        <v>8000</v>
      </c>
      <c r="F295" s="154">
        <v>8000</v>
      </c>
      <c r="G295" s="154"/>
      <c r="H295" s="154"/>
      <c r="I295" s="154"/>
      <c r="J295" s="155">
        <f t="shared" si="21"/>
        <v>0</v>
      </c>
      <c r="K295" s="159"/>
      <c r="L295" s="154"/>
      <c r="M295" s="154"/>
      <c r="N295" s="154"/>
      <c r="O295" s="154"/>
      <c r="P295" s="157">
        <f t="shared" si="22"/>
        <v>8000</v>
      </c>
      <c r="Q295" s="223"/>
      <c r="R295" s="115"/>
      <c r="S295" s="115"/>
      <c r="T295" s="115"/>
    </row>
    <row r="296" spans="1:20" s="26" customFormat="1" ht="106.5" customHeight="1">
      <c r="A296" s="274" t="s">
        <v>205</v>
      </c>
      <c r="B296" s="275">
        <v>3086</v>
      </c>
      <c r="C296" s="276" t="s">
        <v>483</v>
      </c>
      <c r="D296" s="277" t="s">
        <v>207</v>
      </c>
      <c r="E296" s="153">
        <f t="shared" si="23"/>
        <v>200000</v>
      </c>
      <c r="F296" s="154">
        <f>F297</f>
        <v>200000</v>
      </c>
      <c r="G296" s="154"/>
      <c r="H296" s="154"/>
      <c r="I296" s="154"/>
      <c r="J296" s="155">
        <f t="shared" si="21"/>
        <v>0</v>
      </c>
      <c r="K296" s="159"/>
      <c r="L296" s="154"/>
      <c r="M296" s="154"/>
      <c r="N296" s="154"/>
      <c r="O296" s="154"/>
      <c r="P296" s="157">
        <f t="shared" si="22"/>
        <v>200000</v>
      </c>
      <c r="Q296" s="223"/>
      <c r="R296" s="115"/>
      <c r="S296" s="115"/>
      <c r="T296" s="115"/>
    </row>
    <row r="297" spans="1:20" s="26" customFormat="1" ht="163.5" customHeight="1">
      <c r="A297" s="91"/>
      <c r="B297" s="92"/>
      <c r="C297" s="91"/>
      <c r="D297" s="18" t="s">
        <v>296</v>
      </c>
      <c r="E297" s="153">
        <f t="shared" si="23"/>
        <v>200000</v>
      </c>
      <c r="F297" s="154">
        <v>200000</v>
      </c>
      <c r="G297" s="154"/>
      <c r="H297" s="154"/>
      <c r="I297" s="154"/>
      <c r="J297" s="155">
        <f t="shared" si="21"/>
        <v>0</v>
      </c>
      <c r="K297" s="159"/>
      <c r="L297" s="154"/>
      <c r="M297" s="154"/>
      <c r="N297" s="154"/>
      <c r="O297" s="154"/>
      <c r="P297" s="157">
        <f t="shared" si="22"/>
        <v>200000</v>
      </c>
      <c r="Q297" s="223"/>
      <c r="R297" s="115"/>
      <c r="S297" s="115"/>
      <c r="T297" s="115"/>
    </row>
    <row r="298" spans="1:20" s="32" customFormat="1" ht="54.75" customHeight="1" hidden="1">
      <c r="A298" s="81" t="s">
        <v>666</v>
      </c>
      <c r="B298" s="82" t="s">
        <v>667</v>
      </c>
      <c r="C298" s="83"/>
      <c r="D298" s="38" t="s">
        <v>285</v>
      </c>
      <c r="E298" s="166">
        <f t="shared" si="19"/>
        <v>7528190</v>
      </c>
      <c r="F298" s="166">
        <f>F299</f>
        <v>7528190</v>
      </c>
      <c r="G298" s="166">
        <f>G299</f>
        <v>5550000</v>
      </c>
      <c r="H298" s="166">
        <f>H299</f>
        <v>385390</v>
      </c>
      <c r="I298" s="166">
        <f>I299</f>
        <v>0</v>
      </c>
      <c r="J298" s="166">
        <f t="shared" si="21"/>
        <v>73000</v>
      </c>
      <c r="K298" s="166"/>
      <c r="L298" s="166">
        <f>L299</f>
        <v>73000</v>
      </c>
      <c r="M298" s="166">
        <f>M299</f>
        <v>50000</v>
      </c>
      <c r="N298" s="166">
        <f>N299</f>
        <v>0</v>
      </c>
      <c r="O298" s="166">
        <f>O299</f>
        <v>0</v>
      </c>
      <c r="P298" s="167">
        <f t="shared" si="20"/>
        <v>7601190</v>
      </c>
      <c r="Q298" s="223"/>
      <c r="R298" s="122"/>
      <c r="S298" s="122"/>
      <c r="T298" s="122"/>
    </row>
    <row r="299" spans="1:20" s="26" customFormat="1" ht="60" customHeight="1">
      <c r="A299" s="75" t="s">
        <v>668</v>
      </c>
      <c r="B299" s="76" t="s">
        <v>669</v>
      </c>
      <c r="C299" s="75" t="s">
        <v>479</v>
      </c>
      <c r="D299" s="19" t="s">
        <v>286</v>
      </c>
      <c r="E299" s="153">
        <f t="shared" si="19"/>
        <v>7528190</v>
      </c>
      <c r="F299" s="154">
        <f>7408190+120000</f>
        <v>7528190</v>
      </c>
      <c r="G299" s="154">
        <v>5550000</v>
      </c>
      <c r="H299" s="154">
        <f>384490+900</f>
        <v>385390</v>
      </c>
      <c r="I299" s="154"/>
      <c r="J299" s="155">
        <f t="shared" si="21"/>
        <v>73000</v>
      </c>
      <c r="K299" s="159"/>
      <c r="L299" s="154">
        <v>73000</v>
      </c>
      <c r="M299" s="154">
        <v>50000</v>
      </c>
      <c r="N299" s="154"/>
      <c r="O299" s="154"/>
      <c r="P299" s="157">
        <f t="shared" si="20"/>
        <v>7601190</v>
      </c>
      <c r="Q299" s="223"/>
      <c r="R299" s="115"/>
      <c r="S299" s="115"/>
      <c r="T299" s="115"/>
    </row>
    <row r="300" spans="1:20" s="39" customFormat="1" ht="52.5">
      <c r="A300" s="89" t="s">
        <v>680</v>
      </c>
      <c r="B300" s="88" t="s">
        <v>681</v>
      </c>
      <c r="C300" s="84" t="s">
        <v>475</v>
      </c>
      <c r="D300" s="140" t="s">
        <v>287</v>
      </c>
      <c r="E300" s="156">
        <f t="shared" si="19"/>
        <v>410400</v>
      </c>
      <c r="F300" s="156">
        <v>410400</v>
      </c>
      <c r="G300" s="156">
        <v>0</v>
      </c>
      <c r="H300" s="156">
        <v>0</v>
      </c>
      <c r="I300" s="156">
        <v>0</v>
      </c>
      <c r="J300" s="156">
        <f t="shared" si="21"/>
        <v>0</v>
      </c>
      <c r="K300" s="156"/>
      <c r="L300" s="156">
        <v>0</v>
      </c>
      <c r="M300" s="156">
        <v>0</v>
      </c>
      <c r="N300" s="156">
        <v>0</v>
      </c>
      <c r="O300" s="156">
        <v>0</v>
      </c>
      <c r="P300" s="176">
        <f t="shared" si="20"/>
        <v>410400</v>
      </c>
      <c r="Q300" s="223"/>
      <c r="R300" s="127"/>
      <c r="S300" s="127"/>
      <c r="T300" s="127"/>
    </row>
    <row r="301" spans="1:20" s="26" customFormat="1" ht="69.75" customHeight="1">
      <c r="A301" s="75" t="s">
        <v>1</v>
      </c>
      <c r="B301" s="76" t="s">
        <v>2</v>
      </c>
      <c r="C301" s="75" t="s">
        <v>608</v>
      </c>
      <c r="D301" s="7" t="s">
        <v>0</v>
      </c>
      <c r="E301" s="153">
        <f t="shared" si="19"/>
        <v>418800</v>
      </c>
      <c r="F301" s="154">
        <v>418800</v>
      </c>
      <c r="G301" s="154">
        <v>0</v>
      </c>
      <c r="H301" s="154">
        <v>0</v>
      </c>
      <c r="I301" s="154">
        <v>0</v>
      </c>
      <c r="J301" s="155">
        <f t="shared" si="21"/>
        <v>0</v>
      </c>
      <c r="K301" s="159"/>
      <c r="L301" s="154">
        <v>0</v>
      </c>
      <c r="M301" s="154">
        <v>0</v>
      </c>
      <c r="N301" s="154">
        <v>0</v>
      </c>
      <c r="O301" s="154">
        <v>0</v>
      </c>
      <c r="P301" s="157">
        <f t="shared" si="20"/>
        <v>418800</v>
      </c>
      <c r="Q301" s="223"/>
      <c r="R301" s="115"/>
      <c r="S301" s="115"/>
      <c r="T301" s="115"/>
    </row>
    <row r="302" spans="1:20" s="32" customFormat="1" ht="25.5" customHeight="1" hidden="1">
      <c r="A302" s="95" t="s">
        <v>255</v>
      </c>
      <c r="B302" s="96" t="s">
        <v>290</v>
      </c>
      <c r="C302" s="97"/>
      <c r="D302" s="20" t="s">
        <v>3</v>
      </c>
      <c r="E302" s="166">
        <f t="shared" si="19"/>
        <v>60000</v>
      </c>
      <c r="F302" s="166">
        <f>F303</f>
        <v>60000</v>
      </c>
      <c r="G302" s="166">
        <f>G303</f>
        <v>0</v>
      </c>
      <c r="H302" s="166">
        <f>H303</f>
        <v>0</v>
      </c>
      <c r="I302" s="166">
        <f>I303</f>
        <v>0</v>
      </c>
      <c r="J302" s="166">
        <f t="shared" si="21"/>
        <v>0</v>
      </c>
      <c r="K302" s="166"/>
      <c r="L302" s="166">
        <f>L303</f>
        <v>0</v>
      </c>
      <c r="M302" s="166">
        <f>M303</f>
        <v>0</v>
      </c>
      <c r="N302" s="166">
        <f>N303</f>
        <v>0</v>
      </c>
      <c r="O302" s="166">
        <f>O303</f>
        <v>0</v>
      </c>
      <c r="P302" s="167">
        <f t="shared" si="20"/>
        <v>60000</v>
      </c>
      <c r="Q302" s="223"/>
      <c r="R302" s="122"/>
      <c r="S302" s="122"/>
      <c r="T302" s="122"/>
    </row>
    <row r="303" spans="1:20" s="26" customFormat="1" ht="42" customHeight="1">
      <c r="A303" s="75" t="s">
        <v>256</v>
      </c>
      <c r="B303" s="76" t="s">
        <v>289</v>
      </c>
      <c r="C303" s="75" t="s">
        <v>613</v>
      </c>
      <c r="D303" s="19" t="s">
        <v>291</v>
      </c>
      <c r="E303" s="153">
        <f t="shared" si="19"/>
        <v>60000</v>
      </c>
      <c r="F303" s="154">
        <v>60000</v>
      </c>
      <c r="G303" s="154">
        <v>0</v>
      </c>
      <c r="H303" s="154">
        <v>0</v>
      </c>
      <c r="I303" s="154">
        <v>0</v>
      </c>
      <c r="J303" s="155">
        <f t="shared" si="21"/>
        <v>0</v>
      </c>
      <c r="K303" s="159"/>
      <c r="L303" s="154">
        <v>0</v>
      </c>
      <c r="M303" s="154">
        <v>0</v>
      </c>
      <c r="N303" s="154">
        <v>0</v>
      </c>
      <c r="O303" s="154">
        <v>0</v>
      </c>
      <c r="P303" s="157">
        <f t="shared" si="20"/>
        <v>60000</v>
      </c>
      <c r="Q303" s="223"/>
      <c r="R303" s="115"/>
      <c r="S303" s="115"/>
      <c r="T303" s="115"/>
    </row>
    <row r="304" spans="1:20" s="32" customFormat="1" ht="25.5" customHeight="1" hidden="1">
      <c r="A304" s="81" t="s">
        <v>258</v>
      </c>
      <c r="B304" s="82" t="s">
        <v>292</v>
      </c>
      <c r="C304" s="81"/>
      <c r="D304" s="13" t="s">
        <v>506</v>
      </c>
      <c r="E304" s="166">
        <f>F304+I304</f>
        <v>323800</v>
      </c>
      <c r="F304" s="166">
        <f>F305</f>
        <v>323800</v>
      </c>
      <c r="G304" s="166"/>
      <c r="H304" s="166"/>
      <c r="I304" s="166"/>
      <c r="J304" s="166">
        <f t="shared" si="21"/>
        <v>0</v>
      </c>
      <c r="K304" s="166"/>
      <c r="L304" s="166">
        <f>L305</f>
        <v>0</v>
      </c>
      <c r="M304" s="166"/>
      <c r="N304" s="166"/>
      <c r="O304" s="166"/>
      <c r="P304" s="167">
        <f>J304+E304</f>
        <v>323800</v>
      </c>
      <c r="Q304" s="223"/>
      <c r="R304" s="122"/>
      <c r="S304" s="122"/>
      <c r="T304" s="122"/>
    </row>
    <row r="305" spans="1:20" s="26" customFormat="1" ht="36" customHeight="1">
      <c r="A305" s="75" t="s">
        <v>262</v>
      </c>
      <c r="B305" s="76" t="s">
        <v>263</v>
      </c>
      <c r="C305" s="75" t="s">
        <v>487</v>
      </c>
      <c r="D305" s="18" t="s">
        <v>253</v>
      </c>
      <c r="E305" s="153">
        <f t="shared" si="19"/>
        <v>323800</v>
      </c>
      <c r="F305" s="154">
        <v>323800</v>
      </c>
      <c r="G305" s="154">
        <v>0</v>
      </c>
      <c r="H305" s="154">
        <v>0</v>
      </c>
      <c r="I305" s="154">
        <v>0</v>
      </c>
      <c r="J305" s="155">
        <f t="shared" si="21"/>
        <v>0</v>
      </c>
      <c r="K305" s="159"/>
      <c r="L305" s="154">
        <v>0</v>
      </c>
      <c r="M305" s="154">
        <v>0</v>
      </c>
      <c r="N305" s="154">
        <v>0</v>
      </c>
      <c r="O305" s="154">
        <v>0</v>
      </c>
      <c r="P305" s="157">
        <f t="shared" si="20"/>
        <v>323800</v>
      </c>
      <c r="Q305" s="223"/>
      <c r="R305" s="115"/>
      <c r="S305" s="115"/>
      <c r="T305" s="115"/>
    </row>
    <row r="306" spans="1:20" s="26" customFormat="1" ht="20.25" customHeight="1">
      <c r="A306" s="100" t="s">
        <v>4</v>
      </c>
      <c r="B306" s="101"/>
      <c r="C306" s="102"/>
      <c r="D306" s="22" t="s">
        <v>5</v>
      </c>
      <c r="E306" s="188">
        <f t="shared" si="19"/>
        <v>11501299</v>
      </c>
      <c r="F306" s="188">
        <f>F307+F315+F320+F325</f>
        <v>11501299</v>
      </c>
      <c r="G306" s="188">
        <f>G307+G315+G320+G325</f>
        <v>7482202</v>
      </c>
      <c r="H306" s="188">
        <f>H307+H315+H320+H325</f>
        <v>682976</v>
      </c>
      <c r="I306" s="188">
        <f>I307+I315+I320+I325</f>
        <v>0</v>
      </c>
      <c r="J306" s="148">
        <f t="shared" si="21"/>
        <v>45000</v>
      </c>
      <c r="K306" s="188">
        <f>K307+K315+K320+K325</f>
        <v>45000</v>
      </c>
      <c r="L306" s="188">
        <f>L307+L315+L320+L325</f>
        <v>0</v>
      </c>
      <c r="M306" s="188">
        <f>M307+M315+M320+M325</f>
        <v>0</v>
      </c>
      <c r="N306" s="188">
        <f>N307+N315+N320+N325</f>
        <v>0</v>
      </c>
      <c r="O306" s="188">
        <f>O307+O315+O320+O325</f>
        <v>45000</v>
      </c>
      <c r="P306" s="189">
        <f t="shared" si="20"/>
        <v>11546299</v>
      </c>
      <c r="Q306" s="223"/>
      <c r="R306" s="115"/>
      <c r="S306" s="115"/>
      <c r="T306" s="115"/>
    </row>
    <row r="307" spans="1:20" s="26" customFormat="1" ht="18" customHeight="1">
      <c r="A307" s="75" t="s">
        <v>6</v>
      </c>
      <c r="B307" s="90"/>
      <c r="C307" s="68"/>
      <c r="D307" s="12" t="s">
        <v>183</v>
      </c>
      <c r="E307" s="153">
        <f t="shared" si="19"/>
        <v>6621427</v>
      </c>
      <c r="F307" s="154">
        <f>F310+F313+F308+F309</f>
        <v>6621427</v>
      </c>
      <c r="G307" s="154">
        <f>G308+G309+G310</f>
        <v>3936075</v>
      </c>
      <c r="H307" s="154">
        <f>H308+H309+H310</f>
        <v>556804</v>
      </c>
      <c r="I307" s="154"/>
      <c r="J307" s="155">
        <f t="shared" si="21"/>
        <v>0</v>
      </c>
      <c r="K307" s="159"/>
      <c r="L307" s="154">
        <f>L308+L309+L310+L313</f>
        <v>0</v>
      </c>
      <c r="M307" s="154">
        <f>M308+M309+M310+M313</f>
        <v>0</v>
      </c>
      <c r="N307" s="154">
        <f>N308+N309+N310+N313</f>
        <v>0</v>
      </c>
      <c r="O307" s="154">
        <f>O308+O309+O310+O313</f>
        <v>0</v>
      </c>
      <c r="P307" s="157">
        <f t="shared" si="20"/>
        <v>6621427</v>
      </c>
      <c r="Q307" s="223"/>
      <c r="R307" s="115"/>
      <c r="S307" s="115"/>
      <c r="T307" s="115"/>
    </row>
    <row r="308" spans="1:20" s="26" customFormat="1" ht="26.25">
      <c r="A308" s="75" t="s">
        <v>7</v>
      </c>
      <c r="B308" s="76" t="s">
        <v>464</v>
      </c>
      <c r="C308" s="75" t="s">
        <v>449</v>
      </c>
      <c r="D308" s="7" t="s">
        <v>465</v>
      </c>
      <c r="E308" s="153">
        <f t="shared" si="19"/>
        <v>1684137</v>
      </c>
      <c r="F308" s="154">
        <v>1684137</v>
      </c>
      <c r="G308" s="154">
        <v>1273125</v>
      </c>
      <c r="H308" s="154">
        <v>71114</v>
      </c>
      <c r="I308" s="154"/>
      <c r="J308" s="155">
        <f t="shared" si="21"/>
        <v>0</v>
      </c>
      <c r="K308" s="159"/>
      <c r="L308" s="154">
        <v>0</v>
      </c>
      <c r="M308" s="154">
        <v>0</v>
      </c>
      <c r="N308" s="154">
        <v>0</v>
      </c>
      <c r="O308" s="154">
        <v>0</v>
      </c>
      <c r="P308" s="157">
        <f t="shared" si="20"/>
        <v>1684137</v>
      </c>
      <c r="Q308" s="223"/>
      <c r="R308" s="115"/>
      <c r="S308" s="115"/>
      <c r="T308" s="115"/>
    </row>
    <row r="309" spans="1:20" s="26" customFormat="1" ht="15">
      <c r="A309" s="75" t="s">
        <v>8</v>
      </c>
      <c r="B309" s="76" t="s">
        <v>454</v>
      </c>
      <c r="C309" s="75" t="s">
        <v>453</v>
      </c>
      <c r="D309" s="7" t="s">
        <v>455</v>
      </c>
      <c r="E309" s="153">
        <f t="shared" si="19"/>
        <v>52000</v>
      </c>
      <c r="F309" s="154">
        <v>52000</v>
      </c>
      <c r="G309" s="154">
        <v>0</v>
      </c>
      <c r="H309" s="154">
        <v>0</v>
      </c>
      <c r="I309" s="154">
        <v>0</v>
      </c>
      <c r="J309" s="155">
        <f t="shared" si="21"/>
        <v>0</v>
      </c>
      <c r="K309" s="159"/>
      <c r="L309" s="154">
        <v>0</v>
      </c>
      <c r="M309" s="154">
        <v>0</v>
      </c>
      <c r="N309" s="154">
        <v>0</v>
      </c>
      <c r="O309" s="154">
        <v>0</v>
      </c>
      <c r="P309" s="157">
        <f t="shared" si="20"/>
        <v>52000</v>
      </c>
      <c r="Q309" s="223"/>
      <c r="R309" s="115"/>
      <c r="S309" s="115"/>
      <c r="T309" s="115"/>
    </row>
    <row r="310" spans="1:20" s="32" customFormat="1" ht="15" hidden="1">
      <c r="A310" s="81" t="s">
        <v>9</v>
      </c>
      <c r="B310" s="82" t="s">
        <v>10</v>
      </c>
      <c r="C310" s="83"/>
      <c r="D310" s="13" t="s">
        <v>11</v>
      </c>
      <c r="E310" s="166">
        <f t="shared" si="19"/>
        <v>4815290</v>
      </c>
      <c r="F310" s="166">
        <f>F311+F312</f>
        <v>4815290</v>
      </c>
      <c r="G310" s="166">
        <f>G311+G312</f>
        <v>2662950</v>
      </c>
      <c r="H310" s="166">
        <f>H311+H312</f>
        <v>485690</v>
      </c>
      <c r="I310" s="166">
        <f>I311+I312</f>
        <v>0</v>
      </c>
      <c r="J310" s="166">
        <f t="shared" si="21"/>
        <v>0</v>
      </c>
      <c r="K310" s="166"/>
      <c r="L310" s="166">
        <f>L311+L312</f>
        <v>0</v>
      </c>
      <c r="M310" s="166">
        <f>M311+M312</f>
        <v>0</v>
      </c>
      <c r="N310" s="166">
        <f>N311+N312</f>
        <v>0</v>
      </c>
      <c r="O310" s="166">
        <f>O311+O312</f>
        <v>0</v>
      </c>
      <c r="P310" s="167">
        <f t="shared" si="20"/>
        <v>4815290</v>
      </c>
      <c r="Q310" s="223"/>
      <c r="R310" s="122"/>
      <c r="S310" s="122"/>
      <c r="T310" s="122"/>
    </row>
    <row r="311" spans="1:20" s="26" customFormat="1" ht="56.25" customHeight="1">
      <c r="A311" s="75" t="s">
        <v>12</v>
      </c>
      <c r="B311" s="76" t="s">
        <v>13</v>
      </c>
      <c r="C311" s="75" t="s">
        <v>483</v>
      </c>
      <c r="D311" s="7" t="s">
        <v>407</v>
      </c>
      <c r="E311" s="153">
        <f t="shared" si="19"/>
        <v>4667990</v>
      </c>
      <c r="F311" s="154">
        <v>4667990</v>
      </c>
      <c r="G311" s="154">
        <v>2662950</v>
      </c>
      <c r="H311" s="154">
        <f>481490+4200</f>
        <v>485690</v>
      </c>
      <c r="I311" s="154"/>
      <c r="J311" s="155">
        <f t="shared" si="21"/>
        <v>0</v>
      </c>
      <c r="K311" s="159"/>
      <c r="L311" s="154">
        <v>0</v>
      </c>
      <c r="M311" s="154">
        <v>0</v>
      </c>
      <c r="N311" s="154">
        <v>0</v>
      </c>
      <c r="O311" s="154"/>
      <c r="P311" s="157">
        <f t="shared" si="20"/>
        <v>4667990</v>
      </c>
      <c r="Q311" s="223"/>
      <c r="R311" s="115"/>
      <c r="S311" s="115"/>
      <c r="T311" s="115"/>
    </row>
    <row r="312" spans="1:20" s="26" customFormat="1" ht="15">
      <c r="A312" s="75" t="s">
        <v>14</v>
      </c>
      <c r="B312" s="76" t="s">
        <v>15</v>
      </c>
      <c r="C312" s="75" t="s">
        <v>483</v>
      </c>
      <c r="D312" s="7" t="s">
        <v>16</v>
      </c>
      <c r="E312" s="153">
        <f t="shared" si="19"/>
        <v>147300</v>
      </c>
      <c r="F312" s="154">
        <v>147300</v>
      </c>
      <c r="G312" s="154"/>
      <c r="H312" s="154"/>
      <c r="I312" s="154"/>
      <c r="J312" s="155">
        <f t="shared" si="21"/>
        <v>0</v>
      </c>
      <c r="K312" s="159"/>
      <c r="L312" s="154">
        <v>0</v>
      </c>
      <c r="M312" s="154">
        <v>0</v>
      </c>
      <c r="N312" s="154">
        <v>0</v>
      </c>
      <c r="O312" s="154">
        <v>0</v>
      </c>
      <c r="P312" s="157">
        <f t="shared" si="20"/>
        <v>147300</v>
      </c>
      <c r="Q312" s="223"/>
      <c r="R312" s="115"/>
      <c r="S312" s="115"/>
      <c r="T312" s="115"/>
    </row>
    <row r="313" spans="1:20" s="32" customFormat="1" ht="24.75" customHeight="1" hidden="1">
      <c r="A313" s="83" t="s">
        <v>314</v>
      </c>
      <c r="B313" s="82">
        <v>3240</v>
      </c>
      <c r="C313" s="81"/>
      <c r="D313" s="13" t="s">
        <v>506</v>
      </c>
      <c r="E313" s="166">
        <f t="shared" si="19"/>
        <v>70000</v>
      </c>
      <c r="F313" s="166">
        <f>F314</f>
        <v>70000</v>
      </c>
      <c r="G313" s="166">
        <f>G314</f>
        <v>0</v>
      </c>
      <c r="H313" s="166">
        <f>H314</f>
        <v>0</v>
      </c>
      <c r="I313" s="166">
        <f>I314</f>
        <v>0</v>
      </c>
      <c r="J313" s="166">
        <f t="shared" si="21"/>
        <v>0</v>
      </c>
      <c r="K313" s="166"/>
      <c r="L313" s="166">
        <f>L314</f>
        <v>0</v>
      </c>
      <c r="M313" s="166">
        <f>M314</f>
        <v>0</v>
      </c>
      <c r="N313" s="166">
        <f>N314</f>
        <v>0</v>
      </c>
      <c r="O313" s="166">
        <f>O314</f>
        <v>0</v>
      </c>
      <c r="P313" s="167">
        <f t="shared" si="20"/>
        <v>70000</v>
      </c>
      <c r="Q313" s="223"/>
      <c r="R313" s="122"/>
      <c r="S313" s="122"/>
      <c r="T313" s="122"/>
    </row>
    <row r="314" spans="1:20" s="26" customFormat="1" ht="30" customHeight="1">
      <c r="A314" s="75" t="s">
        <v>254</v>
      </c>
      <c r="B314" s="76">
        <v>3242</v>
      </c>
      <c r="C314" s="75" t="s">
        <v>487</v>
      </c>
      <c r="D314" s="7" t="s">
        <v>253</v>
      </c>
      <c r="E314" s="153">
        <f t="shared" si="19"/>
        <v>70000</v>
      </c>
      <c r="F314" s="154">
        <v>70000</v>
      </c>
      <c r="G314" s="154"/>
      <c r="H314" s="154"/>
      <c r="I314" s="154"/>
      <c r="J314" s="155">
        <f t="shared" si="21"/>
        <v>0</v>
      </c>
      <c r="K314" s="159"/>
      <c r="L314" s="154">
        <v>0</v>
      </c>
      <c r="M314" s="154">
        <v>0</v>
      </c>
      <c r="N314" s="154">
        <v>0</v>
      </c>
      <c r="O314" s="154">
        <v>0</v>
      </c>
      <c r="P314" s="157">
        <f t="shared" si="20"/>
        <v>70000</v>
      </c>
      <c r="Q314" s="223"/>
      <c r="R314" s="115"/>
      <c r="S314" s="115"/>
      <c r="T314" s="115"/>
    </row>
    <row r="315" spans="1:20" s="40" customFormat="1" ht="31.5" customHeight="1">
      <c r="A315" s="103" t="s">
        <v>6</v>
      </c>
      <c r="B315" s="104"/>
      <c r="C315" s="105"/>
      <c r="D315" s="17" t="s">
        <v>184</v>
      </c>
      <c r="E315" s="153">
        <f t="shared" si="19"/>
        <v>1618861</v>
      </c>
      <c r="F315" s="153">
        <f>F316+F317+F318</f>
        <v>1618861</v>
      </c>
      <c r="G315" s="153">
        <f>G316+G317+G318</f>
        <v>1194974</v>
      </c>
      <c r="H315" s="153">
        <f>H316+H317+H318</f>
        <v>14141</v>
      </c>
      <c r="I315" s="153">
        <f>I316+I317+I318</f>
        <v>0</v>
      </c>
      <c r="J315" s="155">
        <f t="shared" si="21"/>
        <v>15000</v>
      </c>
      <c r="K315" s="155">
        <f>K316</f>
        <v>15000</v>
      </c>
      <c r="L315" s="153">
        <f>L316+L317+L318</f>
        <v>0</v>
      </c>
      <c r="M315" s="153">
        <f>M316+M317+M318</f>
        <v>0</v>
      </c>
      <c r="N315" s="153">
        <f>N316+N317+N318</f>
        <v>0</v>
      </c>
      <c r="O315" s="153">
        <f>O316+O317+O318</f>
        <v>15000</v>
      </c>
      <c r="P315" s="157">
        <f t="shared" si="20"/>
        <v>1633861</v>
      </c>
      <c r="Q315" s="223"/>
      <c r="R315" s="128"/>
      <c r="S315" s="128"/>
      <c r="T315" s="128"/>
    </row>
    <row r="316" spans="1:20" s="26" customFormat="1" ht="26.25">
      <c r="A316" s="75" t="s">
        <v>7</v>
      </c>
      <c r="B316" s="76" t="s">
        <v>464</v>
      </c>
      <c r="C316" s="75" t="s">
        <v>449</v>
      </c>
      <c r="D316" s="7" t="s">
        <v>465</v>
      </c>
      <c r="E316" s="153">
        <f t="shared" si="19"/>
        <v>1490461</v>
      </c>
      <c r="F316" s="154">
        <v>1490461</v>
      </c>
      <c r="G316" s="154">
        <v>1194974</v>
      </c>
      <c r="H316" s="154">
        <v>14141</v>
      </c>
      <c r="I316" s="154"/>
      <c r="J316" s="155">
        <f t="shared" si="21"/>
        <v>15000</v>
      </c>
      <c r="K316" s="159">
        <v>15000</v>
      </c>
      <c r="L316" s="154">
        <v>0</v>
      </c>
      <c r="M316" s="154">
        <v>0</v>
      </c>
      <c r="N316" s="154">
        <v>0</v>
      </c>
      <c r="O316" s="154">
        <v>15000</v>
      </c>
      <c r="P316" s="157">
        <f t="shared" si="20"/>
        <v>1505461</v>
      </c>
      <c r="Q316" s="223"/>
      <c r="R316" s="115"/>
      <c r="S316" s="115"/>
      <c r="T316" s="115"/>
    </row>
    <row r="317" spans="1:20" s="26" customFormat="1" ht="15">
      <c r="A317" s="75" t="s">
        <v>8</v>
      </c>
      <c r="B317" s="76" t="s">
        <v>454</v>
      </c>
      <c r="C317" s="75" t="s">
        <v>453</v>
      </c>
      <c r="D317" s="7" t="s">
        <v>455</v>
      </c>
      <c r="E317" s="153">
        <f t="shared" si="19"/>
        <v>108000</v>
      </c>
      <c r="F317" s="154">
        <v>108000</v>
      </c>
      <c r="G317" s="154"/>
      <c r="H317" s="154"/>
      <c r="I317" s="154"/>
      <c r="J317" s="155">
        <f t="shared" si="21"/>
        <v>0</v>
      </c>
      <c r="K317" s="159"/>
      <c r="L317" s="154">
        <v>0</v>
      </c>
      <c r="M317" s="154">
        <v>0</v>
      </c>
      <c r="N317" s="154">
        <v>0</v>
      </c>
      <c r="O317" s="154">
        <v>0</v>
      </c>
      <c r="P317" s="157">
        <f t="shared" si="20"/>
        <v>108000</v>
      </c>
      <c r="Q317" s="223"/>
      <c r="R317" s="115"/>
      <c r="S317" s="115"/>
      <c r="T317" s="115"/>
    </row>
    <row r="318" spans="1:20" s="32" customFormat="1" ht="15" hidden="1">
      <c r="A318" s="81" t="s">
        <v>9</v>
      </c>
      <c r="B318" s="82" t="s">
        <v>10</v>
      </c>
      <c r="C318" s="83"/>
      <c r="D318" s="13" t="s">
        <v>11</v>
      </c>
      <c r="E318" s="166">
        <f t="shared" si="19"/>
        <v>20400</v>
      </c>
      <c r="F318" s="166">
        <f>F319</f>
        <v>20400</v>
      </c>
      <c r="G318" s="166">
        <f>G319</f>
        <v>0</v>
      </c>
      <c r="H318" s="166">
        <f>H319</f>
        <v>0</v>
      </c>
      <c r="I318" s="166">
        <f>I319</f>
        <v>0</v>
      </c>
      <c r="J318" s="166">
        <f t="shared" si="21"/>
        <v>0</v>
      </c>
      <c r="K318" s="166"/>
      <c r="L318" s="166">
        <f>L319</f>
        <v>0</v>
      </c>
      <c r="M318" s="166">
        <f>M319</f>
        <v>0</v>
      </c>
      <c r="N318" s="166">
        <f>N319</f>
        <v>0</v>
      </c>
      <c r="O318" s="166">
        <f>O319</f>
        <v>0</v>
      </c>
      <c r="P318" s="167">
        <f t="shared" si="20"/>
        <v>20400</v>
      </c>
      <c r="Q318" s="223"/>
      <c r="R318" s="122"/>
      <c r="S318" s="122"/>
      <c r="T318" s="122"/>
    </row>
    <row r="319" spans="1:20" s="26" customFormat="1" ht="15">
      <c r="A319" s="75" t="s">
        <v>14</v>
      </c>
      <c r="B319" s="76" t="s">
        <v>15</v>
      </c>
      <c r="C319" s="75" t="s">
        <v>483</v>
      </c>
      <c r="D319" s="7" t="s">
        <v>16</v>
      </c>
      <c r="E319" s="153">
        <f t="shared" si="19"/>
        <v>20400</v>
      </c>
      <c r="F319" s="154">
        <v>20400</v>
      </c>
      <c r="G319" s="154">
        <v>0</v>
      </c>
      <c r="H319" s="154">
        <v>0</v>
      </c>
      <c r="I319" s="154">
        <v>0</v>
      </c>
      <c r="J319" s="155">
        <f t="shared" si="21"/>
        <v>0</v>
      </c>
      <c r="K319" s="159"/>
      <c r="L319" s="154">
        <v>0</v>
      </c>
      <c r="M319" s="154">
        <v>0</v>
      </c>
      <c r="N319" s="154">
        <v>0</v>
      </c>
      <c r="O319" s="154">
        <v>0</v>
      </c>
      <c r="P319" s="157">
        <f t="shared" si="20"/>
        <v>20400</v>
      </c>
      <c r="Q319" s="223"/>
      <c r="R319" s="115"/>
      <c r="S319" s="115"/>
      <c r="T319" s="115"/>
    </row>
    <row r="320" spans="1:20" s="40" customFormat="1" ht="31.5" customHeight="1">
      <c r="A320" s="103" t="s">
        <v>6</v>
      </c>
      <c r="B320" s="104"/>
      <c r="C320" s="105"/>
      <c r="D320" s="17" t="s">
        <v>185</v>
      </c>
      <c r="E320" s="153">
        <f t="shared" si="19"/>
        <v>1641698</v>
      </c>
      <c r="F320" s="153">
        <f>F321+F322+F323</f>
        <v>1641698</v>
      </c>
      <c r="G320" s="153">
        <f>G321+G322+G323</f>
        <v>1172516</v>
      </c>
      <c r="H320" s="153">
        <f>H321+H322+H323</f>
        <v>71400</v>
      </c>
      <c r="I320" s="153">
        <f>I321+I322+I323</f>
        <v>0</v>
      </c>
      <c r="J320" s="155">
        <f t="shared" si="21"/>
        <v>15000</v>
      </c>
      <c r="K320" s="155">
        <f>K321</f>
        <v>15000</v>
      </c>
      <c r="L320" s="153">
        <f>L321+L322+L323</f>
        <v>0</v>
      </c>
      <c r="M320" s="153">
        <f>M321+M322+M323</f>
        <v>0</v>
      </c>
      <c r="N320" s="153">
        <f>N321+N322+N323</f>
        <v>0</v>
      </c>
      <c r="O320" s="153">
        <f>O321+O322+O323</f>
        <v>15000</v>
      </c>
      <c r="P320" s="157">
        <f t="shared" si="20"/>
        <v>1656698</v>
      </c>
      <c r="Q320" s="223"/>
      <c r="R320" s="128"/>
      <c r="S320" s="128"/>
      <c r="T320" s="128"/>
    </row>
    <row r="321" spans="1:20" s="26" customFormat="1" ht="26.25">
      <c r="A321" s="75" t="s">
        <v>7</v>
      </c>
      <c r="B321" s="76" t="s">
        <v>464</v>
      </c>
      <c r="C321" s="75" t="s">
        <v>449</v>
      </c>
      <c r="D321" s="7" t="s">
        <v>465</v>
      </c>
      <c r="E321" s="153">
        <f t="shared" si="19"/>
        <v>1531598</v>
      </c>
      <c r="F321" s="154">
        <f>1522598+9000</f>
        <v>1531598</v>
      </c>
      <c r="G321" s="154">
        <v>1172516</v>
      </c>
      <c r="H321" s="154">
        <v>71400</v>
      </c>
      <c r="I321" s="154"/>
      <c r="J321" s="155">
        <f t="shared" si="21"/>
        <v>15000</v>
      </c>
      <c r="K321" s="159">
        <v>15000</v>
      </c>
      <c r="L321" s="154">
        <v>0</v>
      </c>
      <c r="M321" s="154">
        <v>0</v>
      </c>
      <c r="N321" s="154">
        <v>0</v>
      </c>
      <c r="O321" s="154">
        <v>15000</v>
      </c>
      <c r="P321" s="157">
        <f t="shared" si="20"/>
        <v>1546598</v>
      </c>
      <c r="Q321" s="223"/>
      <c r="R321" s="115"/>
      <c r="S321" s="115"/>
      <c r="T321" s="115"/>
    </row>
    <row r="322" spans="1:20" s="26" customFormat="1" ht="15">
      <c r="A322" s="75" t="s">
        <v>8</v>
      </c>
      <c r="B322" s="76" t="s">
        <v>454</v>
      </c>
      <c r="C322" s="75" t="s">
        <v>453</v>
      </c>
      <c r="D322" s="7" t="s">
        <v>455</v>
      </c>
      <c r="E322" s="153">
        <f t="shared" si="19"/>
        <v>98600</v>
      </c>
      <c r="F322" s="154">
        <v>98600</v>
      </c>
      <c r="G322" s="154"/>
      <c r="H322" s="154"/>
      <c r="I322" s="154"/>
      <c r="J322" s="155">
        <f t="shared" si="21"/>
        <v>0</v>
      </c>
      <c r="K322" s="159"/>
      <c r="L322" s="154">
        <v>0</v>
      </c>
      <c r="M322" s="154">
        <v>0</v>
      </c>
      <c r="N322" s="154">
        <v>0</v>
      </c>
      <c r="O322" s="154">
        <v>0</v>
      </c>
      <c r="P322" s="157">
        <f t="shared" si="20"/>
        <v>98600</v>
      </c>
      <c r="Q322" s="223"/>
      <c r="R322" s="115"/>
      <c r="S322" s="115"/>
      <c r="T322" s="115"/>
    </row>
    <row r="323" spans="1:20" s="32" customFormat="1" ht="15" hidden="1">
      <c r="A323" s="81" t="s">
        <v>9</v>
      </c>
      <c r="B323" s="82" t="s">
        <v>10</v>
      </c>
      <c r="C323" s="83"/>
      <c r="D323" s="13" t="s">
        <v>11</v>
      </c>
      <c r="E323" s="166">
        <f t="shared" si="19"/>
        <v>11500</v>
      </c>
      <c r="F323" s="166">
        <f>F324</f>
        <v>11500</v>
      </c>
      <c r="G323" s="166">
        <f>G324</f>
        <v>0</v>
      </c>
      <c r="H323" s="166">
        <f>H324</f>
        <v>0</v>
      </c>
      <c r="I323" s="166">
        <f>I324</f>
        <v>0</v>
      </c>
      <c r="J323" s="166">
        <f t="shared" si="21"/>
        <v>0</v>
      </c>
      <c r="K323" s="166"/>
      <c r="L323" s="166">
        <f>L324</f>
        <v>0</v>
      </c>
      <c r="M323" s="166">
        <f>M324</f>
        <v>0</v>
      </c>
      <c r="N323" s="166">
        <f>N324</f>
        <v>0</v>
      </c>
      <c r="O323" s="166">
        <f>O324</f>
        <v>0</v>
      </c>
      <c r="P323" s="167">
        <f t="shared" si="20"/>
        <v>11500</v>
      </c>
      <c r="Q323" s="223"/>
      <c r="R323" s="122"/>
      <c r="S323" s="122"/>
      <c r="T323" s="122"/>
    </row>
    <row r="324" spans="1:20" s="26" customFormat="1" ht="15">
      <c r="A324" s="75" t="s">
        <v>14</v>
      </c>
      <c r="B324" s="76" t="s">
        <v>15</v>
      </c>
      <c r="C324" s="75" t="s">
        <v>483</v>
      </c>
      <c r="D324" s="7" t="s">
        <v>16</v>
      </c>
      <c r="E324" s="153">
        <f t="shared" si="19"/>
        <v>11500</v>
      </c>
      <c r="F324" s="154">
        <v>11500</v>
      </c>
      <c r="G324" s="154">
        <v>0</v>
      </c>
      <c r="H324" s="154">
        <v>0</v>
      </c>
      <c r="I324" s="154">
        <v>0</v>
      </c>
      <c r="J324" s="155">
        <f t="shared" si="21"/>
        <v>0</v>
      </c>
      <c r="K324" s="159"/>
      <c r="L324" s="154">
        <v>0</v>
      </c>
      <c r="M324" s="154">
        <v>0</v>
      </c>
      <c r="N324" s="154">
        <v>0</v>
      </c>
      <c r="O324" s="154">
        <v>0</v>
      </c>
      <c r="P324" s="157">
        <f t="shared" si="20"/>
        <v>11500</v>
      </c>
      <c r="Q324" s="223"/>
      <c r="R324" s="115"/>
      <c r="S324" s="115"/>
      <c r="T324" s="115"/>
    </row>
    <row r="325" spans="1:20" s="40" customFormat="1" ht="31.5" customHeight="1">
      <c r="A325" s="103" t="s">
        <v>6</v>
      </c>
      <c r="B325" s="104"/>
      <c r="C325" s="105"/>
      <c r="D325" s="17" t="s">
        <v>186</v>
      </c>
      <c r="E325" s="153">
        <f t="shared" si="19"/>
        <v>1619313</v>
      </c>
      <c r="F325" s="153">
        <f>F326+F327+F328</f>
        <v>1619313</v>
      </c>
      <c r="G325" s="153">
        <f>G326+G327+G328</f>
        <v>1178637</v>
      </c>
      <c r="H325" s="153">
        <f>H326+H327+H328</f>
        <v>40631</v>
      </c>
      <c r="I325" s="153">
        <f>I326+I327+I328</f>
        <v>0</v>
      </c>
      <c r="J325" s="155">
        <f t="shared" si="21"/>
        <v>15000</v>
      </c>
      <c r="K325" s="155">
        <f>K326</f>
        <v>15000</v>
      </c>
      <c r="L325" s="153">
        <f>L326+L327+L328</f>
        <v>0</v>
      </c>
      <c r="M325" s="153">
        <f>M326+M327+M328</f>
        <v>0</v>
      </c>
      <c r="N325" s="153">
        <f>N326+N327+N328</f>
        <v>0</v>
      </c>
      <c r="O325" s="153">
        <f>O326+O327+O328</f>
        <v>15000</v>
      </c>
      <c r="P325" s="157">
        <f t="shared" si="20"/>
        <v>1634313</v>
      </c>
      <c r="Q325" s="223"/>
      <c r="R325" s="128"/>
      <c r="S325" s="128"/>
      <c r="T325" s="128"/>
    </row>
    <row r="326" spans="1:20" s="26" customFormat="1" ht="26.25">
      <c r="A326" s="75" t="s">
        <v>7</v>
      </c>
      <c r="B326" s="76" t="s">
        <v>464</v>
      </c>
      <c r="C326" s="75" t="s">
        <v>449</v>
      </c>
      <c r="D326" s="7" t="s">
        <v>465</v>
      </c>
      <c r="E326" s="153">
        <f t="shared" si="19"/>
        <v>1490725</v>
      </c>
      <c r="F326" s="154">
        <v>1490725</v>
      </c>
      <c r="G326" s="154">
        <v>1178637</v>
      </c>
      <c r="H326" s="154">
        <v>40631</v>
      </c>
      <c r="I326" s="154"/>
      <c r="J326" s="155">
        <f t="shared" si="21"/>
        <v>15000</v>
      </c>
      <c r="K326" s="159">
        <v>15000</v>
      </c>
      <c r="L326" s="154">
        <v>0</v>
      </c>
      <c r="M326" s="154">
        <v>0</v>
      </c>
      <c r="N326" s="154">
        <v>0</v>
      </c>
      <c r="O326" s="154">
        <v>15000</v>
      </c>
      <c r="P326" s="157">
        <f t="shared" si="20"/>
        <v>1505725</v>
      </c>
      <c r="Q326" s="223"/>
      <c r="R326" s="115"/>
      <c r="S326" s="115"/>
      <c r="T326" s="115"/>
    </row>
    <row r="327" spans="1:20" s="26" customFormat="1" ht="15">
      <c r="A327" s="75" t="s">
        <v>8</v>
      </c>
      <c r="B327" s="76" t="s">
        <v>454</v>
      </c>
      <c r="C327" s="75" t="s">
        <v>453</v>
      </c>
      <c r="D327" s="7" t="s">
        <v>455</v>
      </c>
      <c r="E327" s="153">
        <f t="shared" si="19"/>
        <v>111288</v>
      </c>
      <c r="F327" s="154">
        <f>94000+17288</f>
        <v>111288</v>
      </c>
      <c r="G327" s="154"/>
      <c r="H327" s="154"/>
      <c r="I327" s="154"/>
      <c r="J327" s="155">
        <f t="shared" si="21"/>
        <v>0</v>
      </c>
      <c r="K327" s="159"/>
      <c r="L327" s="154">
        <v>0</v>
      </c>
      <c r="M327" s="154">
        <v>0</v>
      </c>
      <c r="N327" s="154">
        <v>0</v>
      </c>
      <c r="O327" s="154">
        <v>0</v>
      </c>
      <c r="P327" s="157">
        <f t="shared" si="20"/>
        <v>111288</v>
      </c>
      <c r="Q327" s="223"/>
      <c r="R327" s="115"/>
      <c r="S327" s="115"/>
      <c r="T327" s="115"/>
    </row>
    <row r="328" spans="1:20" s="32" customFormat="1" ht="17.25" customHeight="1" hidden="1">
      <c r="A328" s="81" t="s">
        <v>9</v>
      </c>
      <c r="B328" s="82" t="s">
        <v>10</v>
      </c>
      <c r="C328" s="83"/>
      <c r="D328" s="13" t="s">
        <v>11</v>
      </c>
      <c r="E328" s="166">
        <f t="shared" si="19"/>
        <v>17300</v>
      </c>
      <c r="F328" s="166">
        <f>F329</f>
        <v>17300</v>
      </c>
      <c r="G328" s="166">
        <f>G329</f>
        <v>0</v>
      </c>
      <c r="H328" s="166">
        <f>H329</f>
        <v>0</v>
      </c>
      <c r="I328" s="166">
        <f>I329</f>
        <v>0</v>
      </c>
      <c r="J328" s="166">
        <f t="shared" si="21"/>
        <v>0</v>
      </c>
      <c r="K328" s="166">
        <f>K329</f>
        <v>0</v>
      </c>
      <c r="L328" s="166">
        <f>L329</f>
        <v>0</v>
      </c>
      <c r="M328" s="166">
        <f>M329</f>
        <v>0</v>
      </c>
      <c r="N328" s="166">
        <f>N329</f>
        <v>0</v>
      </c>
      <c r="O328" s="166">
        <f>O329</f>
        <v>0</v>
      </c>
      <c r="P328" s="167">
        <f t="shared" si="20"/>
        <v>17300</v>
      </c>
      <c r="Q328" s="223"/>
      <c r="R328" s="122"/>
      <c r="S328" s="122"/>
      <c r="T328" s="122"/>
    </row>
    <row r="329" spans="1:20" s="26" customFormat="1" ht="15">
      <c r="A329" s="75" t="s">
        <v>14</v>
      </c>
      <c r="B329" s="76" t="s">
        <v>15</v>
      </c>
      <c r="C329" s="75" t="s">
        <v>483</v>
      </c>
      <c r="D329" s="7" t="s">
        <v>16</v>
      </c>
      <c r="E329" s="153">
        <f t="shared" si="19"/>
        <v>17300</v>
      </c>
      <c r="F329" s="154">
        <v>17300</v>
      </c>
      <c r="G329" s="154">
        <v>0</v>
      </c>
      <c r="H329" s="154">
        <v>0</v>
      </c>
      <c r="I329" s="154">
        <v>0</v>
      </c>
      <c r="J329" s="155">
        <f t="shared" si="21"/>
        <v>0</v>
      </c>
      <c r="K329" s="159"/>
      <c r="L329" s="154">
        <v>0</v>
      </c>
      <c r="M329" s="154">
        <v>0</v>
      </c>
      <c r="N329" s="154">
        <v>0</v>
      </c>
      <c r="O329" s="154">
        <v>0</v>
      </c>
      <c r="P329" s="157">
        <f t="shared" si="20"/>
        <v>17300</v>
      </c>
      <c r="Q329" s="223"/>
      <c r="R329" s="115"/>
      <c r="S329" s="115"/>
      <c r="T329" s="115"/>
    </row>
    <row r="330" spans="1:20" s="29" customFormat="1" ht="22.5" customHeight="1">
      <c r="A330" s="69" t="s">
        <v>17</v>
      </c>
      <c r="B330" s="70"/>
      <c r="C330" s="71"/>
      <c r="D330" s="5" t="s">
        <v>18</v>
      </c>
      <c r="E330" s="148">
        <f t="shared" si="19"/>
        <v>314731813</v>
      </c>
      <c r="F330" s="148">
        <f>F331</f>
        <v>311234313</v>
      </c>
      <c r="G330" s="148">
        <f>G331</f>
        <v>6283369</v>
      </c>
      <c r="H330" s="148">
        <f>H331</f>
        <v>15594694</v>
      </c>
      <c r="I330" s="148">
        <f>I331</f>
        <v>3497500</v>
      </c>
      <c r="J330" s="148">
        <f t="shared" si="21"/>
        <v>201112004</v>
      </c>
      <c r="K330" s="148">
        <f>K331</f>
        <v>197610604</v>
      </c>
      <c r="L330" s="148">
        <f>L331</f>
        <v>3501400</v>
      </c>
      <c r="M330" s="148">
        <f>M331</f>
        <v>0</v>
      </c>
      <c r="N330" s="148">
        <f>N331</f>
        <v>0</v>
      </c>
      <c r="O330" s="148">
        <f>O331</f>
        <v>197610604</v>
      </c>
      <c r="P330" s="149">
        <f t="shared" si="20"/>
        <v>515843817</v>
      </c>
      <c r="Q330" s="223"/>
      <c r="R330" s="118"/>
      <c r="S330" s="118"/>
      <c r="T330" s="118"/>
    </row>
    <row r="331" spans="1:20" s="30" customFormat="1" ht="33" customHeight="1">
      <c r="A331" s="72" t="s">
        <v>19</v>
      </c>
      <c r="B331" s="73"/>
      <c r="C331" s="74"/>
      <c r="D331" s="9" t="s">
        <v>20</v>
      </c>
      <c r="E331" s="150">
        <f>F331+I331</f>
        <v>314731813</v>
      </c>
      <c r="F331" s="150">
        <f>F332+F333+F334+F335+F336+F337+F339+F341+F342+F344+F347+F348+F350+F351+F352+F353+F354+F355+F356+F357+F358+F359+F360+F363+F365+F366+F367+F369+F370+F371+F372+F375</f>
        <v>311234313</v>
      </c>
      <c r="G331" s="150">
        <f>G332+G333+G334+G335+G336+G337+G339+G341+G342+G344+G347+G348+G350+G351+G352+G353+G354+G355+G356+G357+G358+G359+G360+G363+G365+G366+G367+G369+G370+G371+G372+G375</f>
        <v>6283369</v>
      </c>
      <c r="H331" s="150">
        <f>H332+H333+H334+H335+H336+H337+H339+H341+H342+H344+H347+H348+H350+H351+H352+H353+H354+H355+H356+H357+H358+H359+H360+H363+H365+H366+H367+H369+H370+H371+H372+H375</f>
        <v>15594694</v>
      </c>
      <c r="I331" s="150">
        <f>I332+I333+I334+I335+I336+I337+I339+I341+I342+I344+I347+I348+I350+I351+I352+I353+I354+I355+I356+I357+I358+I359+I360+I363+I365+I366+I367+I369+I370+I371+I372+I375</f>
        <v>3497500</v>
      </c>
      <c r="J331" s="151">
        <f>L331+O331</f>
        <v>201112004</v>
      </c>
      <c r="K331" s="150">
        <f>K332+K333+K334+K335+K336+K337+K339+K341+K342+K344+K347+K348+K350+K351+K352+K353+K354+K355+K356+K357+K358+K359+K360+K363+K365+K366+K367+K369+K370+K371+K372+K375</f>
        <v>197610604</v>
      </c>
      <c r="L331" s="150">
        <f>L332+L333+L334+L335+L336+L337+L339+L341+L342+L344+L347+L348+L350+L351+L352+L353+L354+L355+L356+L357+L358+L359+L360+L363+L365+L366+L367+L369+L370+L371+L372+L375</f>
        <v>3501400</v>
      </c>
      <c r="M331" s="150">
        <f>M332+M333+M334+M335+M336+M337+M339+M341+M342+M344+M347+M348+M350+M351+M352+M353+M354+M355+M356+M357+M358+M359+M360+M363+M365+M366+M367+M369+M370+M371+M372+M375</f>
        <v>0</v>
      </c>
      <c r="N331" s="150">
        <f>N332+N333+N334+N335+N336+N337+N339+N341+N342+N344+N347+N348+N350+N351+N352+N353+N354+N355+N356+N357+N358+N359+N360+N363+N365+N366+N367+N369+N370+N371+N372+N375</f>
        <v>0</v>
      </c>
      <c r="O331" s="150">
        <f>O332+O333+O334+O335+O336+O337+O339+O341+O342+O344+O347+O348+O350+O351+O352+O353+O354+O355+O356+O357+O358+O359+O360+O363+O365+O366+O367+O369+O370+O371+O372+O375</f>
        <v>197610604</v>
      </c>
      <c r="P331" s="152">
        <f>E331+J331</f>
        <v>515843817</v>
      </c>
      <c r="Q331" s="223"/>
      <c r="R331" s="119"/>
      <c r="S331" s="119"/>
      <c r="T331" s="119"/>
    </row>
    <row r="332" spans="1:20" s="26" customFormat="1" ht="26.25">
      <c r="A332" s="75" t="s">
        <v>21</v>
      </c>
      <c r="B332" s="76" t="s">
        <v>464</v>
      </c>
      <c r="C332" s="75" t="s">
        <v>449</v>
      </c>
      <c r="D332" s="7" t="s">
        <v>465</v>
      </c>
      <c r="E332" s="153">
        <f>F332+I332</f>
        <v>10040734</v>
      </c>
      <c r="F332" s="154">
        <f>9905734+135000</f>
        <v>10040734</v>
      </c>
      <c r="G332" s="154">
        <f>6283369</f>
        <v>6283369</v>
      </c>
      <c r="H332" s="154">
        <v>461694</v>
      </c>
      <c r="I332" s="154"/>
      <c r="J332" s="155">
        <f t="shared" si="21"/>
        <v>1400</v>
      </c>
      <c r="K332" s="159"/>
      <c r="L332" s="154">
        <v>1400</v>
      </c>
      <c r="M332" s="154"/>
      <c r="N332" s="154"/>
      <c r="O332" s="154"/>
      <c r="P332" s="157">
        <f t="shared" si="20"/>
        <v>10042134</v>
      </c>
      <c r="Q332" s="223"/>
      <c r="R332" s="115"/>
      <c r="S332" s="115"/>
      <c r="T332" s="115"/>
    </row>
    <row r="333" spans="1:20" s="26" customFormat="1" ht="31.5" customHeight="1">
      <c r="A333" s="68" t="s">
        <v>417</v>
      </c>
      <c r="B333" s="68" t="s">
        <v>152</v>
      </c>
      <c r="C333" s="68" t="s">
        <v>326</v>
      </c>
      <c r="D333" s="12" t="s">
        <v>327</v>
      </c>
      <c r="E333" s="153">
        <f t="shared" si="19"/>
        <v>10000</v>
      </c>
      <c r="F333" s="156">
        <v>10000</v>
      </c>
      <c r="G333" s="154"/>
      <c r="H333" s="154"/>
      <c r="I333" s="154"/>
      <c r="J333" s="155">
        <f t="shared" si="21"/>
        <v>0</v>
      </c>
      <c r="K333" s="159"/>
      <c r="L333" s="154"/>
      <c r="M333" s="154"/>
      <c r="N333" s="154"/>
      <c r="O333" s="154"/>
      <c r="P333" s="157">
        <f aca="true" t="shared" si="24" ref="P333:P393">E333+J333</f>
        <v>10000</v>
      </c>
      <c r="Q333" s="223"/>
      <c r="R333" s="115"/>
      <c r="S333" s="115"/>
      <c r="T333" s="115"/>
    </row>
    <row r="334" spans="1:20" s="26" customFormat="1" ht="18" customHeight="1">
      <c r="A334" s="75" t="s">
        <v>22</v>
      </c>
      <c r="B334" s="76" t="s">
        <v>454</v>
      </c>
      <c r="C334" s="75" t="s">
        <v>453</v>
      </c>
      <c r="D334" s="7" t="s">
        <v>455</v>
      </c>
      <c r="E334" s="153">
        <f t="shared" si="19"/>
        <v>247500</v>
      </c>
      <c r="F334" s="154">
        <v>247500</v>
      </c>
      <c r="G334" s="154"/>
      <c r="H334" s="154"/>
      <c r="I334" s="154"/>
      <c r="J334" s="155">
        <f t="shared" si="21"/>
        <v>0</v>
      </c>
      <c r="K334" s="159"/>
      <c r="L334" s="154"/>
      <c r="M334" s="154"/>
      <c r="N334" s="154"/>
      <c r="O334" s="154"/>
      <c r="P334" s="157">
        <f t="shared" si="24"/>
        <v>247500</v>
      </c>
      <c r="Q334" s="223"/>
      <c r="R334" s="115"/>
      <c r="S334" s="115"/>
      <c r="T334" s="115"/>
    </row>
    <row r="335" spans="1:20" s="34" customFormat="1" ht="18" customHeight="1">
      <c r="A335" s="68" t="s">
        <v>245</v>
      </c>
      <c r="B335" s="76">
        <v>3210</v>
      </c>
      <c r="C335" s="75" t="s">
        <v>23</v>
      </c>
      <c r="D335" s="7" t="s">
        <v>24</v>
      </c>
      <c r="E335" s="153">
        <f t="shared" si="19"/>
        <v>250000</v>
      </c>
      <c r="F335" s="154">
        <v>250000</v>
      </c>
      <c r="G335" s="154"/>
      <c r="H335" s="154"/>
      <c r="I335" s="154"/>
      <c r="J335" s="155">
        <f t="shared" si="21"/>
        <v>0</v>
      </c>
      <c r="K335" s="159"/>
      <c r="L335" s="154">
        <v>0</v>
      </c>
      <c r="M335" s="154">
        <v>0</v>
      </c>
      <c r="N335" s="154">
        <v>0</v>
      </c>
      <c r="O335" s="154">
        <v>0</v>
      </c>
      <c r="P335" s="157">
        <f t="shared" si="24"/>
        <v>250000</v>
      </c>
      <c r="Q335" s="223"/>
      <c r="R335" s="123"/>
      <c r="S335" s="123"/>
      <c r="T335" s="123"/>
    </row>
    <row r="336" spans="1:20" s="26" customFormat="1" ht="18" customHeight="1">
      <c r="A336" s="68" t="s">
        <v>176</v>
      </c>
      <c r="B336" s="76">
        <v>5041</v>
      </c>
      <c r="C336" s="68" t="s">
        <v>519</v>
      </c>
      <c r="D336" s="7" t="s">
        <v>545</v>
      </c>
      <c r="E336" s="153">
        <f>F336+I336</f>
        <v>6912730</v>
      </c>
      <c r="F336" s="154">
        <v>6912730</v>
      </c>
      <c r="G336" s="154"/>
      <c r="H336" s="154"/>
      <c r="I336" s="154"/>
      <c r="J336" s="155">
        <f>L336+O336</f>
        <v>0</v>
      </c>
      <c r="K336" s="159"/>
      <c r="L336" s="154">
        <v>0</v>
      </c>
      <c r="M336" s="154">
        <v>0</v>
      </c>
      <c r="N336" s="154">
        <v>0</v>
      </c>
      <c r="O336" s="154">
        <v>0</v>
      </c>
      <c r="P336" s="157">
        <f t="shared" si="24"/>
        <v>6912730</v>
      </c>
      <c r="Q336" s="223"/>
      <c r="R336" s="115"/>
      <c r="S336" s="115"/>
      <c r="T336" s="115"/>
    </row>
    <row r="337" spans="1:20" s="34" customFormat="1" ht="18.75" customHeight="1">
      <c r="A337" s="75" t="s">
        <v>25</v>
      </c>
      <c r="B337" s="76" t="s">
        <v>27</v>
      </c>
      <c r="C337" s="68" t="s">
        <v>36</v>
      </c>
      <c r="D337" s="7" t="s">
        <v>28</v>
      </c>
      <c r="E337" s="153">
        <f aca="true" t="shared" si="25" ref="E337:E348">F337+I337</f>
        <v>0</v>
      </c>
      <c r="F337" s="154">
        <v>0</v>
      </c>
      <c r="G337" s="154">
        <v>0</v>
      </c>
      <c r="H337" s="154">
        <v>0</v>
      </c>
      <c r="I337" s="154">
        <v>0</v>
      </c>
      <c r="J337" s="155">
        <f aca="true" t="shared" si="26" ref="J337:J398">L337+O337</f>
        <v>63429102</v>
      </c>
      <c r="K337" s="159">
        <f>57630480-2797000+9000000-208000-40000-156378</f>
        <v>63429102</v>
      </c>
      <c r="L337" s="154">
        <v>0</v>
      </c>
      <c r="M337" s="154">
        <v>0</v>
      </c>
      <c r="N337" s="154">
        <v>0</v>
      </c>
      <c r="O337" s="154">
        <f>57630480-2797000+9000000-208000-40000-156378</f>
        <v>63429102</v>
      </c>
      <c r="P337" s="157">
        <f t="shared" si="24"/>
        <v>63429102</v>
      </c>
      <c r="Q337" s="223"/>
      <c r="R337" s="123"/>
      <c r="S337" s="123"/>
      <c r="T337" s="123"/>
    </row>
    <row r="338" spans="1:20" s="34" customFormat="1" ht="29.25" customHeight="1">
      <c r="A338" s="75"/>
      <c r="B338" s="76"/>
      <c r="C338" s="75"/>
      <c r="D338" s="3" t="s">
        <v>395</v>
      </c>
      <c r="E338" s="153">
        <f t="shared" si="25"/>
        <v>0</v>
      </c>
      <c r="F338" s="154"/>
      <c r="G338" s="154"/>
      <c r="H338" s="154"/>
      <c r="I338" s="154"/>
      <c r="J338" s="155">
        <f t="shared" si="26"/>
        <v>44000000</v>
      </c>
      <c r="K338" s="164">
        <f>35000000+9000000</f>
        <v>44000000</v>
      </c>
      <c r="L338" s="163"/>
      <c r="M338" s="163"/>
      <c r="N338" s="163"/>
      <c r="O338" s="163">
        <f>35000000+9000000</f>
        <v>44000000</v>
      </c>
      <c r="P338" s="165">
        <f t="shared" si="24"/>
        <v>44000000</v>
      </c>
      <c r="Q338" s="223"/>
      <c r="R338" s="123"/>
      <c r="S338" s="123"/>
      <c r="T338" s="123"/>
    </row>
    <row r="339" spans="1:20" s="34" customFormat="1" ht="29.25" customHeight="1">
      <c r="A339" s="68" t="s">
        <v>201</v>
      </c>
      <c r="B339" s="76">
        <v>6012</v>
      </c>
      <c r="C339" s="68" t="s">
        <v>26</v>
      </c>
      <c r="D339" s="12" t="s">
        <v>202</v>
      </c>
      <c r="E339" s="153">
        <f t="shared" si="25"/>
        <v>21000000</v>
      </c>
      <c r="F339" s="154">
        <v>21000000</v>
      </c>
      <c r="G339" s="154"/>
      <c r="H339" s="154"/>
      <c r="I339" s="154"/>
      <c r="J339" s="155">
        <f t="shared" si="26"/>
        <v>0</v>
      </c>
      <c r="K339" s="164"/>
      <c r="L339" s="163"/>
      <c r="M339" s="163"/>
      <c r="N339" s="163"/>
      <c r="O339" s="163"/>
      <c r="P339" s="157">
        <f t="shared" si="24"/>
        <v>21000000</v>
      </c>
      <c r="Q339" s="223"/>
      <c r="R339" s="123"/>
      <c r="S339" s="123"/>
      <c r="T339" s="123"/>
    </row>
    <row r="340" spans="1:20" s="34" customFormat="1" ht="34.5" customHeight="1">
      <c r="A340" s="75"/>
      <c r="B340" s="76"/>
      <c r="C340" s="68"/>
      <c r="D340" s="1" t="s">
        <v>395</v>
      </c>
      <c r="E340" s="162">
        <f>F340+I340</f>
        <v>21000000</v>
      </c>
      <c r="F340" s="163">
        <v>21000000</v>
      </c>
      <c r="G340" s="163"/>
      <c r="H340" s="163"/>
      <c r="I340" s="163"/>
      <c r="J340" s="155">
        <f>L340+O340</f>
        <v>0</v>
      </c>
      <c r="K340" s="164"/>
      <c r="L340" s="163"/>
      <c r="M340" s="163"/>
      <c r="N340" s="163"/>
      <c r="O340" s="163"/>
      <c r="P340" s="165">
        <f>E340+J340</f>
        <v>21000000</v>
      </c>
      <c r="Q340" s="223"/>
      <c r="R340" s="123"/>
      <c r="S340" s="123"/>
      <c r="T340" s="123"/>
    </row>
    <row r="341" spans="1:20" s="34" customFormat="1" ht="30" customHeight="1">
      <c r="A341" s="68" t="s">
        <v>357</v>
      </c>
      <c r="B341" s="76">
        <v>6013</v>
      </c>
      <c r="C341" s="68" t="s">
        <v>26</v>
      </c>
      <c r="D341" s="12" t="s">
        <v>358</v>
      </c>
      <c r="E341" s="153">
        <f t="shared" si="25"/>
        <v>0</v>
      </c>
      <c r="F341" s="154"/>
      <c r="G341" s="154">
        <v>0</v>
      </c>
      <c r="H341" s="154">
        <v>0</v>
      </c>
      <c r="I341" s="154">
        <v>0</v>
      </c>
      <c r="J341" s="155">
        <f t="shared" si="26"/>
        <v>0</v>
      </c>
      <c r="K341" s="159"/>
      <c r="L341" s="154">
        <v>0</v>
      </c>
      <c r="M341" s="154">
        <v>0</v>
      </c>
      <c r="N341" s="154">
        <v>0</v>
      </c>
      <c r="O341" s="154"/>
      <c r="P341" s="157">
        <f t="shared" si="24"/>
        <v>0</v>
      </c>
      <c r="Q341" s="223"/>
      <c r="R341" s="123"/>
      <c r="S341" s="123"/>
      <c r="T341" s="123"/>
    </row>
    <row r="342" spans="1:20" s="34" customFormat="1" ht="30" customHeight="1">
      <c r="A342" s="68" t="s">
        <v>387</v>
      </c>
      <c r="B342" s="76">
        <v>6015</v>
      </c>
      <c r="C342" s="68" t="s">
        <v>26</v>
      </c>
      <c r="D342" s="12" t="s">
        <v>388</v>
      </c>
      <c r="E342" s="153">
        <f t="shared" si="25"/>
        <v>0</v>
      </c>
      <c r="F342" s="154"/>
      <c r="G342" s="154"/>
      <c r="H342" s="154"/>
      <c r="I342" s="154"/>
      <c r="J342" s="155">
        <f t="shared" si="26"/>
        <v>18000000</v>
      </c>
      <c r="K342" s="159">
        <f>10000000+8000000</f>
        <v>18000000</v>
      </c>
      <c r="L342" s="154"/>
      <c r="M342" s="154"/>
      <c r="N342" s="154"/>
      <c r="O342" s="154">
        <f>10000000+8000000</f>
        <v>18000000</v>
      </c>
      <c r="P342" s="157">
        <f t="shared" si="24"/>
        <v>18000000</v>
      </c>
      <c r="Q342" s="223"/>
      <c r="R342" s="123"/>
      <c r="S342" s="123"/>
      <c r="T342" s="123"/>
    </row>
    <row r="343" spans="1:20" s="34" customFormat="1" ht="29.25" customHeight="1">
      <c r="A343" s="75"/>
      <c r="B343" s="76"/>
      <c r="C343" s="75"/>
      <c r="D343" s="3" t="s">
        <v>395</v>
      </c>
      <c r="E343" s="153">
        <f t="shared" si="25"/>
        <v>0</v>
      </c>
      <c r="F343" s="154"/>
      <c r="G343" s="154"/>
      <c r="H343" s="154"/>
      <c r="I343" s="154"/>
      <c r="J343" s="155">
        <f t="shared" si="26"/>
        <v>18000000</v>
      </c>
      <c r="K343" s="164">
        <f>10000000+8000000</f>
        <v>18000000</v>
      </c>
      <c r="L343" s="163"/>
      <c r="M343" s="163"/>
      <c r="N343" s="163"/>
      <c r="O343" s="163">
        <f>10000000+8000000</f>
        <v>18000000</v>
      </c>
      <c r="P343" s="165">
        <f>E343+J343</f>
        <v>18000000</v>
      </c>
      <c r="Q343" s="223"/>
      <c r="R343" s="123"/>
      <c r="S343" s="123"/>
      <c r="T343" s="123"/>
    </row>
    <row r="344" spans="1:20" s="34" customFormat="1" ht="33" customHeight="1">
      <c r="A344" s="75" t="s">
        <v>218</v>
      </c>
      <c r="B344" s="76">
        <v>6017</v>
      </c>
      <c r="C344" s="68" t="s">
        <v>26</v>
      </c>
      <c r="D344" s="12" t="s">
        <v>219</v>
      </c>
      <c r="E344" s="153">
        <f t="shared" si="25"/>
        <v>78686000</v>
      </c>
      <c r="F344" s="154">
        <f>93686000+4000000-21000000</f>
        <v>76686000</v>
      </c>
      <c r="G344" s="154">
        <v>0</v>
      </c>
      <c r="H344" s="154">
        <v>0</v>
      </c>
      <c r="I344" s="154">
        <v>2000000</v>
      </c>
      <c r="J344" s="155">
        <f t="shared" si="26"/>
        <v>1205000</v>
      </c>
      <c r="K344" s="159">
        <v>1205000</v>
      </c>
      <c r="L344" s="154">
        <v>0</v>
      </c>
      <c r="M344" s="154">
        <v>0</v>
      </c>
      <c r="N344" s="154">
        <v>0</v>
      </c>
      <c r="O344" s="154">
        <v>1205000</v>
      </c>
      <c r="P344" s="157">
        <f>E344+J344</f>
        <v>79891000</v>
      </c>
      <c r="Q344" s="223"/>
      <c r="R344" s="123"/>
      <c r="S344" s="123"/>
      <c r="T344" s="123"/>
    </row>
    <row r="345" spans="1:20" s="34" customFormat="1" ht="36.75" customHeight="1">
      <c r="A345" s="75"/>
      <c r="B345" s="76"/>
      <c r="C345" s="68"/>
      <c r="D345" s="3" t="s">
        <v>402</v>
      </c>
      <c r="E345" s="162">
        <f t="shared" si="25"/>
        <v>0</v>
      </c>
      <c r="F345" s="163"/>
      <c r="G345" s="163"/>
      <c r="H345" s="163"/>
      <c r="I345" s="163"/>
      <c r="J345" s="155">
        <f t="shared" si="26"/>
        <v>0</v>
      </c>
      <c r="K345" s="164"/>
      <c r="L345" s="163"/>
      <c r="M345" s="163"/>
      <c r="N345" s="163"/>
      <c r="O345" s="163"/>
      <c r="P345" s="165">
        <f>E345+J345</f>
        <v>0</v>
      </c>
      <c r="Q345" s="223"/>
      <c r="R345" s="123"/>
      <c r="S345" s="123"/>
      <c r="T345" s="123"/>
    </row>
    <row r="346" spans="1:20" s="34" customFormat="1" ht="34.5" customHeight="1">
      <c r="A346" s="75"/>
      <c r="B346" s="76"/>
      <c r="C346" s="68"/>
      <c r="D346" s="1" t="s">
        <v>395</v>
      </c>
      <c r="E346" s="162">
        <f t="shared" si="25"/>
        <v>29000000</v>
      </c>
      <c r="F346" s="163">
        <f>50000000-21000000</f>
        <v>29000000</v>
      </c>
      <c r="G346" s="163"/>
      <c r="H346" s="163"/>
      <c r="I346" s="163"/>
      <c r="J346" s="155">
        <f t="shared" si="26"/>
        <v>0</v>
      </c>
      <c r="K346" s="164"/>
      <c r="L346" s="163"/>
      <c r="M346" s="163"/>
      <c r="N346" s="163"/>
      <c r="O346" s="163"/>
      <c r="P346" s="165">
        <f>E346+J346</f>
        <v>29000000</v>
      </c>
      <c r="Q346" s="223"/>
      <c r="R346" s="123"/>
      <c r="S346" s="123"/>
      <c r="T346" s="123"/>
    </row>
    <row r="347" spans="1:20" s="34" customFormat="1" ht="61.5" customHeight="1">
      <c r="A347" s="75" t="s">
        <v>29</v>
      </c>
      <c r="B347" s="76" t="s">
        <v>30</v>
      </c>
      <c r="C347" s="75" t="s">
        <v>26</v>
      </c>
      <c r="D347" s="7" t="s">
        <v>31</v>
      </c>
      <c r="E347" s="153">
        <f t="shared" si="25"/>
        <v>6200000</v>
      </c>
      <c r="F347" s="154">
        <v>6200000</v>
      </c>
      <c r="G347" s="154"/>
      <c r="H347" s="154"/>
      <c r="I347" s="154"/>
      <c r="J347" s="155">
        <f t="shared" si="26"/>
        <v>0</v>
      </c>
      <c r="K347" s="159"/>
      <c r="L347" s="154">
        <v>0</v>
      </c>
      <c r="M347" s="154">
        <v>0</v>
      </c>
      <c r="N347" s="154">
        <v>0</v>
      </c>
      <c r="O347" s="154"/>
      <c r="P347" s="157">
        <f t="shared" si="24"/>
        <v>6200000</v>
      </c>
      <c r="Q347" s="223"/>
      <c r="R347" s="123"/>
      <c r="S347" s="123"/>
      <c r="T347" s="123"/>
    </row>
    <row r="348" spans="1:20" s="34" customFormat="1" ht="17.25" customHeight="1">
      <c r="A348" s="75" t="s">
        <v>32</v>
      </c>
      <c r="B348" s="76" t="s">
        <v>33</v>
      </c>
      <c r="C348" s="75" t="s">
        <v>26</v>
      </c>
      <c r="D348" s="7" t="s">
        <v>34</v>
      </c>
      <c r="E348" s="153">
        <f t="shared" si="25"/>
        <v>145895588</v>
      </c>
      <c r="F348" s="154">
        <f>140531962+2797000+2566626</f>
        <v>145895588</v>
      </c>
      <c r="G348" s="154"/>
      <c r="H348" s="154">
        <v>15133000</v>
      </c>
      <c r="I348" s="154"/>
      <c r="J348" s="155">
        <f t="shared" si="26"/>
        <v>19450378</v>
      </c>
      <c r="K348" s="159">
        <f>19294000+156378</f>
        <v>19450378</v>
      </c>
      <c r="L348" s="154">
        <v>0</v>
      </c>
      <c r="M348" s="154">
        <v>0</v>
      </c>
      <c r="N348" s="154">
        <v>0</v>
      </c>
      <c r="O348" s="154">
        <f>19294000+156378</f>
        <v>19450378</v>
      </c>
      <c r="P348" s="157">
        <f t="shared" si="24"/>
        <v>165345966</v>
      </c>
      <c r="Q348" s="223"/>
      <c r="R348" s="123"/>
      <c r="S348" s="123"/>
      <c r="T348" s="123"/>
    </row>
    <row r="349" spans="1:20" s="35" customFormat="1" ht="38.25" customHeight="1">
      <c r="A349" s="79"/>
      <c r="B349" s="80"/>
      <c r="C349" s="79"/>
      <c r="D349" s="3" t="s">
        <v>396</v>
      </c>
      <c r="E349" s="162"/>
      <c r="F349" s="163"/>
      <c r="G349" s="163"/>
      <c r="H349" s="163"/>
      <c r="I349" s="163"/>
      <c r="J349" s="155">
        <f t="shared" si="26"/>
        <v>0</v>
      </c>
      <c r="K349" s="164"/>
      <c r="L349" s="163"/>
      <c r="M349" s="163"/>
      <c r="N349" s="163"/>
      <c r="O349" s="163"/>
      <c r="P349" s="165">
        <f t="shared" si="24"/>
        <v>0</v>
      </c>
      <c r="Q349" s="223"/>
      <c r="R349" s="124"/>
      <c r="S349" s="124"/>
      <c r="T349" s="124"/>
    </row>
    <row r="350" spans="1:20" s="34" customFormat="1" ht="33" customHeight="1">
      <c r="A350" s="75" t="s">
        <v>35</v>
      </c>
      <c r="B350" s="76" t="s">
        <v>37</v>
      </c>
      <c r="C350" s="75" t="s">
        <v>36</v>
      </c>
      <c r="D350" s="7" t="s">
        <v>38</v>
      </c>
      <c r="E350" s="153">
        <f aca="true" t="shared" si="27" ref="E350:E375">F350+I350</f>
        <v>1497500</v>
      </c>
      <c r="F350" s="154">
        <v>0</v>
      </c>
      <c r="G350" s="154">
        <v>0</v>
      </c>
      <c r="H350" s="154">
        <v>0</v>
      </c>
      <c r="I350" s="154">
        <v>1497500</v>
      </c>
      <c r="J350" s="155">
        <f t="shared" si="26"/>
        <v>0</v>
      </c>
      <c r="K350" s="159"/>
      <c r="L350" s="154">
        <v>0</v>
      </c>
      <c r="M350" s="154">
        <v>0</v>
      </c>
      <c r="N350" s="154">
        <v>0</v>
      </c>
      <c r="O350" s="154">
        <v>0</v>
      </c>
      <c r="P350" s="157">
        <f t="shared" si="24"/>
        <v>1497500</v>
      </c>
      <c r="Q350" s="223"/>
      <c r="R350" s="123"/>
      <c r="S350" s="123"/>
      <c r="T350" s="123"/>
    </row>
    <row r="351" spans="1:20" s="34" customFormat="1" ht="34.5" customHeight="1">
      <c r="A351" s="75" t="s">
        <v>39</v>
      </c>
      <c r="B351" s="76" t="s">
        <v>41</v>
      </c>
      <c r="C351" s="75" t="s">
        <v>40</v>
      </c>
      <c r="D351" s="7" t="s">
        <v>42</v>
      </c>
      <c r="E351" s="153">
        <f t="shared" si="27"/>
        <v>20000</v>
      </c>
      <c r="F351" s="159">
        <v>20000</v>
      </c>
      <c r="G351" s="154"/>
      <c r="H351" s="154"/>
      <c r="I351" s="154"/>
      <c r="J351" s="155">
        <f t="shared" si="26"/>
        <v>0</v>
      </c>
      <c r="K351" s="159"/>
      <c r="L351" s="154">
        <v>0</v>
      </c>
      <c r="M351" s="154">
        <v>0</v>
      </c>
      <c r="N351" s="154">
        <v>0</v>
      </c>
      <c r="O351" s="154">
        <v>0</v>
      </c>
      <c r="P351" s="157">
        <f t="shared" si="24"/>
        <v>20000</v>
      </c>
      <c r="Q351" s="223"/>
      <c r="R351" s="123"/>
      <c r="S351" s="123"/>
      <c r="T351" s="123"/>
    </row>
    <row r="352" spans="1:20" s="34" customFormat="1" ht="26.25" customHeight="1">
      <c r="A352" s="68" t="s">
        <v>271</v>
      </c>
      <c r="B352" s="76">
        <v>7130</v>
      </c>
      <c r="C352" s="68" t="s">
        <v>121</v>
      </c>
      <c r="D352" s="7" t="s">
        <v>272</v>
      </c>
      <c r="E352" s="153">
        <f t="shared" si="27"/>
        <v>54000</v>
      </c>
      <c r="F352" s="154">
        <v>54000</v>
      </c>
      <c r="G352" s="154"/>
      <c r="H352" s="154"/>
      <c r="I352" s="154"/>
      <c r="J352" s="155">
        <f t="shared" si="26"/>
        <v>0</v>
      </c>
      <c r="K352" s="159"/>
      <c r="L352" s="154"/>
      <c r="M352" s="154"/>
      <c r="N352" s="154"/>
      <c r="O352" s="154"/>
      <c r="P352" s="157">
        <f t="shared" si="24"/>
        <v>54000</v>
      </c>
      <c r="Q352" s="223"/>
      <c r="R352" s="123"/>
      <c r="S352" s="123"/>
      <c r="T352" s="123"/>
    </row>
    <row r="353" spans="1:20" s="34" customFormat="1" ht="30.75" customHeight="1">
      <c r="A353" s="75" t="s">
        <v>43</v>
      </c>
      <c r="B353" s="76" t="s">
        <v>44</v>
      </c>
      <c r="C353" s="75" t="s">
        <v>561</v>
      </c>
      <c r="D353" s="7" t="s">
        <v>45</v>
      </c>
      <c r="E353" s="153">
        <f t="shared" si="27"/>
        <v>0</v>
      </c>
      <c r="F353" s="154">
        <v>0</v>
      </c>
      <c r="G353" s="154">
        <v>0</v>
      </c>
      <c r="H353" s="154">
        <v>0</v>
      </c>
      <c r="I353" s="154">
        <v>0</v>
      </c>
      <c r="J353" s="155">
        <f t="shared" si="26"/>
        <v>5317331</v>
      </c>
      <c r="K353" s="159">
        <v>5317331</v>
      </c>
      <c r="L353" s="154">
        <v>0</v>
      </c>
      <c r="M353" s="154">
        <v>0</v>
      </c>
      <c r="N353" s="154">
        <v>0</v>
      </c>
      <c r="O353" s="154">
        <v>5317331</v>
      </c>
      <c r="P353" s="157">
        <f t="shared" si="24"/>
        <v>5317331</v>
      </c>
      <c r="Q353" s="223"/>
      <c r="R353" s="123"/>
      <c r="S353" s="123"/>
      <c r="T353" s="123"/>
    </row>
    <row r="354" spans="1:20" s="34" customFormat="1" ht="21" customHeight="1">
      <c r="A354" s="89" t="s">
        <v>331</v>
      </c>
      <c r="B354" s="76" t="s">
        <v>563</v>
      </c>
      <c r="C354" s="75" t="s">
        <v>561</v>
      </c>
      <c r="D354" s="7" t="s">
        <v>564</v>
      </c>
      <c r="E354" s="153">
        <f t="shared" si="27"/>
        <v>0</v>
      </c>
      <c r="F354" s="154">
        <v>0</v>
      </c>
      <c r="G354" s="154">
        <v>0</v>
      </c>
      <c r="H354" s="154">
        <v>0</v>
      </c>
      <c r="I354" s="154">
        <v>0</v>
      </c>
      <c r="J354" s="155">
        <f t="shared" si="26"/>
        <v>0</v>
      </c>
      <c r="K354" s="159"/>
      <c r="L354" s="154">
        <v>0</v>
      </c>
      <c r="M354" s="154">
        <v>0</v>
      </c>
      <c r="N354" s="154">
        <v>0</v>
      </c>
      <c r="O354" s="154"/>
      <c r="P354" s="157">
        <f>E354+J354</f>
        <v>0</v>
      </c>
      <c r="Q354" s="223"/>
      <c r="R354" s="123"/>
      <c r="S354" s="123"/>
      <c r="T354" s="123"/>
    </row>
    <row r="355" spans="1:20" s="34" customFormat="1" ht="26.25" customHeight="1">
      <c r="A355" s="75" t="s">
        <v>46</v>
      </c>
      <c r="B355" s="76" t="s">
        <v>601</v>
      </c>
      <c r="C355" s="75" t="s">
        <v>561</v>
      </c>
      <c r="D355" s="7" t="s">
        <v>602</v>
      </c>
      <c r="E355" s="153">
        <f t="shared" si="27"/>
        <v>0</v>
      </c>
      <c r="F355" s="154">
        <v>0</v>
      </c>
      <c r="G355" s="154">
        <v>0</v>
      </c>
      <c r="H355" s="154">
        <v>0</v>
      </c>
      <c r="I355" s="154">
        <v>0</v>
      </c>
      <c r="J355" s="155">
        <f t="shared" si="26"/>
        <v>650000</v>
      </c>
      <c r="K355" s="159">
        <f>610000+40000</f>
        <v>650000</v>
      </c>
      <c r="L355" s="154">
        <v>0</v>
      </c>
      <c r="M355" s="154">
        <v>0</v>
      </c>
      <c r="N355" s="154">
        <v>0</v>
      </c>
      <c r="O355" s="154">
        <f>610000+40000</f>
        <v>650000</v>
      </c>
      <c r="P355" s="157">
        <f t="shared" si="24"/>
        <v>650000</v>
      </c>
      <c r="Q355" s="223"/>
      <c r="R355" s="123"/>
      <c r="S355" s="123"/>
      <c r="T355" s="123"/>
    </row>
    <row r="356" spans="1:20" s="34" customFormat="1" ht="29.25" customHeight="1">
      <c r="A356" s="75" t="s">
        <v>47</v>
      </c>
      <c r="B356" s="76" t="s">
        <v>48</v>
      </c>
      <c r="C356" s="75" t="s">
        <v>561</v>
      </c>
      <c r="D356" s="7" t="s">
        <v>49</v>
      </c>
      <c r="E356" s="153">
        <f t="shared" si="27"/>
        <v>0</v>
      </c>
      <c r="F356" s="154">
        <v>0</v>
      </c>
      <c r="G356" s="154">
        <v>0</v>
      </c>
      <c r="H356" s="154">
        <v>0</v>
      </c>
      <c r="I356" s="154">
        <v>0</v>
      </c>
      <c r="J356" s="155">
        <f t="shared" si="26"/>
        <v>2009000</v>
      </c>
      <c r="K356" s="159">
        <f>2000000+9000</f>
        <v>2009000</v>
      </c>
      <c r="L356" s="154">
        <v>0</v>
      </c>
      <c r="M356" s="154">
        <v>0</v>
      </c>
      <c r="N356" s="154">
        <v>0</v>
      </c>
      <c r="O356" s="154">
        <f>2000000+9000</f>
        <v>2009000</v>
      </c>
      <c r="P356" s="157">
        <f t="shared" si="24"/>
        <v>2009000</v>
      </c>
      <c r="Q356" s="223"/>
      <c r="R356" s="123"/>
      <c r="S356" s="123"/>
      <c r="T356" s="123"/>
    </row>
    <row r="357" spans="1:20" s="26" customFormat="1" ht="29.25" customHeight="1">
      <c r="A357" s="75" t="s">
        <v>273</v>
      </c>
      <c r="B357" s="76" t="s">
        <v>274</v>
      </c>
      <c r="C357" s="75" t="s">
        <v>561</v>
      </c>
      <c r="D357" s="12" t="s">
        <v>275</v>
      </c>
      <c r="E357" s="153">
        <f>F357+I357</f>
        <v>0</v>
      </c>
      <c r="F357" s="154">
        <v>0</v>
      </c>
      <c r="G357" s="154">
        <v>0</v>
      </c>
      <c r="H357" s="154">
        <v>0</v>
      </c>
      <c r="I357" s="154">
        <v>0</v>
      </c>
      <c r="J357" s="155">
        <f>L357+O357</f>
        <v>286000</v>
      </c>
      <c r="K357" s="159">
        <f>0+286000</f>
        <v>286000</v>
      </c>
      <c r="L357" s="154">
        <v>0</v>
      </c>
      <c r="M357" s="154">
        <v>0</v>
      </c>
      <c r="N357" s="154">
        <v>0</v>
      </c>
      <c r="O357" s="159">
        <f>0+286000</f>
        <v>286000</v>
      </c>
      <c r="P357" s="157">
        <f>E357+J357</f>
        <v>286000</v>
      </c>
      <c r="Q357" s="223"/>
      <c r="R357" s="115"/>
      <c r="S357" s="115"/>
      <c r="T357" s="115"/>
    </row>
    <row r="358" spans="1:20" s="34" customFormat="1" ht="15">
      <c r="A358" s="75" t="s">
        <v>50</v>
      </c>
      <c r="B358" s="76" t="s">
        <v>51</v>
      </c>
      <c r="C358" s="75" t="s">
        <v>561</v>
      </c>
      <c r="D358" s="7" t="s">
        <v>52</v>
      </c>
      <c r="E358" s="153">
        <f t="shared" si="27"/>
        <v>0</v>
      </c>
      <c r="F358" s="154">
        <v>0</v>
      </c>
      <c r="G358" s="154">
        <v>0</v>
      </c>
      <c r="H358" s="154">
        <v>0</v>
      </c>
      <c r="I358" s="154">
        <v>0</v>
      </c>
      <c r="J358" s="155">
        <f t="shared" si="26"/>
        <v>1431000</v>
      </c>
      <c r="K358" s="159">
        <f>1820000-49000-286000-54000</f>
        <v>1431000</v>
      </c>
      <c r="L358" s="154">
        <v>0</v>
      </c>
      <c r="M358" s="154">
        <v>0</v>
      </c>
      <c r="N358" s="154">
        <v>0</v>
      </c>
      <c r="O358" s="156">
        <f>1820000-49000-286000-54000</f>
        <v>1431000</v>
      </c>
      <c r="P358" s="157">
        <f t="shared" si="24"/>
        <v>1431000</v>
      </c>
      <c r="Q358" s="223"/>
      <c r="R358" s="123"/>
      <c r="S358" s="123"/>
      <c r="T358" s="123"/>
    </row>
    <row r="359" spans="1:20" s="34" customFormat="1" ht="22.5" customHeight="1">
      <c r="A359" s="75" t="s">
        <v>343</v>
      </c>
      <c r="B359" s="76" t="s">
        <v>344</v>
      </c>
      <c r="C359" s="75" t="s">
        <v>561</v>
      </c>
      <c r="D359" s="7" t="s">
        <v>409</v>
      </c>
      <c r="E359" s="153">
        <f t="shared" si="27"/>
        <v>0</v>
      </c>
      <c r="F359" s="154">
        <v>0</v>
      </c>
      <c r="G359" s="154">
        <v>0</v>
      </c>
      <c r="H359" s="154">
        <v>0</v>
      </c>
      <c r="I359" s="154">
        <v>0</v>
      </c>
      <c r="J359" s="155">
        <f t="shared" si="26"/>
        <v>150000</v>
      </c>
      <c r="K359" s="159">
        <v>150000</v>
      </c>
      <c r="L359" s="154">
        <v>0</v>
      </c>
      <c r="M359" s="154">
        <v>0</v>
      </c>
      <c r="N359" s="154">
        <v>0</v>
      </c>
      <c r="O359" s="156">
        <v>150000</v>
      </c>
      <c r="P359" s="157">
        <f>E359+J359</f>
        <v>150000</v>
      </c>
      <c r="Q359" s="223"/>
      <c r="R359" s="123"/>
      <c r="S359" s="123"/>
      <c r="T359" s="123"/>
    </row>
    <row r="360" spans="1:20" s="34" customFormat="1" ht="27">
      <c r="A360" s="84" t="s">
        <v>322</v>
      </c>
      <c r="B360" s="85">
        <v>7363</v>
      </c>
      <c r="C360" s="84" t="s">
        <v>570</v>
      </c>
      <c r="D360" s="2" t="s">
        <v>318</v>
      </c>
      <c r="E360" s="153">
        <f t="shared" si="27"/>
        <v>0</v>
      </c>
      <c r="F360" s="154"/>
      <c r="G360" s="154"/>
      <c r="H360" s="154"/>
      <c r="I360" s="154"/>
      <c r="J360" s="155">
        <f t="shared" si="26"/>
        <v>9301200</v>
      </c>
      <c r="K360" s="159">
        <f>9270000+31200</f>
        <v>9301200</v>
      </c>
      <c r="L360" s="154"/>
      <c r="M360" s="154"/>
      <c r="N360" s="154"/>
      <c r="O360" s="159">
        <f>9270000+31200</f>
        <v>9301200</v>
      </c>
      <c r="P360" s="157">
        <f t="shared" si="24"/>
        <v>9301200</v>
      </c>
      <c r="Q360" s="223"/>
      <c r="R360" s="123"/>
      <c r="S360" s="123"/>
      <c r="T360" s="123"/>
    </row>
    <row r="361" spans="1:20" s="34" customFormat="1" ht="47.25" customHeight="1">
      <c r="A361" s="79"/>
      <c r="B361" s="80"/>
      <c r="C361" s="87"/>
      <c r="D361" s="1" t="s">
        <v>319</v>
      </c>
      <c r="E361" s="162">
        <f t="shared" si="27"/>
        <v>0</v>
      </c>
      <c r="F361" s="163"/>
      <c r="G361" s="163"/>
      <c r="H361" s="163"/>
      <c r="I361" s="163"/>
      <c r="J361" s="155">
        <f t="shared" si="26"/>
        <v>9030291.26</v>
      </c>
      <c r="K361" s="164">
        <f>9000000+30291.26</f>
        <v>9030291.26</v>
      </c>
      <c r="L361" s="163"/>
      <c r="M361" s="163"/>
      <c r="N361" s="163"/>
      <c r="O361" s="164">
        <f>9000000+30291.26</f>
        <v>9030291.26</v>
      </c>
      <c r="P361" s="165">
        <f t="shared" si="24"/>
        <v>9030291.26</v>
      </c>
      <c r="Q361" s="223"/>
      <c r="R361" s="123"/>
      <c r="S361" s="123"/>
      <c r="T361" s="123"/>
    </row>
    <row r="362" spans="1:20" s="34" customFormat="1" ht="36" hidden="1">
      <c r="A362" s="79"/>
      <c r="B362" s="80"/>
      <c r="C362" s="87"/>
      <c r="D362" s="1" t="s">
        <v>380</v>
      </c>
      <c r="E362" s="162">
        <f t="shared" si="27"/>
        <v>0</v>
      </c>
      <c r="F362" s="163"/>
      <c r="G362" s="163"/>
      <c r="H362" s="163"/>
      <c r="I362" s="163"/>
      <c r="J362" s="155">
        <f t="shared" si="26"/>
        <v>0</v>
      </c>
      <c r="K362" s="164"/>
      <c r="L362" s="163"/>
      <c r="M362" s="163"/>
      <c r="N362" s="163"/>
      <c r="O362" s="163"/>
      <c r="P362" s="165">
        <f t="shared" si="24"/>
        <v>0</v>
      </c>
      <c r="Q362" s="223"/>
      <c r="R362" s="123"/>
      <c r="S362" s="123"/>
      <c r="T362" s="123"/>
    </row>
    <row r="363" spans="1:20" s="47" customFormat="1" ht="15" hidden="1">
      <c r="A363" s="89" t="s">
        <v>363</v>
      </c>
      <c r="B363" s="88">
        <v>7368</v>
      </c>
      <c r="C363" s="75" t="s">
        <v>570</v>
      </c>
      <c r="D363" s="15" t="s">
        <v>362</v>
      </c>
      <c r="E363" s="153">
        <f t="shared" si="27"/>
        <v>0</v>
      </c>
      <c r="F363" s="156">
        <f>49000000-49000000</f>
        <v>0</v>
      </c>
      <c r="G363" s="156">
        <v>0</v>
      </c>
      <c r="H363" s="156">
        <v>0</v>
      </c>
      <c r="I363" s="156">
        <v>0</v>
      </c>
      <c r="J363" s="155">
        <f t="shared" si="26"/>
        <v>0</v>
      </c>
      <c r="K363" s="159"/>
      <c r="L363" s="156">
        <v>0</v>
      </c>
      <c r="M363" s="156">
        <v>0</v>
      </c>
      <c r="N363" s="156">
        <v>0</v>
      </c>
      <c r="O363" s="156"/>
      <c r="P363" s="157">
        <f t="shared" si="24"/>
        <v>0</v>
      </c>
      <c r="Q363" s="223"/>
      <c r="R363" s="129"/>
      <c r="S363" s="129"/>
      <c r="T363" s="129"/>
    </row>
    <row r="364" spans="1:20" s="34" customFormat="1" ht="48" hidden="1">
      <c r="A364" s="79"/>
      <c r="B364" s="80"/>
      <c r="C364" s="87"/>
      <c r="D364" s="1" t="s">
        <v>370</v>
      </c>
      <c r="E364" s="162">
        <f t="shared" si="27"/>
        <v>0</v>
      </c>
      <c r="F364" s="163"/>
      <c r="G364" s="163"/>
      <c r="H364" s="163"/>
      <c r="I364" s="163"/>
      <c r="J364" s="155">
        <f t="shared" si="26"/>
        <v>0</v>
      </c>
      <c r="K364" s="164"/>
      <c r="L364" s="163"/>
      <c r="M364" s="163"/>
      <c r="N364" s="163"/>
      <c r="O364" s="163"/>
      <c r="P364" s="165">
        <f t="shared" si="24"/>
        <v>0</v>
      </c>
      <c r="Q364" s="223"/>
      <c r="R364" s="123"/>
      <c r="S364" s="123"/>
      <c r="T364" s="123"/>
    </row>
    <row r="365" spans="1:20" s="47" customFormat="1" ht="43.5" customHeight="1">
      <c r="A365" s="89">
        <v>1517461</v>
      </c>
      <c r="B365" s="88">
        <v>7461</v>
      </c>
      <c r="C365" s="75" t="s">
        <v>53</v>
      </c>
      <c r="D365" s="24" t="s">
        <v>324</v>
      </c>
      <c r="E365" s="153">
        <f t="shared" si="27"/>
        <v>36503053</v>
      </c>
      <c r="F365" s="156">
        <f>30000000+4000000+2503053</f>
        <v>36503053</v>
      </c>
      <c r="G365" s="156"/>
      <c r="H365" s="156"/>
      <c r="I365" s="156"/>
      <c r="J365" s="155">
        <f t="shared" si="26"/>
        <v>4000000</v>
      </c>
      <c r="K365" s="159">
        <v>4000000</v>
      </c>
      <c r="L365" s="156"/>
      <c r="M365" s="156"/>
      <c r="N365" s="156"/>
      <c r="O365" s="156">
        <v>4000000</v>
      </c>
      <c r="P365" s="157">
        <f>E365+J365</f>
        <v>40503053</v>
      </c>
      <c r="Q365" s="223"/>
      <c r="R365" s="129"/>
      <c r="S365" s="129"/>
      <c r="T365" s="129"/>
    </row>
    <row r="366" spans="1:20" s="34" customFormat="1" ht="34.5" customHeight="1">
      <c r="A366" s="75" t="s">
        <v>345</v>
      </c>
      <c r="B366" s="76" t="s">
        <v>346</v>
      </c>
      <c r="C366" s="75" t="s">
        <v>348</v>
      </c>
      <c r="D366" s="7" t="s">
        <v>347</v>
      </c>
      <c r="E366" s="153">
        <f t="shared" si="27"/>
        <v>4600000</v>
      </c>
      <c r="F366" s="154">
        <v>4600000</v>
      </c>
      <c r="G366" s="154"/>
      <c r="H366" s="154"/>
      <c r="I366" s="154"/>
      <c r="J366" s="155">
        <f t="shared" si="26"/>
        <v>0</v>
      </c>
      <c r="K366" s="159"/>
      <c r="L366" s="154"/>
      <c r="M366" s="154"/>
      <c r="N366" s="154"/>
      <c r="O366" s="156"/>
      <c r="P366" s="157">
        <f t="shared" si="24"/>
        <v>4600000</v>
      </c>
      <c r="Q366" s="223"/>
      <c r="R366" s="123"/>
      <c r="S366" s="123"/>
      <c r="T366" s="123"/>
    </row>
    <row r="367" spans="1:20" s="34" customFormat="1" ht="20.25" customHeight="1">
      <c r="A367" s="75" t="s">
        <v>332</v>
      </c>
      <c r="B367" s="76" t="s">
        <v>567</v>
      </c>
      <c r="C367" s="75" t="s">
        <v>566</v>
      </c>
      <c r="D367" s="7" t="s">
        <v>568</v>
      </c>
      <c r="E367" s="153">
        <f t="shared" si="27"/>
        <v>398100</v>
      </c>
      <c r="F367" s="154">
        <f>199100+199000</f>
        <v>398100</v>
      </c>
      <c r="G367" s="154"/>
      <c r="H367" s="154"/>
      <c r="I367" s="154"/>
      <c r="J367" s="155">
        <f t="shared" si="26"/>
        <v>13281593</v>
      </c>
      <c r="K367" s="159">
        <v>13281593</v>
      </c>
      <c r="L367" s="154"/>
      <c r="M367" s="154"/>
      <c r="N367" s="154"/>
      <c r="O367" s="154">
        <v>13281593</v>
      </c>
      <c r="P367" s="157">
        <f t="shared" si="24"/>
        <v>13679693</v>
      </c>
      <c r="Q367" s="223"/>
      <c r="R367" s="123"/>
      <c r="S367" s="123"/>
      <c r="T367" s="123"/>
    </row>
    <row r="368" spans="1:20" s="35" customFormat="1" ht="40.5" customHeight="1">
      <c r="A368" s="79"/>
      <c r="B368" s="80"/>
      <c r="C368" s="79"/>
      <c r="D368" s="3" t="s">
        <v>220</v>
      </c>
      <c r="E368" s="162">
        <f t="shared" si="27"/>
        <v>0</v>
      </c>
      <c r="F368" s="163"/>
      <c r="G368" s="163"/>
      <c r="H368" s="163"/>
      <c r="I368" s="163"/>
      <c r="J368" s="190">
        <f t="shared" si="26"/>
        <v>11800000</v>
      </c>
      <c r="K368" s="164">
        <v>11800000</v>
      </c>
      <c r="L368" s="163"/>
      <c r="M368" s="163"/>
      <c r="N368" s="163"/>
      <c r="O368" s="163">
        <v>11800000</v>
      </c>
      <c r="P368" s="165">
        <f t="shared" si="24"/>
        <v>11800000</v>
      </c>
      <c r="Q368" s="223"/>
      <c r="R368" s="124"/>
      <c r="S368" s="124"/>
      <c r="T368" s="124"/>
    </row>
    <row r="369" spans="1:20" s="34" customFormat="1" ht="26.25" customHeight="1">
      <c r="A369" s="75" t="s">
        <v>54</v>
      </c>
      <c r="B369" s="76" t="s">
        <v>571</v>
      </c>
      <c r="C369" s="75" t="s">
        <v>570</v>
      </c>
      <c r="D369" s="7" t="s">
        <v>572</v>
      </c>
      <c r="E369" s="153">
        <f t="shared" si="27"/>
        <v>0</v>
      </c>
      <c r="F369" s="154"/>
      <c r="G369" s="154"/>
      <c r="H369" s="154"/>
      <c r="I369" s="154"/>
      <c r="J369" s="155">
        <f t="shared" si="26"/>
        <v>59100000</v>
      </c>
      <c r="K369" s="159">
        <f>67000000-8000000+100000</f>
        <v>59100000</v>
      </c>
      <c r="L369" s="154"/>
      <c r="M369" s="154"/>
      <c r="N369" s="154"/>
      <c r="O369" s="154">
        <f>67000000-8000000+100000</f>
        <v>59100000</v>
      </c>
      <c r="P369" s="157">
        <f t="shared" si="24"/>
        <v>59100000</v>
      </c>
      <c r="Q369" s="223"/>
      <c r="R369" s="123"/>
      <c r="S369" s="123"/>
      <c r="T369" s="123"/>
    </row>
    <row r="370" spans="1:20" s="39" customFormat="1" ht="84" customHeight="1" hidden="1">
      <c r="A370" s="89" t="s">
        <v>371</v>
      </c>
      <c r="B370" s="88">
        <v>7691</v>
      </c>
      <c r="C370" s="75" t="s">
        <v>570</v>
      </c>
      <c r="D370" s="15" t="s">
        <v>372</v>
      </c>
      <c r="E370" s="153">
        <f t="shared" si="27"/>
        <v>0</v>
      </c>
      <c r="F370" s="156"/>
      <c r="G370" s="156"/>
      <c r="H370" s="156"/>
      <c r="I370" s="156"/>
      <c r="J370" s="155">
        <f t="shared" si="26"/>
        <v>0</v>
      </c>
      <c r="K370" s="159"/>
      <c r="L370" s="156"/>
      <c r="M370" s="156"/>
      <c r="N370" s="156"/>
      <c r="O370" s="156"/>
      <c r="P370" s="157">
        <f t="shared" si="24"/>
        <v>0</v>
      </c>
      <c r="Q370" s="223"/>
      <c r="R370" s="127"/>
      <c r="S370" s="127"/>
      <c r="T370" s="127"/>
    </row>
    <row r="371" spans="1:20" s="47" customFormat="1" ht="27.75" customHeight="1">
      <c r="A371" s="89" t="s">
        <v>421</v>
      </c>
      <c r="B371" s="88">
        <v>7693</v>
      </c>
      <c r="C371" s="75" t="s">
        <v>570</v>
      </c>
      <c r="D371" s="15" t="s">
        <v>422</v>
      </c>
      <c r="E371" s="153">
        <f t="shared" si="27"/>
        <v>1500000</v>
      </c>
      <c r="F371" s="156">
        <v>1500000</v>
      </c>
      <c r="G371" s="156">
        <v>0</v>
      </c>
      <c r="H371" s="156">
        <v>0</v>
      </c>
      <c r="I371" s="156">
        <v>0</v>
      </c>
      <c r="J371" s="155">
        <f t="shared" si="26"/>
        <v>0</v>
      </c>
      <c r="K371" s="159">
        <v>0</v>
      </c>
      <c r="L371" s="156">
        <v>0</v>
      </c>
      <c r="M371" s="156">
        <v>0</v>
      </c>
      <c r="N371" s="156">
        <v>0</v>
      </c>
      <c r="O371" s="156">
        <v>0</v>
      </c>
      <c r="P371" s="157">
        <f t="shared" si="24"/>
        <v>1500000</v>
      </c>
      <c r="Q371" s="223"/>
      <c r="R371" s="129"/>
      <c r="S371" s="129"/>
      <c r="T371" s="129"/>
    </row>
    <row r="372" spans="1:20" s="34" customFormat="1" ht="24" customHeight="1">
      <c r="A372" s="75" t="s">
        <v>349</v>
      </c>
      <c r="B372" s="76" t="s">
        <v>350</v>
      </c>
      <c r="C372" s="75" t="s">
        <v>352</v>
      </c>
      <c r="D372" s="7" t="s">
        <v>351</v>
      </c>
      <c r="E372" s="153">
        <f t="shared" si="27"/>
        <v>916608</v>
      </c>
      <c r="F372" s="154">
        <v>916608</v>
      </c>
      <c r="G372" s="154"/>
      <c r="H372" s="154"/>
      <c r="I372" s="154"/>
      <c r="J372" s="155">
        <f t="shared" si="26"/>
        <v>0</v>
      </c>
      <c r="K372" s="159"/>
      <c r="L372" s="154"/>
      <c r="M372" s="154"/>
      <c r="N372" s="154"/>
      <c r="O372" s="156"/>
      <c r="P372" s="157">
        <f t="shared" si="24"/>
        <v>916608</v>
      </c>
      <c r="Q372" s="223"/>
      <c r="R372" s="123"/>
      <c r="S372" s="123"/>
      <c r="T372" s="123"/>
    </row>
    <row r="373" spans="1:20" s="26" customFormat="1" ht="78" customHeight="1" hidden="1">
      <c r="A373" s="75" t="s">
        <v>227</v>
      </c>
      <c r="B373" s="76">
        <v>9730</v>
      </c>
      <c r="C373" s="75" t="s">
        <v>454</v>
      </c>
      <c r="D373" s="12" t="s">
        <v>226</v>
      </c>
      <c r="E373" s="153">
        <f t="shared" si="27"/>
        <v>0</v>
      </c>
      <c r="F373" s="154"/>
      <c r="G373" s="154"/>
      <c r="H373" s="154"/>
      <c r="I373" s="154"/>
      <c r="J373" s="155">
        <f t="shared" si="26"/>
        <v>0</v>
      </c>
      <c r="K373" s="159"/>
      <c r="L373" s="154"/>
      <c r="M373" s="154"/>
      <c r="N373" s="154"/>
      <c r="O373" s="154"/>
      <c r="P373" s="157">
        <f t="shared" si="24"/>
        <v>0</v>
      </c>
      <c r="Q373" s="223"/>
      <c r="R373" s="115"/>
      <c r="S373" s="115"/>
      <c r="T373" s="115"/>
    </row>
    <row r="374" spans="1:20" s="26" customFormat="1" ht="18" customHeight="1" hidden="1">
      <c r="A374" s="75" t="s">
        <v>225</v>
      </c>
      <c r="B374" s="76">
        <v>9750</v>
      </c>
      <c r="C374" s="75" t="s">
        <v>454</v>
      </c>
      <c r="D374" s="12" t="s">
        <v>228</v>
      </c>
      <c r="E374" s="153">
        <f t="shared" si="27"/>
        <v>0</v>
      </c>
      <c r="F374" s="154"/>
      <c r="G374" s="154"/>
      <c r="H374" s="154"/>
      <c r="I374" s="154"/>
      <c r="J374" s="155">
        <f t="shared" si="26"/>
        <v>0</v>
      </c>
      <c r="K374" s="159"/>
      <c r="L374" s="154"/>
      <c r="M374" s="154"/>
      <c r="N374" s="154"/>
      <c r="O374" s="154"/>
      <c r="P374" s="157">
        <f t="shared" si="24"/>
        <v>0</v>
      </c>
      <c r="Q374" s="223"/>
      <c r="R374" s="115"/>
      <c r="S374" s="115"/>
      <c r="T374" s="115"/>
    </row>
    <row r="375" spans="1:20" s="26" customFormat="1" ht="23.25" customHeight="1">
      <c r="A375" s="68" t="s">
        <v>384</v>
      </c>
      <c r="B375" s="76">
        <v>8340</v>
      </c>
      <c r="C375" s="68" t="s">
        <v>101</v>
      </c>
      <c r="D375" s="7" t="s">
        <v>103</v>
      </c>
      <c r="E375" s="153">
        <f t="shared" si="27"/>
        <v>0</v>
      </c>
      <c r="F375" s="154"/>
      <c r="G375" s="154"/>
      <c r="H375" s="154"/>
      <c r="I375" s="154"/>
      <c r="J375" s="155">
        <f t="shared" si="26"/>
        <v>3500000</v>
      </c>
      <c r="K375" s="159"/>
      <c r="L375" s="154">
        <f>1500000+2000000</f>
        <v>3500000</v>
      </c>
      <c r="M375" s="154"/>
      <c r="N375" s="154"/>
      <c r="O375" s="154">
        <f>1500000-1500000</f>
        <v>0</v>
      </c>
      <c r="P375" s="157">
        <f t="shared" si="24"/>
        <v>3500000</v>
      </c>
      <c r="Q375" s="223"/>
      <c r="R375" s="115"/>
      <c r="S375" s="115"/>
      <c r="T375" s="115"/>
    </row>
    <row r="376" spans="1:20" s="29" customFormat="1" ht="33" customHeight="1">
      <c r="A376" s="69" t="s">
        <v>57</v>
      </c>
      <c r="B376" s="70"/>
      <c r="C376" s="71"/>
      <c r="D376" s="5" t="s">
        <v>58</v>
      </c>
      <c r="E376" s="148">
        <f aca="true" t="shared" si="28" ref="E376:E443">F376+I376</f>
        <v>3334594</v>
      </c>
      <c r="F376" s="148">
        <f>F377</f>
        <v>3334594</v>
      </c>
      <c r="G376" s="148">
        <f aca="true" t="shared" si="29" ref="G376:O376">G377</f>
        <v>2136338</v>
      </c>
      <c r="H376" s="148">
        <f t="shared" si="29"/>
        <v>313499</v>
      </c>
      <c r="I376" s="148">
        <f t="shared" si="29"/>
        <v>0</v>
      </c>
      <c r="J376" s="148">
        <f t="shared" si="26"/>
        <v>49000</v>
      </c>
      <c r="K376" s="148">
        <f t="shared" si="29"/>
        <v>49000</v>
      </c>
      <c r="L376" s="148">
        <f t="shared" si="29"/>
        <v>0</v>
      </c>
      <c r="M376" s="148">
        <f t="shared" si="29"/>
        <v>0</v>
      </c>
      <c r="N376" s="148">
        <f t="shared" si="29"/>
        <v>0</v>
      </c>
      <c r="O376" s="148">
        <f t="shared" si="29"/>
        <v>49000</v>
      </c>
      <c r="P376" s="149">
        <f>P377</f>
        <v>3383594</v>
      </c>
      <c r="Q376" s="223"/>
      <c r="R376" s="118"/>
      <c r="S376" s="118"/>
      <c r="T376" s="118"/>
    </row>
    <row r="377" spans="1:20" s="30" customFormat="1" ht="36" customHeight="1">
      <c r="A377" s="72" t="s">
        <v>59</v>
      </c>
      <c r="B377" s="73"/>
      <c r="C377" s="74"/>
      <c r="D377" s="6" t="s">
        <v>198</v>
      </c>
      <c r="E377" s="150">
        <f>E378+E380+E381+E382+E379</f>
        <v>3334594</v>
      </c>
      <c r="F377" s="150">
        <f>F378+F380+F381+F382+F379</f>
        <v>3334594</v>
      </c>
      <c r="G377" s="150">
        <f>G378+G380+G381+G382</f>
        <v>2136338</v>
      </c>
      <c r="H377" s="150">
        <f>H378+H380+H381+H382</f>
        <v>313499</v>
      </c>
      <c r="I377" s="150">
        <f>I378+I380+I381+I382</f>
        <v>0</v>
      </c>
      <c r="J377" s="151">
        <f t="shared" si="26"/>
        <v>49000</v>
      </c>
      <c r="K377" s="150">
        <f>K378+K380+K381+K382+K379</f>
        <v>49000</v>
      </c>
      <c r="L377" s="150">
        <f>L378+L380+L381+L382+L379</f>
        <v>0</v>
      </c>
      <c r="M377" s="150">
        <f>M378+M380+M381+M382+M379</f>
        <v>0</v>
      </c>
      <c r="N377" s="150">
        <f>N378+N380+N381+N382+N379</f>
        <v>0</v>
      </c>
      <c r="O377" s="150">
        <f>O378+O380+O381+O382+O379</f>
        <v>49000</v>
      </c>
      <c r="P377" s="152">
        <f>E377+J377</f>
        <v>3383594</v>
      </c>
      <c r="Q377" s="223"/>
      <c r="R377" s="119"/>
      <c r="S377" s="119"/>
      <c r="T377" s="119"/>
    </row>
    <row r="378" spans="1:20" s="26" customFormat="1" ht="26.25">
      <c r="A378" s="75" t="s">
        <v>60</v>
      </c>
      <c r="B378" s="76" t="s">
        <v>464</v>
      </c>
      <c r="C378" s="75" t="s">
        <v>449</v>
      </c>
      <c r="D378" s="7" t="s">
        <v>465</v>
      </c>
      <c r="E378" s="153">
        <f t="shared" si="28"/>
        <v>3199118</v>
      </c>
      <c r="F378" s="154">
        <v>3199118</v>
      </c>
      <c r="G378" s="154">
        <v>2136338</v>
      </c>
      <c r="H378" s="154">
        <v>313499</v>
      </c>
      <c r="I378" s="154"/>
      <c r="J378" s="155">
        <f t="shared" si="26"/>
        <v>0</v>
      </c>
      <c r="K378" s="159"/>
      <c r="L378" s="154"/>
      <c r="M378" s="154"/>
      <c r="N378" s="154"/>
      <c r="O378" s="154"/>
      <c r="P378" s="157">
        <f t="shared" si="24"/>
        <v>3199118</v>
      </c>
      <c r="Q378" s="223"/>
      <c r="R378" s="115"/>
      <c r="S378" s="115"/>
      <c r="T378" s="115"/>
    </row>
    <row r="379" spans="1:20" s="26" customFormat="1" ht="31.5" customHeight="1">
      <c r="A379" s="68" t="s">
        <v>418</v>
      </c>
      <c r="B379" s="68" t="s">
        <v>152</v>
      </c>
      <c r="C379" s="68" t="s">
        <v>326</v>
      </c>
      <c r="D379" s="12" t="s">
        <v>327</v>
      </c>
      <c r="E379" s="153">
        <f t="shared" si="28"/>
        <v>8400</v>
      </c>
      <c r="F379" s="156">
        <v>8400</v>
      </c>
      <c r="G379" s="154"/>
      <c r="H379" s="154"/>
      <c r="I379" s="154"/>
      <c r="J379" s="155">
        <f>L379+O379</f>
        <v>0</v>
      </c>
      <c r="K379" s="159"/>
      <c r="L379" s="154"/>
      <c r="M379" s="154"/>
      <c r="N379" s="154"/>
      <c r="O379" s="154"/>
      <c r="P379" s="157">
        <f t="shared" si="24"/>
        <v>8400</v>
      </c>
      <c r="Q379" s="223"/>
      <c r="R379" s="115"/>
      <c r="S379" s="115"/>
      <c r="T379" s="115"/>
    </row>
    <row r="380" spans="1:20" s="26" customFormat="1" ht="15">
      <c r="A380" s="75" t="s">
        <v>61</v>
      </c>
      <c r="B380" s="76" t="s">
        <v>454</v>
      </c>
      <c r="C380" s="75" t="s">
        <v>453</v>
      </c>
      <c r="D380" s="7" t="s">
        <v>455</v>
      </c>
      <c r="E380" s="153">
        <f t="shared" si="28"/>
        <v>127076</v>
      </c>
      <c r="F380" s="154">
        <f>116000+11076</f>
        <v>127076</v>
      </c>
      <c r="G380" s="154"/>
      <c r="H380" s="154"/>
      <c r="I380" s="154"/>
      <c r="J380" s="155">
        <f t="shared" si="26"/>
        <v>0</v>
      </c>
      <c r="K380" s="159"/>
      <c r="L380" s="154"/>
      <c r="M380" s="154"/>
      <c r="N380" s="154"/>
      <c r="O380" s="154"/>
      <c r="P380" s="157">
        <f t="shared" si="24"/>
        <v>127076</v>
      </c>
      <c r="Q380" s="223"/>
      <c r="R380" s="115"/>
      <c r="S380" s="115"/>
      <c r="T380" s="115"/>
    </row>
    <row r="381" spans="1:20" s="26" customFormat="1" ht="33.75" customHeight="1">
      <c r="A381" s="75" t="s">
        <v>337</v>
      </c>
      <c r="B381" s="76" t="s">
        <v>338</v>
      </c>
      <c r="C381" s="75" t="s">
        <v>561</v>
      </c>
      <c r="D381" s="12" t="s">
        <v>339</v>
      </c>
      <c r="E381" s="153">
        <f>F381+I381</f>
        <v>0</v>
      </c>
      <c r="F381" s="156"/>
      <c r="G381" s="154"/>
      <c r="H381" s="154"/>
      <c r="I381" s="154"/>
      <c r="J381" s="155">
        <f t="shared" si="26"/>
        <v>49000</v>
      </c>
      <c r="K381" s="159">
        <f>0+49000</f>
        <v>49000</v>
      </c>
      <c r="L381" s="154"/>
      <c r="M381" s="154"/>
      <c r="N381" s="154"/>
      <c r="O381" s="159">
        <f>0+49000</f>
        <v>49000</v>
      </c>
      <c r="P381" s="157">
        <f>E381+J381</f>
        <v>49000</v>
      </c>
      <c r="Q381" s="223"/>
      <c r="R381" s="115"/>
      <c r="S381" s="115"/>
      <c r="T381" s="115"/>
    </row>
    <row r="382" spans="1:20" s="26" customFormat="1" ht="18.75" customHeight="1" hidden="1">
      <c r="A382" s="75" t="s">
        <v>62</v>
      </c>
      <c r="B382" s="76" t="s">
        <v>55</v>
      </c>
      <c r="C382" s="75" t="s">
        <v>454</v>
      </c>
      <c r="D382" s="7" t="s">
        <v>56</v>
      </c>
      <c r="E382" s="153">
        <f t="shared" si="28"/>
        <v>0</v>
      </c>
      <c r="F382" s="156"/>
      <c r="G382" s="154"/>
      <c r="H382" s="154"/>
      <c r="I382" s="154"/>
      <c r="J382" s="155">
        <f t="shared" si="26"/>
        <v>0</v>
      </c>
      <c r="K382" s="159"/>
      <c r="L382" s="154"/>
      <c r="M382" s="154"/>
      <c r="N382" s="154"/>
      <c r="O382" s="154"/>
      <c r="P382" s="157">
        <f t="shared" si="24"/>
        <v>0</v>
      </c>
      <c r="Q382" s="223"/>
      <c r="R382" s="115"/>
      <c r="S382" s="115"/>
      <c r="T382" s="115"/>
    </row>
    <row r="383" spans="1:20" s="31" customFormat="1" ht="39" customHeight="1" hidden="1">
      <c r="A383" s="79"/>
      <c r="B383" s="80"/>
      <c r="C383" s="79"/>
      <c r="D383" s="10" t="s">
        <v>229</v>
      </c>
      <c r="E383" s="162">
        <f t="shared" si="28"/>
        <v>0</v>
      </c>
      <c r="F383" s="163"/>
      <c r="G383" s="163"/>
      <c r="H383" s="163"/>
      <c r="I383" s="163"/>
      <c r="J383" s="155">
        <f t="shared" si="26"/>
        <v>0</v>
      </c>
      <c r="K383" s="164"/>
      <c r="L383" s="163"/>
      <c r="M383" s="163"/>
      <c r="N383" s="163"/>
      <c r="O383" s="163"/>
      <c r="P383" s="165">
        <f t="shared" si="24"/>
        <v>0</v>
      </c>
      <c r="Q383" s="223"/>
      <c r="R383" s="121"/>
      <c r="S383" s="121"/>
      <c r="T383" s="121"/>
    </row>
    <row r="384" spans="1:20" s="29" customFormat="1" ht="36.75" customHeight="1">
      <c r="A384" s="69" t="s">
        <v>63</v>
      </c>
      <c r="B384" s="70"/>
      <c r="C384" s="71"/>
      <c r="D384" s="5" t="s">
        <v>64</v>
      </c>
      <c r="E384" s="148">
        <f>F384+I384</f>
        <v>1919524</v>
      </c>
      <c r="F384" s="148">
        <f>F385</f>
        <v>1919524</v>
      </c>
      <c r="G384" s="148">
        <f>G385</f>
        <v>1362734</v>
      </c>
      <c r="H384" s="148">
        <f>H385</f>
        <v>92000</v>
      </c>
      <c r="I384" s="148">
        <f>I385</f>
        <v>0</v>
      </c>
      <c r="J384" s="148">
        <f t="shared" si="26"/>
        <v>0</v>
      </c>
      <c r="K384" s="148">
        <f>K385</f>
        <v>0</v>
      </c>
      <c r="L384" s="148">
        <f>L385</f>
        <v>0</v>
      </c>
      <c r="M384" s="148">
        <f>M385</f>
        <v>0</v>
      </c>
      <c r="N384" s="148">
        <f>N385</f>
        <v>0</v>
      </c>
      <c r="O384" s="148">
        <f>O385</f>
        <v>0</v>
      </c>
      <c r="P384" s="149">
        <f>E384+J384</f>
        <v>1919524</v>
      </c>
      <c r="Q384" s="223"/>
      <c r="R384" s="118"/>
      <c r="S384" s="118"/>
      <c r="T384" s="118"/>
    </row>
    <row r="385" spans="1:20" s="30" customFormat="1" ht="36.75" customHeight="1">
      <c r="A385" s="72" t="s">
        <v>65</v>
      </c>
      <c r="B385" s="73"/>
      <c r="C385" s="74"/>
      <c r="D385" s="6" t="s">
        <v>197</v>
      </c>
      <c r="E385" s="150">
        <f>F385+I385</f>
        <v>1919524</v>
      </c>
      <c r="F385" s="150">
        <f>F386+F387</f>
        <v>1919524</v>
      </c>
      <c r="G385" s="150">
        <f>G386+G387</f>
        <v>1362734</v>
      </c>
      <c r="H385" s="150">
        <f>H386+H387</f>
        <v>92000</v>
      </c>
      <c r="I385" s="150">
        <f>I386+I387</f>
        <v>0</v>
      </c>
      <c r="J385" s="151">
        <f t="shared" si="26"/>
        <v>0</v>
      </c>
      <c r="K385" s="151">
        <f>K386+K387</f>
        <v>0</v>
      </c>
      <c r="L385" s="151">
        <f>L386+L387</f>
        <v>0</v>
      </c>
      <c r="M385" s="150">
        <f>M386+M387</f>
        <v>0</v>
      </c>
      <c r="N385" s="150">
        <f>N386+N387</f>
        <v>0</v>
      </c>
      <c r="O385" s="150">
        <f>O386+O387</f>
        <v>0</v>
      </c>
      <c r="P385" s="152">
        <f>E385+J385</f>
        <v>1919524</v>
      </c>
      <c r="Q385" s="223"/>
      <c r="R385" s="119"/>
      <c r="S385" s="119"/>
      <c r="T385" s="119"/>
    </row>
    <row r="386" spans="1:20" s="26" customFormat="1" ht="54" customHeight="1">
      <c r="A386" s="75" t="s">
        <v>66</v>
      </c>
      <c r="B386" s="76" t="s">
        <v>464</v>
      </c>
      <c r="C386" s="75" t="s">
        <v>449</v>
      </c>
      <c r="D386" s="7" t="s">
        <v>465</v>
      </c>
      <c r="E386" s="153">
        <f t="shared" si="28"/>
        <v>1899524</v>
      </c>
      <c r="F386" s="154">
        <v>1899524</v>
      </c>
      <c r="G386" s="154">
        <v>1362734</v>
      </c>
      <c r="H386" s="154">
        <v>92000</v>
      </c>
      <c r="I386" s="154"/>
      <c r="J386" s="155">
        <f t="shared" si="26"/>
        <v>0</v>
      </c>
      <c r="K386" s="159"/>
      <c r="L386" s="154">
        <v>0</v>
      </c>
      <c r="M386" s="154">
        <v>0</v>
      </c>
      <c r="N386" s="154">
        <v>0</v>
      </c>
      <c r="O386" s="154">
        <v>0</v>
      </c>
      <c r="P386" s="157">
        <f t="shared" si="24"/>
        <v>1899524</v>
      </c>
      <c r="Q386" s="223"/>
      <c r="R386" s="115"/>
      <c r="S386" s="115"/>
      <c r="T386" s="115"/>
    </row>
    <row r="387" spans="1:20" s="26" customFormat="1" ht="20.25" customHeight="1">
      <c r="A387" s="75" t="s">
        <v>67</v>
      </c>
      <c r="B387" s="76" t="s">
        <v>454</v>
      </c>
      <c r="C387" s="75" t="s">
        <v>453</v>
      </c>
      <c r="D387" s="7" t="s">
        <v>455</v>
      </c>
      <c r="E387" s="153">
        <f t="shared" si="28"/>
        <v>20000</v>
      </c>
      <c r="F387" s="154">
        <v>20000</v>
      </c>
      <c r="G387" s="154">
        <v>0</v>
      </c>
      <c r="H387" s="154">
        <v>0</v>
      </c>
      <c r="I387" s="154">
        <v>0</v>
      </c>
      <c r="J387" s="155">
        <f t="shared" si="26"/>
        <v>0</v>
      </c>
      <c r="K387" s="159"/>
      <c r="L387" s="154">
        <v>0</v>
      </c>
      <c r="M387" s="154">
        <v>0</v>
      </c>
      <c r="N387" s="154">
        <v>0</v>
      </c>
      <c r="O387" s="154">
        <v>0</v>
      </c>
      <c r="P387" s="157">
        <f t="shared" si="24"/>
        <v>20000</v>
      </c>
      <c r="Q387" s="223"/>
      <c r="R387" s="115"/>
      <c r="S387" s="115"/>
      <c r="T387" s="115"/>
    </row>
    <row r="388" spans="1:20" s="29" customFormat="1" ht="40.5" customHeight="1">
      <c r="A388" s="69" t="s">
        <v>68</v>
      </c>
      <c r="B388" s="70"/>
      <c r="C388" s="71"/>
      <c r="D388" s="110" t="s">
        <v>412</v>
      </c>
      <c r="E388" s="148">
        <f>F388+I388</f>
        <v>56867240</v>
      </c>
      <c r="F388" s="148">
        <f>F389</f>
        <v>1667240</v>
      </c>
      <c r="G388" s="148">
        <f>G389</f>
        <v>1045752</v>
      </c>
      <c r="H388" s="148">
        <f>H389</f>
        <v>56482</v>
      </c>
      <c r="I388" s="148">
        <f>I389</f>
        <v>55200000</v>
      </c>
      <c r="J388" s="148">
        <f t="shared" si="26"/>
        <v>5005500</v>
      </c>
      <c r="K388" s="148">
        <f>K389</f>
        <v>5000000</v>
      </c>
      <c r="L388" s="148">
        <f>L389</f>
        <v>5500</v>
      </c>
      <c r="M388" s="148">
        <f>M389</f>
        <v>0</v>
      </c>
      <c r="N388" s="148">
        <f>N389</f>
        <v>0</v>
      </c>
      <c r="O388" s="148">
        <f>O389</f>
        <v>5000000</v>
      </c>
      <c r="P388" s="149">
        <f>E388+J388</f>
        <v>61872740</v>
      </c>
      <c r="Q388" s="223"/>
      <c r="R388" s="118"/>
      <c r="S388" s="118"/>
      <c r="T388" s="118"/>
    </row>
    <row r="389" spans="1:20" s="30" customFormat="1" ht="33.75" customHeight="1">
      <c r="A389" s="72" t="s">
        <v>69</v>
      </c>
      <c r="B389" s="73"/>
      <c r="C389" s="74"/>
      <c r="D389" s="6" t="s">
        <v>196</v>
      </c>
      <c r="E389" s="150">
        <f t="shared" si="28"/>
        <v>56867240</v>
      </c>
      <c r="F389" s="150">
        <f>F390+F391+F392+F393+F394+F395</f>
        <v>1667240</v>
      </c>
      <c r="G389" s="150">
        <f>G390+G391+G392+G393+G394+G395</f>
        <v>1045752</v>
      </c>
      <c r="H389" s="150">
        <f>H390+H391+H392+H393+H394+H395</f>
        <v>56482</v>
      </c>
      <c r="I389" s="150">
        <f>I390+I391+I392+I393+I394+I395</f>
        <v>55200000</v>
      </c>
      <c r="J389" s="151">
        <f>L389+O389</f>
        <v>5005500</v>
      </c>
      <c r="K389" s="150">
        <f>K390+K391+K392+K393+K394+K395</f>
        <v>5000000</v>
      </c>
      <c r="L389" s="150">
        <f>L390+L391+L392+L393+L394+L395</f>
        <v>5500</v>
      </c>
      <c r="M389" s="150">
        <f>M390+M391+M392+M393+M394+M395</f>
        <v>0</v>
      </c>
      <c r="N389" s="150">
        <f>N390+N391+N392+N393+N394+N395</f>
        <v>0</v>
      </c>
      <c r="O389" s="150">
        <f>O390+O391+O392+O393+O394+O395</f>
        <v>5000000</v>
      </c>
      <c r="P389" s="150">
        <f>E389+J389</f>
        <v>61872740</v>
      </c>
      <c r="Q389" s="223"/>
      <c r="R389" s="119"/>
      <c r="S389" s="119"/>
      <c r="T389" s="119"/>
    </row>
    <row r="390" spans="1:20" s="26" customFormat="1" ht="48" customHeight="1">
      <c r="A390" s="75" t="s">
        <v>70</v>
      </c>
      <c r="B390" s="76" t="s">
        <v>464</v>
      </c>
      <c r="C390" s="75" t="s">
        <v>449</v>
      </c>
      <c r="D390" s="7" t="s">
        <v>465</v>
      </c>
      <c r="E390" s="153">
        <f t="shared" si="28"/>
        <v>1541144</v>
      </c>
      <c r="F390" s="154">
        <v>1541144</v>
      </c>
      <c r="G390" s="154">
        <v>1045752</v>
      </c>
      <c r="H390" s="154">
        <v>56482</v>
      </c>
      <c r="I390" s="154"/>
      <c r="J390" s="155">
        <f>L390+O390</f>
        <v>0</v>
      </c>
      <c r="K390" s="159"/>
      <c r="L390" s="154">
        <v>0</v>
      </c>
      <c r="M390" s="154">
        <v>0</v>
      </c>
      <c r="N390" s="154">
        <v>0</v>
      </c>
      <c r="O390" s="154">
        <v>0</v>
      </c>
      <c r="P390" s="157">
        <f t="shared" si="24"/>
        <v>1541144</v>
      </c>
      <c r="Q390" s="223"/>
      <c r="R390" s="115"/>
      <c r="S390" s="115"/>
      <c r="T390" s="115"/>
    </row>
    <row r="391" spans="1:20" s="26" customFormat="1" ht="21" customHeight="1">
      <c r="A391" s="75" t="s">
        <v>71</v>
      </c>
      <c r="B391" s="76" t="s">
        <v>454</v>
      </c>
      <c r="C391" s="75" t="s">
        <v>453</v>
      </c>
      <c r="D391" s="7" t="s">
        <v>455</v>
      </c>
      <c r="E391" s="153">
        <f t="shared" si="28"/>
        <v>126096</v>
      </c>
      <c r="F391" s="154">
        <f>88000+38096</f>
        <v>126096</v>
      </c>
      <c r="G391" s="154"/>
      <c r="H391" s="154"/>
      <c r="I391" s="154"/>
      <c r="J391" s="155">
        <f t="shared" si="26"/>
        <v>0</v>
      </c>
      <c r="K391" s="159"/>
      <c r="L391" s="154">
        <v>0</v>
      </c>
      <c r="M391" s="154">
        <v>0</v>
      </c>
      <c r="N391" s="154">
        <v>0</v>
      </c>
      <c r="O391" s="154">
        <v>0</v>
      </c>
      <c r="P391" s="157">
        <f t="shared" si="24"/>
        <v>126096</v>
      </c>
      <c r="Q391" s="223"/>
      <c r="R391" s="115"/>
      <c r="S391" s="115"/>
      <c r="T391" s="115"/>
    </row>
    <row r="392" spans="1:20" s="26" customFormat="1" ht="18" customHeight="1">
      <c r="A392" s="75" t="s">
        <v>72</v>
      </c>
      <c r="B392" s="76" t="s">
        <v>74</v>
      </c>
      <c r="C392" s="75" t="s">
        <v>73</v>
      </c>
      <c r="D392" s="7" t="s">
        <v>75</v>
      </c>
      <c r="E392" s="153">
        <f t="shared" si="28"/>
        <v>0</v>
      </c>
      <c r="F392" s="154">
        <v>0</v>
      </c>
      <c r="G392" s="154">
        <v>0</v>
      </c>
      <c r="H392" s="154">
        <v>0</v>
      </c>
      <c r="I392" s="154">
        <v>0</v>
      </c>
      <c r="J392" s="155">
        <f t="shared" si="26"/>
        <v>5500</v>
      </c>
      <c r="K392" s="159"/>
      <c r="L392" s="154">
        <v>5500</v>
      </c>
      <c r="M392" s="154">
        <v>0</v>
      </c>
      <c r="N392" s="154">
        <v>0</v>
      </c>
      <c r="O392" s="154">
        <v>0</v>
      </c>
      <c r="P392" s="157">
        <f t="shared" si="24"/>
        <v>5500</v>
      </c>
      <c r="Q392" s="223"/>
      <c r="R392" s="115"/>
      <c r="S392" s="115"/>
      <c r="T392" s="115"/>
    </row>
    <row r="393" spans="1:20" s="26" customFormat="1" ht="20.25" customHeight="1">
      <c r="A393" s="75" t="s">
        <v>76</v>
      </c>
      <c r="B393" s="76" t="s">
        <v>78</v>
      </c>
      <c r="C393" s="75" t="s">
        <v>77</v>
      </c>
      <c r="D393" s="7" t="s">
        <v>79</v>
      </c>
      <c r="E393" s="153">
        <f t="shared" si="28"/>
        <v>55200000</v>
      </c>
      <c r="F393" s="154"/>
      <c r="G393" s="154"/>
      <c r="H393" s="154"/>
      <c r="I393" s="154">
        <v>55200000</v>
      </c>
      <c r="J393" s="155">
        <f t="shared" si="26"/>
        <v>0</v>
      </c>
      <c r="K393" s="159"/>
      <c r="L393" s="154">
        <v>0</v>
      </c>
      <c r="M393" s="154">
        <v>0</v>
      </c>
      <c r="N393" s="154">
        <v>0</v>
      </c>
      <c r="O393" s="154">
        <v>0</v>
      </c>
      <c r="P393" s="157">
        <f t="shared" si="24"/>
        <v>55200000</v>
      </c>
      <c r="Q393" s="223"/>
      <c r="R393" s="115"/>
      <c r="S393" s="115"/>
      <c r="T393" s="115"/>
    </row>
    <row r="394" spans="1:20" s="26" customFormat="1" ht="19.5" customHeight="1">
      <c r="A394" s="75" t="s">
        <v>187</v>
      </c>
      <c r="B394" s="76">
        <v>7450</v>
      </c>
      <c r="C394" s="75" t="s">
        <v>53</v>
      </c>
      <c r="D394" s="7" t="s">
        <v>188</v>
      </c>
      <c r="E394" s="153">
        <f t="shared" si="28"/>
        <v>0</v>
      </c>
      <c r="F394" s="154"/>
      <c r="G394" s="154"/>
      <c r="H394" s="154"/>
      <c r="I394" s="154"/>
      <c r="J394" s="155">
        <f t="shared" si="26"/>
        <v>0</v>
      </c>
      <c r="K394" s="159"/>
      <c r="L394" s="154">
        <v>0</v>
      </c>
      <c r="M394" s="154">
        <v>0</v>
      </c>
      <c r="N394" s="154">
        <v>0</v>
      </c>
      <c r="O394" s="154">
        <v>0</v>
      </c>
      <c r="P394" s="157">
        <f aca="true" t="shared" si="30" ref="P394:P456">E394+J394</f>
        <v>0</v>
      </c>
      <c r="Q394" s="223"/>
      <c r="R394" s="115"/>
      <c r="S394" s="115"/>
      <c r="T394" s="115"/>
    </row>
    <row r="395" spans="1:20" s="26" customFormat="1" ht="30" customHeight="1">
      <c r="A395" s="75" t="s">
        <v>80</v>
      </c>
      <c r="B395" s="76" t="s">
        <v>571</v>
      </c>
      <c r="C395" s="75" t="s">
        <v>570</v>
      </c>
      <c r="D395" s="7" t="s">
        <v>572</v>
      </c>
      <c r="E395" s="153">
        <f t="shared" si="28"/>
        <v>0</v>
      </c>
      <c r="F395" s="154">
        <v>0</v>
      </c>
      <c r="G395" s="154">
        <v>0</v>
      </c>
      <c r="H395" s="154">
        <v>0</v>
      </c>
      <c r="I395" s="154">
        <v>0</v>
      </c>
      <c r="J395" s="155">
        <f t="shared" si="26"/>
        <v>5000000</v>
      </c>
      <c r="K395" s="159">
        <v>5000000</v>
      </c>
      <c r="L395" s="154">
        <v>0</v>
      </c>
      <c r="M395" s="154">
        <v>0</v>
      </c>
      <c r="N395" s="154">
        <v>0</v>
      </c>
      <c r="O395" s="154">
        <v>5000000</v>
      </c>
      <c r="P395" s="157">
        <f t="shared" si="30"/>
        <v>5000000</v>
      </c>
      <c r="Q395" s="223"/>
      <c r="R395" s="115"/>
      <c r="S395" s="115"/>
      <c r="T395" s="115"/>
    </row>
    <row r="396" spans="1:20" s="29" customFormat="1" ht="33" customHeight="1">
      <c r="A396" s="69" t="s">
        <v>81</v>
      </c>
      <c r="B396" s="70"/>
      <c r="C396" s="71"/>
      <c r="D396" s="5" t="s">
        <v>82</v>
      </c>
      <c r="E396" s="148">
        <f t="shared" si="28"/>
        <v>7719909</v>
      </c>
      <c r="F396" s="148">
        <f>F397</f>
        <v>7719909</v>
      </c>
      <c r="G396" s="148">
        <f>G397</f>
        <v>3541411</v>
      </c>
      <c r="H396" s="148">
        <f>H397</f>
        <v>103235</v>
      </c>
      <c r="I396" s="148">
        <f>I397</f>
        <v>0</v>
      </c>
      <c r="J396" s="148">
        <f t="shared" si="26"/>
        <v>68200</v>
      </c>
      <c r="K396" s="148">
        <f>K397</f>
        <v>68200</v>
      </c>
      <c r="L396" s="148">
        <f>L397</f>
        <v>0</v>
      </c>
      <c r="M396" s="148">
        <f>M397</f>
        <v>0</v>
      </c>
      <c r="N396" s="148">
        <f>N397</f>
        <v>0</v>
      </c>
      <c r="O396" s="148">
        <f>O397</f>
        <v>68200</v>
      </c>
      <c r="P396" s="149">
        <f>E396+J396</f>
        <v>7788109</v>
      </c>
      <c r="Q396" s="223"/>
      <c r="R396" s="118"/>
      <c r="S396" s="118"/>
      <c r="T396" s="118"/>
    </row>
    <row r="397" spans="1:20" s="30" customFormat="1" ht="34.5" customHeight="1">
      <c r="A397" s="72" t="s">
        <v>83</v>
      </c>
      <c r="B397" s="73"/>
      <c r="C397" s="74"/>
      <c r="D397" s="6" t="s">
        <v>192</v>
      </c>
      <c r="E397" s="150">
        <f t="shared" si="28"/>
        <v>7719909</v>
      </c>
      <c r="F397" s="150">
        <f>F398+F399+F400+F401+F402+F403</f>
        <v>7719909</v>
      </c>
      <c r="G397" s="150">
        <f>G398+G399+G400+G401+G402+G403</f>
        <v>3541411</v>
      </c>
      <c r="H397" s="150">
        <f>H398+H399+H400+H401+H402+H403</f>
        <v>103235</v>
      </c>
      <c r="I397" s="150">
        <f>I398+I399+I400+I401+I402+I403</f>
        <v>0</v>
      </c>
      <c r="J397" s="151">
        <f t="shared" si="26"/>
        <v>68200</v>
      </c>
      <c r="K397" s="150">
        <f>K398+K399+K400+K401+K402+K403</f>
        <v>68200</v>
      </c>
      <c r="L397" s="150">
        <f>L398+L399+L400+L401+L402+L403</f>
        <v>0</v>
      </c>
      <c r="M397" s="150">
        <f>M398+M399+M400+M401+M402+M403</f>
        <v>0</v>
      </c>
      <c r="N397" s="150">
        <f>N398+N399+N400+N401+N402+N403</f>
        <v>0</v>
      </c>
      <c r="O397" s="150">
        <f>O398+O399+O400+O401+O402+O403</f>
        <v>68200</v>
      </c>
      <c r="P397" s="152">
        <f>E397+J397</f>
        <v>7788109</v>
      </c>
      <c r="Q397" s="223"/>
      <c r="R397" s="119"/>
      <c r="S397" s="119"/>
      <c r="T397" s="119"/>
    </row>
    <row r="398" spans="1:20" s="26" customFormat="1" ht="45.75" customHeight="1">
      <c r="A398" s="75" t="s">
        <v>84</v>
      </c>
      <c r="B398" s="76" t="s">
        <v>464</v>
      </c>
      <c r="C398" s="75" t="s">
        <v>449</v>
      </c>
      <c r="D398" s="7" t="s">
        <v>465</v>
      </c>
      <c r="E398" s="153">
        <f t="shared" si="28"/>
        <v>4767909</v>
      </c>
      <c r="F398" s="154">
        <v>4767909</v>
      </c>
      <c r="G398" s="154">
        <v>3541411</v>
      </c>
      <c r="H398" s="154">
        <v>103235</v>
      </c>
      <c r="I398" s="154"/>
      <c r="J398" s="155">
        <f t="shared" si="26"/>
        <v>68200</v>
      </c>
      <c r="K398" s="159">
        <f>56200+12000</f>
        <v>68200</v>
      </c>
      <c r="L398" s="154">
        <v>0</v>
      </c>
      <c r="M398" s="154">
        <v>0</v>
      </c>
      <c r="N398" s="154">
        <v>0</v>
      </c>
      <c r="O398" s="154">
        <f>56200+12000</f>
        <v>68200</v>
      </c>
      <c r="P398" s="157">
        <f>E398+J398</f>
        <v>4836109</v>
      </c>
      <c r="Q398" s="223"/>
      <c r="R398" s="115"/>
      <c r="S398" s="115"/>
      <c r="T398" s="115"/>
    </row>
    <row r="399" spans="1:20" s="26" customFormat="1" ht="31.5" customHeight="1">
      <c r="A399" s="68" t="s">
        <v>420</v>
      </c>
      <c r="B399" s="68" t="s">
        <v>152</v>
      </c>
      <c r="C399" s="68" t="s">
        <v>326</v>
      </c>
      <c r="D399" s="12" t="s">
        <v>327</v>
      </c>
      <c r="E399" s="153">
        <f t="shared" si="28"/>
        <v>10000</v>
      </c>
      <c r="F399" s="156">
        <v>10000</v>
      </c>
      <c r="G399" s="154"/>
      <c r="H399" s="154"/>
      <c r="I399" s="154"/>
      <c r="J399" s="155">
        <f>L399+O399</f>
        <v>0</v>
      </c>
      <c r="K399" s="159"/>
      <c r="L399" s="154"/>
      <c r="M399" s="154"/>
      <c r="N399" s="154"/>
      <c r="O399" s="154"/>
      <c r="P399" s="157">
        <f>E399+J399</f>
        <v>10000</v>
      </c>
      <c r="Q399" s="223"/>
      <c r="R399" s="115"/>
      <c r="S399" s="115"/>
      <c r="T399" s="115"/>
    </row>
    <row r="400" spans="1:20" s="26" customFormat="1" ht="23.25" customHeight="1">
      <c r="A400" s="75" t="s">
        <v>85</v>
      </c>
      <c r="B400" s="76" t="s">
        <v>454</v>
      </c>
      <c r="C400" s="75" t="s">
        <v>453</v>
      </c>
      <c r="D400" s="7" t="s">
        <v>455</v>
      </c>
      <c r="E400" s="153">
        <f t="shared" si="28"/>
        <v>182000</v>
      </c>
      <c r="F400" s="154">
        <v>182000</v>
      </c>
      <c r="G400" s="154"/>
      <c r="H400" s="154"/>
      <c r="I400" s="154"/>
      <c r="J400" s="155">
        <f aca="true" t="shared" si="31" ref="J400:J462">L400+O400</f>
        <v>0</v>
      </c>
      <c r="K400" s="159"/>
      <c r="L400" s="154">
        <v>0</v>
      </c>
      <c r="M400" s="154">
        <v>0</v>
      </c>
      <c r="N400" s="154">
        <v>0</v>
      </c>
      <c r="O400" s="154">
        <v>0</v>
      </c>
      <c r="P400" s="157">
        <f t="shared" si="30"/>
        <v>182000</v>
      </c>
      <c r="Q400" s="223"/>
      <c r="R400" s="115"/>
      <c r="S400" s="115"/>
      <c r="T400" s="115"/>
    </row>
    <row r="401" spans="1:20" s="26" customFormat="1" ht="30.75" customHeight="1">
      <c r="A401" s="75" t="s">
        <v>86</v>
      </c>
      <c r="B401" s="76" t="s">
        <v>87</v>
      </c>
      <c r="C401" s="75" t="s">
        <v>566</v>
      </c>
      <c r="D401" s="7" t="s">
        <v>88</v>
      </c>
      <c r="E401" s="153">
        <f t="shared" si="28"/>
        <v>100000</v>
      </c>
      <c r="F401" s="154">
        <v>100000</v>
      </c>
      <c r="G401" s="154">
        <v>0</v>
      </c>
      <c r="H401" s="154">
        <v>0</v>
      </c>
      <c r="I401" s="154">
        <v>0</v>
      </c>
      <c r="J401" s="155">
        <f t="shared" si="31"/>
        <v>0</v>
      </c>
      <c r="K401" s="159"/>
      <c r="L401" s="154">
        <v>0</v>
      </c>
      <c r="M401" s="154">
        <v>0</v>
      </c>
      <c r="N401" s="154">
        <v>0</v>
      </c>
      <c r="O401" s="154">
        <v>0</v>
      </c>
      <c r="P401" s="157">
        <f t="shared" si="30"/>
        <v>100000</v>
      </c>
      <c r="Q401" s="223"/>
      <c r="R401" s="115"/>
      <c r="S401" s="115"/>
      <c r="T401" s="115"/>
    </row>
    <row r="402" spans="1:20" s="26" customFormat="1" ht="20.25" customHeight="1">
      <c r="A402" s="75" t="s">
        <v>89</v>
      </c>
      <c r="B402" s="76" t="s">
        <v>567</v>
      </c>
      <c r="C402" s="75" t="s">
        <v>566</v>
      </c>
      <c r="D402" s="7" t="s">
        <v>568</v>
      </c>
      <c r="E402" s="153">
        <f t="shared" si="28"/>
        <v>110000</v>
      </c>
      <c r="F402" s="154">
        <v>110000</v>
      </c>
      <c r="G402" s="154">
        <v>0</v>
      </c>
      <c r="H402" s="154">
        <v>0</v>
      </c>
      <c r="I402" s="154">
        <v>0</v>
      </c>
      <c r="J402" s="155">
        <f t="shared" si="31"/>
        <v>0</v>
      </c>
      <c r="K402" s="159"/>
      <c r="L402" s="154">
        <v>0</v>
      </c>
      <c r="M402" s="154">
        <v>0</v>
      </c>
      <c r="N402" s="154">
        <v>0</v>
      </c>
      <c r="O402" s="154">
        <v>0</v>
      </c>
      <c r="P402" s="157">
        <f t="shared" si="30"/>
        <v>110000</v>
      </c>
      <c r="Q402" s="223"/>
      <c r="R402" s="115"/>
      <c r="S402" s="115"/>
      <c r="T402" s="115"/>
    </row>
    <row r="403" spans="1:20" s="26" customFormat="1" ht="24" customHeight="1">
      <c r="A403" s="75" t="s">
        <v>92</v>
      </c>
      <c r="B403" s="76" t="s">
        <v>93</v>
      </c>
      <c r="C403" s="75" t="s">
        <v>570</v>
      </c>
      <c r="D403" s="7" t="s">
        <v>94</v>
      </c>
      <c r="E403" s="153">
        <f t="shared" si="28"/>
        <v>2550000</v>
      </c>
      <c r="F403" s="154">
        <v>2550000</v>
      </c>
      <c r="G403" s="154">
        <v>0</v>
      </c>
      <c r="H403" s="154">
        <v>0</v>
      </c>
      <c r="I403" s="154">
        <v>0</v>
      </c>
      <c r="J403" s="155">
        <f t="shared" si="31"/>
        <v>0</v>
      </c>
      <c r="K403" s="159"/>
      <c r="L403" s="154">
        <v>0</v>
      </c>
      <c r="M403" s="154">
        <v>0</v>
      </c>
      <c r="N403" s="154">
        <v>0</v>
      </c>
      <c r="O403" s="154">
        <v>0</v>
      </c>
      <c r="P403" s="157">
        <f t="shared" si="30"/>
        <v>2550000</v>
      </c>
      <c r="Q403" s="223"/>
      <c r="R403" s="115"/>
      <c r="S403" s="115"/>
      <c r="T403" s="115"/>
    </row>
    <row r="404" spans="1:20" s="29" customFormat="1" ht="42.75" customHeight="1">
      <c r="A404" s="69" t="s">
        <v>95</v>
      </c>
      <c r="B404" s="70"/>
      <c r="C404" s="71"/>
      <c r="D404" s="5" t="s">
        <v>194</v>
      </c>
      <c r="E404" s="148">
        <f>F404+I404</f>
        <v>2468750</v>
      </c>
      <c r="F404" s="148">
        <f>F405</f>
        <v>2468750</v>
      </c>
      <c r="G404" s="148">
        <f>G405</f>
        <v>1742764</v>
      </c>
      <c r="H404" s="148">
        <f>H405</f>
        <v>77167</v>
      </c>
      <c r="I404" s="148">
        <f>I405</f>
        <v>0</v>
      </c>
      <c r="J404" s="148">
        <f t="shared" si="31"/>
        <v>7285607.84</v>
      </c>
      <c r="K404" s="148">
        <f>K405</f>
        <v>415000</v>
      </c>
      <c r="L404" s="148">
        <f>L405</f>
        <v>4220607.84</v>
      </c>
      <c r="M404" s="148">
        <f>M405</f>
        <v>0</v>
      </c>
      <c r="N404" s="148">
        <f>N405</f>
        <v>0</v>
      </c>
      <c r="O404" s="148">
        <f>O405</f>
        <v>3065000</v>
      </c>
      <c r="P404" s="149">
        <f>E404+J404</f>
        <v>9754357.84</v>
      </c>
      <c r="Q404" s="223"/>
      <c r="R404" s="118"/>
      <c r="S404" s="118"/>
      <c r="T404" s="118"/>
    </row>
    <row r="405" spans="1:20" s="30" customFormat="1" ht="38.25" customHeight="1">
      <c r="A405" s="72" t="s">
        <v>96</v>
      </c>
      <c r="B405" s="73"/>
      <c r="C405" s="74"/>
      <c r="D405" s="6" t="s">
        <v>195</v>
      </c>
      <c r="E405" s="150">
        <f>E406+E407+E409+E410+E411+E408</f>
        <v>2468750</v>
      </c>
      <c r="F405" s="150">
        <f>F406+F407+F409+F410+F411+F408</f>
        <v>2468750</v>
      </c>
      <c r="G405" s="150">
        <f aca="true" t="shared" si="32" ref="G405:O405">G406+G407+G409+G410+G411</f>
        <v>1742764</v>
      </c>
      <c r="H405" s="150">
        <f t="shared" si="32"/>
        <v>77167</v>
      </c>
      <c r="I405" s="150">
        <f t="shared" si="32"/>
        <v>0</v>
      </c>
      <c r="J405" s="151">
        <f t="shared" si="31"/>
        <v>7285607.84</v>
      </c>
      <c r="K405" s="151">
        <f>K406+K407+K409+K410+K411</f>
        <v>415000</v>
      </c>
      <c r="L405" s="151">
        <f t="shared" si="32"/>
        <v>4220607.84</v>
      </c>
      <c r="M405" s="150">
        <f t="shared" si="32"/>
        <v>0</v>
      </c>
      <c r="N405" s="150">
        <f t="shared" si="32"/>
        <v>0</v>
      </c>
      <c r="O405" s="150">
        <f t="shared" si="32"/>
        <v>3065000</v>
      </c>
      <c r="P405" s="152">
        <f>P406+P407+P409+P410+P411+P408</f>
        <v>9754357.84</v>
      </c>
      <c r="Q405" s="223"/>
      <c r="R405" s="119"/>
      <c r="S405" s="119"/>
      <c r="T405" s="119"/>
    </row>
    <row r="406" spans="1:20" s="26" customFormat="1" ht="26.25">
      <c r="A406" s="75" t="s">
        <v>97</v>
      </c>
      <c r="B406" s="76" t="s">
        <v>464</v>
      </c>
      <c r="C406" s="75" t="s">
        <v>449</v>
      </c>
      <c r="D406" s="7" t="s">
        <v>465</v>
      </c>
      <c r="E406" s="153">
        <f t="shared" si="28"/>
        <v>2312850</v>
      </c>
      <c r="F406" s="154">
        <v>2312850</v>
      </c>
      <c r="G406" s="154">
        <v>1742764</v>
      </c>
      <c r="H406" s="154">
        <v>77167</v>
      </c>
      <c r="I406" s="154"/>
      <c r="J406" s="155">
        <f t="shared" si="31"/>
        <v>15000</v>
      </c>
      <c r="K406" s="159">
        <v>15000</v>
      </c>
      <c r="L406" s="154"/>
      <c r="M406" s="154"/>
      <c r="N406" s="154"/>
      <c r="O406" s="154">
        <v>15000</v>
      </c>
      <c r="P406" s="157">
        <f t="shared" si="30"/>
        <v>2327850</v>
      </c>
      <c r="Q406" s="223"/>
      <c r="R406" s="115"/>
      <c r="S406" s="115"/>
      <c r="T406" s="115"/>
    </row>
    <row r="407" spans="1:20" s="26" customFormat="1" ht="31.5" customHeight="1">
      <c r="A407" s="68" t="s">
        <v>419</v>
      </c>
      <c r="B407" s="68" t="s">
        <v>152</v>
      </c>
      <c r="C407" s="68" t="s">
        <v>326</v>
      </c>
      <c r="D407" s="12" t="s">
        <v>327</v>
      </c>
      <c r="E407" s="153">
        <f>F407+I407</f>
        <v>4400</v>
      </c>
      <c r="F407" s="156">
        <v>4400</v>
      </c>
      <c r="G407" s="154"/>
      <c r="H407" s="154"/>
      <c r="I407" s="154"/>
      <c r="J407" s="155">
        <f t="shared" si="31"/>
        <v>0</v>
      </c>
      <c r="K407" s="159"/>
      <c r="L407" s="154"/>
      <c r="M407" s="154"/>
      <c r="N407" s="154"/>
      <c r="O407" s="154"/>
      <c r="P407" s="157">
        <f t="shared" si="30"/>
        <v>4400</v>
      </c>
      <c r="Q407" s="223"/>
      <c r="R407" s="115"/>
      <c r="S407" s="115"/>
      <c r="T407" s="115"/>
    </row>
    <row r="408" spans="1:20" s="26" customFormat="1" ht="23.25" customHeight="1">
      <c r="A408" s="75" t="s">
        <v>98</v>
      </c>
      <c r="B408" s="76" t="s">
        <v>454</v>
      </c>
      <c r="C408" s="75" t="s">
        <v>453</v>
      </c>
      <c r="D408" s="7" t="s">
        <v>455</v>
      </c>
      <c r="E408" s="153">
        <f>F408+I408</f>
        <v>151500</v>
      </c>
      <c r="F408" s="154">
        <v>151500</v>
      </c>
      <c r="G408" s="154"/>
      <c r="H408" s="154"/>
      <c r="I408" s="154"/>
      <c r="J408" s="155">
        <f>L408+O408</f>
        <v>0</v>
      </c>
      <c r="K408" s="159"/>
      <c r="L408" s="154">
        <v>0</v>
      </c>
      <c r="M408" s="154">
        <v>0</v>
      </c>
      <c r="N408" s="154">
        <v>0</v>
      </c>
      <c r="O408" s="154">
        <v>0</v>
      </c>
      <c r="P408" s="157">
        <f>E408+J408</f>
        <v>151500</v>
      </c>
      <c r="Q408" s="223"/>
      <c r="R408" s="115"/>
      <c r="S408" s="115"/>
      <c r="T408" s="115"/>
    </row>
    <row r="409" spans="1:20" s="26" customFormat="1" ht="15">
      <c r="A409" s="75" t="s">
        <v>99</v>
      </c>
      <c r="B409" s="76" t="s">
        <v>571</v>
      </c>
      <c r="C409" s="75" t="s">
        <v>570</v>
      </c>
      <c r="D409" s="7" t="s">
        <v>572</v>
      </c>
      <c r="E409" s="153">
        <f t="shared" si="28"/>
        <v>0</v>
      </c>
      <c r="F409" s="154"/>
      <c r="G409" s="154"/>
      <c r="H409" s="154"/>
      <c r="I409" s="154"/>
      <c r="J409" s="155">
        <f t="shared" si="31"/>
        <v>400000</v>
      </c>
      <c r="K409" s="159">
        <v>400000</v>
      </c>
      <c r="L409" s="154"/>
      <c r="M409" s="154"/>
      <c r="N409" s="154"/>
      <c r="O409" s="154">
        <v>400000</v>
      </c>
      <c r="P409" s="157">
        <f t="shared" si="30"/>
        <v>400000</v>
      </c>
      <c r="Q409" s="223"/>
      <c r="R409" s="115"/>
      <c r="S409" s="115"/>
      <c r="T409" s="115"/>
    </row>
    <row r="410" spans="1:20" s="26" customFormat="1" ht="33" customHeight="1" hidden="1">
      <c r="A410" s="68" t="s">
        <v>329</v>
      </c>
      <c r="B410" s="76">
        <v>8330</v>
      </c>
      <c r="C410" s="68" t="s">
        <v>101</v>
      </c>
      <c r="D410" s="12" t="s">
        <v>330</v>
      </c>
      <c r="E410" s="153">
        <f t="shared" si="28"/>
        <v>0</v>
      </c>
      <c r="F410" s="154"/>
      <c r="G410" s="154"/>
      <c r="H410" s="154"/>
      <c r="I410" s="154"/>
      <c r="J410" s="155">
        <f t="shared" si="31"/>
        <v>0</v>
      </c>
      <c r="K410" s="159"/>
      <c r="L410" s="154"/>
      <c r="M410" s="154"/>
      <c r="N410" s="154"/>
      <c r="O410" s="154"/>
      <c r="P410" s="157">
        <f t="shared" si="30"/>
        <v>0</v>
      </c>
      <c r="Q410" s="223"/>
      <c r="R410" s="115"/>
      <c r="S410" s="115"/>
      <c r="T410" s="115"/>
    </row>
    <row r="411" spans="1:20" s="26" customFormat="1" ht="35.25" customHeight="1">
      <c r="A411" s="75" t="s">
        <v>100</v>
      </c>
      <c r="B411" s="76" t="s">
        <v>102</v>
      </c>
      <c r="C411" s="75" t="s">
        <v>101</v>
      </c>
      <c r="D411" s="7" t="s">
        <v>103</v>
      </c>
      <c r="E411" s="153">
        <f t="shared" si="28"/>
        <v>0</v>
      </c>
      <c r="F411" s="154">
        <v>0</v>
      </c>
      <c r="G411" s="154">
        <v>0</v>
      </c>
      <c r="H411" s="154">
        <v>0</v>
      </c>
      <c r="I411" s="154">
        <v>0</v>
      </c>
      <c r="J411" s="155">
        <f t="shared" si="31"/>
        <v>6870607.84</v>
      </c>
      <c r="K411" s="159"/>
      <c r="L411" s="154">
        <f>4040000+10000+50000+120607.84</f>
        <v>4220607.84</v>
      </c>
      <c r="M411" s="154"/>
      <c r="N411" s="154"/>
      <c r="O411" s="154">
        <f>750000+1000000+500000+400000</f>
        <v>2650000</v>
      </c>
      <c r="P411" s="157">
        <f t="shared" si="30"/>
        <v>6870607.84</v>
      </c>
      <c r="Q411" s="223"/>
      <c r="R411" s="115"/>
      <c r="S411" s="115"/>
      <c r="T411" s="115"/>
    </row>
    <row r="412" spans="1:20" s="29" customFormat="1" ht="45.75" customHeight="1">
      <c r="A412" s="69" t="s">
        <v>104</v>
      </c>
      <c r="B412" s="70"/>
      <c r="C412" s="71"/>
      <c r="D412" s="5" t="s">
        <v>413</v>
      </c>
      <c r="E412" s="148">
        <f>F412+I412</f>
        <v>2691291</v>
      </c>
      <c r="F412" s="148">
        <f>F413</f>
        <v>2691291</v>
      </c>
      <c r="G412" s="148">
        <f>G413</f>
        <v>1711868</v>
      </c>
      <c r="H412" s="148">
        <f>H413</f>
        <v>91122</v>
      </c>
      <c r="I412" s="148">
        <f>I413</f>
        <v>0</v>
      </c>
      <c r="J412" s="148">
        <f>L412+O412</f>
        <v>15000</v>
      </c>
      <c r="K412" s="148">
        <f>K413</f>
        <v>15000</v>
      </c>
      <c r="L412" s="148">
        <f>L413</f>
        <v>0</v>
      </c>
      <c r="M412" s="148">
        <f>M413</f>
        <v>0</v>
      </c>
      <c r="N412" s="148">
        <f>N413</f>
        <v>0</v>
      </c>
      <c r="O412" s="148">
        <f>O413</f>
        <v>15000</v>
      </c>
      <c r="P412" s="149">
        <f>E412+J412</f>
        <v>2706291</v>
      </c>
      <c r="Q412" s="223"/>
      <c r="R412" s="118"/>
      <c r="S412" s="118"/>
      <c r="T412" s="118"/>
    </row>
    <row r="413" spans="1:20" s="30" customFormat="1" ht="48" customHeight="1">
      <c r="A413" s="72" t="s">
        <v>105</v>
      </c>
      <c r="B413" s="73"/>
      <c r="C413" s="74"/>
      <c r="D413" s="6" t="s">
        <v>199</v>
      </c>
      <c r="E413" s="150">
        <f>E414+E415+E416+E418</f>
        <v>2691291</v>
      </c>
      <c r="F413" s="150">
        <f>F414+F415+F416+F417+F418</f>
        <v>2691291</v>
      </c>
      <c r="G413" s="150">
        <f>G414+G415+G416+G417+G418</f>
        <v>1711868</v>
      </c>
      <c r="H413" s="150">
        <f>H414+H415+H416+H417+H418</f>
        <v>91122</v>
      </c>
      <c r="I413" s="150">
        <f>I414+I415+I416+I417+I418</f>
        <v>0</v>
      </c>
      <c r="J413" s="151">
        <f t="shared" si="31"/>
        <v>15000</v>
      </c>
      <c r="K413" s="151">
        <f>K414</f>
        <v>15000</v>
      </c>
      <c r="L413" s="151">
        <f>L414+L415+L416+L417+L418</f>
        <v>0</v>
      </c>
      <c r="M413" s="150">
        <f>M414+M415+M416+M417+M418</f>
        <v>0</v>
      </c>
      <c r="N413" s="150">
        <f>N414+N415+N416+N417+N418</f>
        <v>0</v>
      </c>
      <c r="O413" s="150">
        <f>O414+O415+O416+O417+O418</f>
        <v>15000</v>
      </c>
      <c r="P413" s="152">
        <f>E413+J413</f>
        <v>2706291</v>
      </c>
      <c r="Q413" s="223"/>
      <c r="R413" s="119"/>
      <c r="S413" s="119"/>
      <c r="T413" s="119"/>
    </row>
    <row r="414" spans="1:20" s="26" customFormat="1" ht="42" customHeight="1">
      <c r="A414" s="75" t="s">
        <v>106</v>
      </c>
      <c r="B414" s="76" t="s">
        <v>464</v>
      </c>
      <c r="C414" s="75" t="s">
        <v>449</v>
      </c>
      <c r="D414" s="7" t="s">
        <v>465</v>
      </c>
      <c r="E414" s="153">
        <f t="shared" si="28"/>
        <v>2418351</v>
      </c>
      <c r="F414" s="154">
        <v>2418351</v>
      </c>
      <c r="G414" s="154">
        <v>1711868</v>
      </c>
      <c r="H414" s="154">
        <v>91122</v>
      </c>
      <c r="I414" s="154"/>
      <c r="J414" s="155">
        <f t="shared" si="31"/>
        <v>15000</v>
      </c>
      <c r="K414" s="159">
        <v>15000</v>
      </c>
      <c r="L414" s="154"/>
      <c r="M414" s="154"/>
      <c r="N414" s="154"/>
      <c r="O414" s="154">
        <v>15000</v>
      </c>
      <c r="P414" s="157">
        <f>E414+J414</f>
        <v>2433351</v>
      </c>
      <c r="Q414" s="223"/>
      <c r="R414" s="115"/>
      <c r="S414" s="115"/>
      <c r="T414" s="115"/>
    </row>
    <row r="415" spans="1:20" s="26" customFormat="1" ht="33.75" customHeight="1">
      <c r="A415" s="75" t="s">
        <v>107</v>
      </c>
      <c r="B415" s="76" t="s">
        <v>454</v>
      </c>
      <c r="C415" s="75" t="s">
        <v>453</v>
      </c>
      <c r="D415" s="7" t="s">
        <v>455</v>
      </c>
      <c r="E415" s="153">
        <f t="shared" si="28"/>
        <v>92000</v>
      </c>
      <c r="F415" s="154">
        <v>92000</v>
      </c>
      <c r="G415" s="154"/>
      <c r="H415" s="154"/>
      <c r="I415" s="154"/>
      <c r="J415" s="155">
        <f t="shared" si="31"/>
        <v>0</v>
      </c>
      <c r="K415" s="159"/>
      <c r="L415" s="154"/>
      <c r="M415" s="154"/>
      <c r="N415" s="154"/>
      <c r="O415" s="154"/>
      <c r="P415" s="157">
        <f t="shared" si="30"/>
        <v>92000</v>
      </c>
      <c r="Q415" s="223"/>
      <c r="R415" s="115"/>
      <c r="S415" s="115"/>
      <c r="T415" s="115"/>
    </row>
    <row r="416" spans="1:20" s="26" customFormat="1" ht="42.75" customHeight="1">
      <c r="A416" s="75" t="s">
        <v>108</v>
      </c>
      <c r="B416" s="76" t="s">
        <v>110</v>
      </c>
      <c r="C416" s="75" t="s">
        <v>109</v>
      </c>
      <c r="D416" s="7" t="s">
        <v>305</v>
      </c>
      <c r="E416" s="153">
        <f t="shared" si="28"/>
        <v>160940</v>
      </c>
      <c r="F416" s="154">
        <v>160940</v>
      </c>
      <c r="G416" s="154"/>
      <c r="H416" s="154"/>
      <c r="I416" s="154"/>
      <c r="J416" s="155">
        <f t="shared" si="31"/>
        <v>0</v>
      </c>
      <c r="K416" s="159"/>
      <c r="L416" s="154"/>
      <c r="M416" s="154"/>
      <c r="N416" s="154"/>
      <c r="O416" s="154"/>
      <c r="P416" s="157">
        <f t="shared" si="30"/>
        <v>160940</v>
      </c>
      <c r="Q416" s="223"/>
      <c r="R416" s="115"/>
      <c r="S416" s="115"/>
      <c r="T416" s="115"/>
    </row>
    <row r="417" spans="1:20" s="26" customFormat="1" ht="21" customHeight="1" hidden="1">
      <c r="A417" s="75" t="s">
        <v>221</v>
      </c>
      <c r="B417" s="76" t="s">
        <v>222</v>
      </c>
      <c r="C417" s="75" t="s">
        <v>109</v>
      </c>
      <c r="D417" s="7" t="s">
        <v>223</v>
      </c>
      <c r="E417" s="153">
        <f>F417+I417</f>
        <v>0</v>
      </c>
      <c r="F417" s="154"/>
      <c r="G417" s="154"/>
      <c r="H417" s="154"/>
      <c r="I417" s="154"/>
      <c r="J417" s="155">
        <f t="shared" si="31"/>
        <v>0</v>
      </c>
      <c r="K417" s="159"/>
      <c r="L417" s="154"/>
      <c r="M417" s="154"/>
      <c r="N417" s="154"/>
      <c r="O417" s="154"/>
      <c r="P417" s="157">
        <f>E417+J417</f>
        <v>0</v>
      </c>
      <c r="Q417" s="223"/>
      <c r="R417" s="115"/>
      <c r="S417" s="115"/>
      <c r="T417" s="115"/>
    </row>
    <row r="418" spans="1:20" s="26" customFormat="1" ht="24" customHeight="1">
      <c r="A418" s="75" t="s">
        <v>385</v>
      </c>
      <c r="B418" s="76">
        <v>9770</v>
      </c>
      <c r="C418" s="75" t="s">
        <v>454</v>
      </c>
      <c r="D418" s="7" t="s">
        <v>386</v>
      </c>
      <c r="E418" s="153">
        <f>F418+I418</f>
        <v>20000</v>
      </c>
      <c r="F418" s="154">
        <v>20000</v>
      </c>
      <c r="G418" s="154"/>
      <c r="H418" s="154"/>
      <c r="I418" s="154"/>
      <c r="J418" s="155">
        <f t="shared" si="31"/>
        <v>0</v>
      </c>
      <c r="K418" s="159"/>
      <c r="L418" s="154"/>
      <c r="M418" s="154"/>
      <c r="N418" s="154"/>
      <c r="O418" s="154"/>
      <c r="P418" s="157">
        <f>E418+J418</f>
        <v>20000</v>
      </c>
      <c r="Q418" s="223"/>
      <c r="R418" s="115"/>
      <c r="S418" s="115"/>
      <c r="T418" s="115"/>
    </row>
    <row r="419" spans="1:20" s="31" customFormat="1" ht="57" customHeight="1">
      <c r="A419" s="79"/>
      <c r="B419" s="80"/>
      <c r="C419" s="79"/>
      <c r="D419" s="10" t="s">
        <v>277</v>
      </c>
      <c r="E419" s="162">
        <f>F419+I419</f>
        <v>20000</v>
      </c>
      <c r="F419" s="163">
        <v>20000</v>
      </c>
      <c r="G419" s="163"/>
      <c r="H419" s="163"/>
      <c r="I419" s="163"/>
      <c r="J419" s="190">
        <f>L419+O419</f>
        <v>0</v>
      </c>
      <c r="K419" s="164"/>
      <c r="L419" s="163"/>
      <c r="M419" s="163"/>
      <c r="N419" s="163"/>
      <c r="O419" s="163"/>
      <c r="P419" s="165">
        <f>E419+J419</f>
        <v>20000</v>
      </c>
      <c r="Q419" s="223"/>
      <c r="R419" s="121"/>
      <c r="S419" s="121"/>
      <c r="T419" s="121"/>
    </row>
    <row r="420" spans="1:20" s="29" customFormat="1" ht="30.75" customHeight="1">
      <c r="A420" s="69" t="s">
        <v>111</v>
      </c>
      <c r="B420" s="70"/>
      <c r="C420" s="71"/>
      <c r="D420" s="5" t="s">
        <v>112</v>
      </c>
      <c r="E420" s="148">
        <f>F420+I420</f>
        <v>10433654</v>
      </c>
      <c r="F420" s="148">
        <f>F421</f>
        <v>10326254</v>
      </c>
      <c r="G420" s="148">
        <f>G421</f>
        <v>6406866</v>
      </c>
      <c r="H420" s="148">
        <f>H421</f>
        <v>276309</v>
      </c>
      <c r="I420" s="148">
        <f>I421</f>
        <v>107400</v>
      </c>
      <c r="J420" s="148">
        <f t="shared" si="31"/>
        <v>3949000</v>
      </c>
      <c r="K420" s="148">
        <f>K421</f>
        <v>3949000</v>
      </c>
      <c r="L420" s="148">
        <f>L421</f>
        <v>0</v>
      </c>
      <c r="M420" s="148">
        <f>M421</f>
        <v>0</v>
      </c>
      <c r="N420" s="148">
        <f>N421</f>
        <v>0</v>
      </c>
      <c r="O420" s="148">
        <f>O421</f>
        <v>3949000</v>
      </c>
      <c r="P420" s="149">
        <f t="shared" si="30"/>
        <v>14382654</v>
      </c>
      <c r="Q420" s="223"/>
      <c r="R420" s="118"/>
      <c r="S420" s="118"/>
      <c r="T420" s="118"/>
    </row>
    <row r="421" spans="1:20" s="30" customFormat="1" ht="48" customHeight="1">
      <c r="A421" s="72" t="s">
        <v>113</v>
      </c>
      <c r="B421" s="73"/>
      <c r="C421" s="74"/>
      <c r="D421" s="6" t="s">
        <v>193</v>
      </c>
      <c r="E421" s="150">
        <f t="shared" si="28"/>
        <v>10433654</v>
      </c>
      <c r="F421" s="150">
        <f>F422+F423+F424+F425+F426+F427+F428+F429</f>
        <v>10326254</v>
      </c>
      <c r="G421" s="150">
        <f>G422+G423+G424+G425+G426+G427+G428+G429</f>
        <v>6406866</v>
      </c>
      <c r="H421" s="150">
        <f>H422+H423+H424+H425+H426+H427+H428+H429</f>
        <v>276309</v>
      </c>
      <c r="I421" s="150">
        <f>I422+I423+I424+I425+I426+I427+I428+I429</f>
        <v>107400</v>
      </c>
      <c r="J421" s="151">
        <f t="shared" si="31"/>
        <v>3949000</v>
      </c>
      <c r="K421" s="150">
        <f>K422+K423+K424+K425+K426+K427+K428+K429</f>
        <v>3949000</v>
      </c>
      <c r="L421" s="150">
        <f>L422+L423+L424+L425+L426+L427+L428+L429</f>
        <v>0</v>
      </c>
      <c r="M421" s="150">
        <f>M422+M423+M424+M425+M426+M427+M428+M429</f>
        <v>0</v>
      </c>
      <c r="N421" s="150">
        <f>N422+N423+N424+N425+N426+N427+N428+N429</f>
        <v>0</v>
      </c>
      <c r="O421" s="150">
        <f>O422+O423+O424+O425+O426+O427+O428+O429</f>
        <v>3949000</v>
      </c>
      <c r="P421" s="152">
        <f>E421+J421</f>
        <v>14382654</v>
      </c>
      <c r="Q421" s="223"/>
      <c r="R421" s="119"/>
      <c r="S421" s="119"/>
      <c r="T421" s="119"/>
    </row>
    <row r="422" spans="1:20" s="26" customFormat="1" ht="48" customHeight="1">
      <c r="A422" s="75" t="s">
        <v>114</v>
      </c>
      <c r="B422" s="76" t="s">
        <v>464</v>
      </c>
      <c r="C422" s="75" t="s">
        <v>449</v>
      </c>
      <c r="D422" s="7" t="s">
        <v>465</v>
      </c>
      <c r="E422" s="153">
        <f t="shared" si="28"/>
        <v>8414854</v>
      </c>
      <c r="F422" s="154">
        <v>8414854</v>
      </c>
      <c r="G422" s="154">
        <v>6406866</v>
      </c>
      <c r="H422" s="154">
        <v>276309</v>
      </c>
      <c r="I422" s="154"/>
      <c r="J422" s="155">
        <f t="shared" si="31"/>
        <v>80000</v>
      </c>
      <c r="K422" s="159">
        <v>80000</v>
      </c>
      <c r="L422" s="154">
        <v>0</v>
      </c>
      <c r="M422" s="154">
        <v>0</v>
      </c>
      <c r="N422" s="154">
        <v>0</v>
      </c>
      <c r="O422" s="154">
        <v>80000</v>
      </c>
      <c r="P422" s="157">
        <f t="shared" si="30"/>
        <v>8494854</v>
      </c>
      <c r="Q422" s="223"/>
      <c r="R422" s="115"/>
      <c r="S422" s="115"/>
      <c r="T422" s="115"/>
    </row>
    <row r="423" spans="1:20" s="26" customFormat="1" ht="24.75" customHeight="1">
      <c r="A423" s="75" t="s">
        <v>115</v>
      </c>
      <c r="B423" s="76" t="s">
        <v>454</v>
      </c>
      <c r="C423" s="75" t="s">
        <v>453</v>
      </c>
      <c r="D423" s="7" t="s">
        <v>455</v>
      </c>
      <c r="E423" s="153">
        <f t="shared" si="28"/>
        <v>143000</v>
      </c>
      <c r="F423" s="154">
        <v>143000</v>
      </c>
      <c r="G423" s="154"/>
      <c r="H423" s="154"/>
      <c r="I423" s="154"/>
      <c r="J423" s="155">
        <f t="shared" si="31"/>
        <v>0</v>
      </c>
      <c r="K423" s="159"/>
      <c r="L423" s="154">
        <v>0</v>
      </c>
      <c r="M423" s="154">
        <v>0</v>
      </c>
      <c r="N423" s="154">
        <v>0</v>
      </c>
      <c r="O423" s="154">
        <v>0</v>
      </c>
      <c r="P423" s="157">
        <f t="shared" si="30"/>
        <v>143000</v>
      </c>
      <c r="Q423" s="223"/>
      <c r="R423" s="115"/>
      <c r="S423" s="115"/>
      <c r="T423" s="115"/>
    </row>
    <row r="424" spans="1:20" s="26" customFormat="1" ht="34.5" customHeight="1">
      <c r="A424" s="75" t="s">
        <v>116</v>
      </c>
      <c r="B424" s="76" t="s">
        <v>117</v>
      </c>
      <c r="C424" s="75" t="s">
        <v>36</v>
      </c>
      <c r="D424" s="7" t="s">
        <v>118</v>
      </c>
      <c r="E424" s="153">
        <f t="shared" si="28"/>
        <v>0</v>
      </c>
      <c r="F424" s="154"/>
      <c r="G424" s="154"/>
      <c r="H424" s="154"/>
      <c r="I424" s="154"/>
      <c r="J424" s="155">
        <f t="shared" si="31"/>
        <v>3569000</v>
      </c>
      <c r="K424" s="159">
        <v>3569000</v>
      </c>
      <c r="L424" s="154"/>
      <c r="M424" s="154"/>
      <c r="N424" s="154"/>
      <c r="O424" s="154">
        <v>3569000</v>
      </c>
      <c r="P424" s="157">
        <f t="shared" si="30"/>
        <v>3569000</v>
      </c>
      <c r="Q424" s="223"/>
      <c r="R424" s="115"/>
      <c r="S424" s="115"/>
      <c r="T424" s="115"/>
    </row>
    <row r="425" spans="1:20" s="26" customFormat="1" ht="33" customHeight="1">
      <c r="A425" s="75" t="s">
        <v>119</v>
      </c>
      <c r="B425" s="76" t="s">
        <v>37</v>
      </c>
      <c r="C425" s="75" t="s">
        <v>36</v>
      </c>
      <c r="D425" s="7" t="s">
        <v>38</v>
      </c>
      <c r="E425" s="153">
        <f t="shared" si="28"/>
        <v>50000</v>
      </c>
      <c r="F425" s="154">
        <v>50000</v>
      </c>
      <c r="G425" s="154"/>
      <c r="H425" s="154"/>
      <c r="I425" s="154"/>
      <c r="J425" s="155">
        <f t="shared" si="31"/>
        <v>0</v>
      </c>
      <c r="K425" s="159"/>
      <c r="L425" s="154"/>
      <c r="M425" s="154"/>
      <c r="N425" s="154"/>
      <c r="O425" s="154"/>
      <c r="P425" s="157">
        <f t="shared" si="30"/>
        <v>50000</v>
      </c>
      <c r="Q425" s="223"/>
      <c r="R425" s="115"/>
      <c r="S425" s="115"/>
      <c r="T425" s="115"/>
    </row>
    <row r="426" spans="1:20" s="26" customFormat="1" ht="24.75" customHeight="1">
      <c r="A426" s="75" t="s">
        <v>120</v>
      </c>
      <c r="B426" s="76" t="s">
        <v>122</v>
      </c>
      <c r="C426" s="75" t="s">
        <v>121</v>
      </c>
      <c r="D426" s="7" t="s">
        <v>123</v>
      </c>
      <c r="E426" s="153">
        <f t="shared" si="28"/>
        <v>107400</v>
      </c>
      <c r="F426" s="154"/>
      <c r="G426" s="154"/>
      <c r="H426" s="154"/>
      <c r="I426" s="154">
        <v>107400</v>
      </c>
      <c r="J426" s="155">
        <f t="shared" si="31"/>
        <v>0</v>
      </c>
      <c r="K426" s="159"/>
      <c r="L426" s="154"/>
      <c r="M426" s="154"/>
      <c r="N426" s="154"/>
      <c r="O426" s="154"/>
      <c r="P426" s="157">
        <f t="shared" si="30"/>
        <v>107400</v>
      </c>
      <c r="Q426" s="223"/>
      <c r="R426" s="115"/>
      <c r="S426" s="115"/>
      <c r="T426" s="115"/>
    </row>
    <row r="427" spans="1:20" s="26" customFormat="1" ht="34.5" customHeight="1">
      <c r="A427" s="68" t="s">
        <v>312</v>
      </c>
      <c r="B427" s="76">
        <v>7650</v>
      </c>
      <c r="C427" s="75" t="s">
        <v>570</v>
      </c>
      <c r="D427" s="12" t="s">
        <v>313</v>
      </c>
      <c r="E427" s="153">
        <f t="shared" si="28"/>
        <v>0</v>
      </c>
      <c r="F427" s="154"/>
      <c r="G427" s="154"/>
      <c r="H427" s="154"/>
      <c r="I427" s="154"/>
      <c r="J427" s="155">
        <f t="shared" si="31"/>
        <v>100000</v>
      </c>
      <c r="K427" s="159">
        <v>100000</v>
      </c>
      <c r="L427" s="154"/>
      <c r="M427" s="154"/>
      <c r="N427" s="154"/>
      <c r="O427" s="154">
        <v>100000</v>
      </c>
      <c r="P427" s="157">
        <f t="shared" si="30"/>
        <v>100000</v>
      </c>
      <c r="Q427" s="223"/>
      <c r="R427" s="115"/>
      <c r="S427" s="115"/>
      <c r="T427" s="115"/>
    </row>
    <row r="428" spans="1:20" s="26" customFormat="1" ht="61.5" customHeight="1">
      <c r="A428" s="75" t="s">
        <v>124</v>
      </c>
      <c r="B428" s="76" t="s">
        <v>125</v>
      </c>
      <c r="C428" s="75" t="s">
        <v>570</v>
      </c>
      <c r="D428" s="7" t="s">
        <v>126</v>
      </c>
      <c r="E428" s="153">
        <f t="shared" si="28"/>
        <v>0</v>
      </c>
      <c r="F428" s="154"/>
      <c r="G428" s="154"/>
      <c r="H428" s="154"/>
      <c r="I428" s="154"/>
      <c r="J428" s="155">
        <f t="shared" si="31"/>
        <v>200000</v>
      </c>
      <c r="K428" s="159">
        <v>200000</v>
      </c>
      <c r="L428" s="154"/>
      <c r="M428" s="154"/>
      <c r="N428" s="154"/>
      <c r="O428" s="156">
        <v>200000</v>
      </c>
      <c r="P428" s="157">
        <f t="shared" si="30"/>
        <v>200000</v>
      </c>
      <c r="Q428" s="223"/>
      <c r="R428" s="115"/>
      <c r="S428" s="115"/>
      <c r="T428" s="115"/>
    </row>
    <row r="429" spans="1:20" s="26" customFormat="1" ht="24.75" customHeight="1">
      <c r="A429" s="75" t="s">
        <v>127</v>
      </c>
      <c r="B429" s="76" t="s">
        <v>93</v>
      </c>
      <c r="C429" s="75" t="s">
        <v>570</v>
      </c>
      <c r="D429" s="7" t="s">
        <v>94</v>
      </c>
      <c r="E429" s="153">
        <f t="shared" si="28"/>
        <v>1718400</v>
      </c>
      <c r="F429" s="154">
        <v>1718400</v>
      </c>
      <c r="G429" s="154">
        <v>0</v>
      </c>
      <c r="H429" s="154">
        <v>0</v>
      </c>
      <c r="I429" s="154">
        <v>0</v>
      </c>
      <c r="J429" s="155">
        <f t="shared" si="31"/>
        <v>0</v>
      </c>
      <c r="K429" s="159"/>
      <c r="L429" s="154">
        <v>0</v>
      </c>
      <c r="M429" s="154">
        <v>0</v>
      </c>
      <c r="N429" s="154">
        <v>0</v>
      </c>
      <c r="O429" s="154">
        <v>0</v>
      </c>
      <c r="P429" s="157">
        <f t="shared" si="30"/>
        <v>1718400</v>
      </c>
      <c r="Q429" s="223"/>
      <c r="R429" s="115"/>
      <c r="S429" s="115"/>
      <c r="T429" s="115"/>
    </row>
    <row r="430" spans="1:20" s="29" customFormat="1" ht="21.75" customHeight="1">
      <c r="A430" s="69" t="s">
        <v>128</v>
      </c>
      <c r="B430" s="70"/>
      <c r="C430" s="71"/>
      <c r="D430" s="5" t="s">
        <v>129</v>
      </c>
      <c r="E430" s="148">
        <f t="shared" si="28"/>
        <v>4643019</v>
      </c>
      <c r="F430" s="148">
        <f>SUM(F431)</f>
        <v>4643019</v>
      </c>
      <c r="G430" s="148">
        <f>SUM(G431)</f>
        <v>527145</v>
      </c>
      <c r="H430" s="148">
        <f>SUM(H431)</f>
        <v>33090</v>
      </c>
      <c r="I430" s="148">
        <f>SUM(I431)</f>
        <v>0</v>
      </c>
      <c r="J430" s="148">
        <f t="shared" si="31"/>
        <v>0</v>
      </c>
      <c r="K430" s="148">
        <f>SUM(K431)</f>
        <v>0</v>
      </c>
      <c r="L430" s="148">
        <f>SUM(L431)</f>
        <v>0</v>
      </c>
      <c r="M430" s="148">
        <f>SUM(M431)</f>
        <v>0</v>
      </c>
      <c r="N430" s="148">
        <f>SUM(N431)</f>
        <v>0</v>
      </c>
      <c r="O430" s="148">
        <f>SUM(O431)</f>
        <v>0</v>
      </c>
      <c r="P430" s="149">
        <f t="shared" si="30"/>
        <v>4643019</v>
      </c>
      <c r="Q430" s="223"/>
      <c r="R430" s="118"/>
      <c r="S430" s="118"/>
      <c r="T430" s="118"/>
    </row>
    <row r="431" spans="1:20" s="30" customFormat="1" ht="21" customHeight="1">
      <c r="A431" s="72" t="s">
        <v>130</v>
      </c>
      <c r="B431" s="73"/>
      <c r="C431" s="74"/>
      <c r="D431" s="6" t="s">
        <v>212</v>
      </c>
      <c r="E431" s="150">
        <f>F431+I431</f>
        <v>4643019</v>
      </c>
      <c r="F431" s="150">
        <f>SUM(F432+F434+F435+F433)</f>
        <v>4643019</v>
      </c>
      <c r="G431" s="150">
        <f>SUM(G432+G434+G435+G433)</f>
        <v>527145</v>
      </c>
      <c r="H431" s="150">
        <f>SUM(H432+H434+H435+H433)</f>
        <v>33090</v>
      </c>
      <c r="I431" s="150">
        <f>SUM(I432+I434+I435+I433)</f>
        <v>0</v>
      </c>
      <c r="J431" s="151">
        <f t="shared" si="31"/>
        <v>0</v>
      </c>
      <c r="K431" s="151">
        <f>SUM(K432+K434+K435)</f>
        <v>0</v>
      </c>
      <c r="L431" s="150">
        <f>SUM(L432+L434+L435)</f>
        <v>0</v>
      </c>
      <c r="M431" s="150">
        <f>SUM(M432+M434+M435)</f>
        <v>0</v>
      </c>
      <c r="N431" s="150">
        <f>SUM(N432+N434+N435)</f>
        <v>0</v>
      </c>
      <c r="O431" s="150">
        <f>SUM(O432+O434+O435)</f>
        <v>0</v>
      </c>
      <c r="P431" s="152">
        <f>E431+J431</f>
        <v>4643019</v>
      </c>
      <c r="Q431" s="223"/>
      <c r="R431" s="119"/>
      <c r="S431" s="119"/>
      <c r="T431" s="119"/>
    </row>
    <row r="432" spans="1:20" s="26" customFormat="1" ht="26.25">
      <c r="A432" s="75" t="s">
        <v>131</v>
      </c>
      <c r="B432" s="76" t="s">
        <v>464</v>
      </c>
      <c r="C432" s="75" t="s">
        <v>449</v>
      </c>
      <c r="D432" s="7" t="s">
        <v>465</v>
      </c>
      <c r="E432" s="153">
        <f t="shared" si="28"/>
        <v>733519</v>
      </c>
      <c r="F432" s="154">
        <v>733519</v>
      </c>
      <c r="G432" s="154">
        <v>527145</v>
      </c>
      <c r="H432" s="154">
        <v>33090</v>
      </c>
      <c r="I432" s="154"/>
      <c r="J432" s="155">
        <f t="shared" si="31"/>
        <v>0</v>
      </c>
      <c r="K432" s="159"/>
      <c r="L432" s="154"/>
      <c r="M432" s="154"/>
      <c r="N432" s="154"/>
      <c r="O432" s="154"/>
      <c r="P432" s="157">
        <f t="shared" si="30"/>
        <v>733519</v>
      </c>
      <c r="Q432" s="223"/>
      <c r="R432" s="115"/>
      <c r="S432" s="115"/>
      <c r="T432" s="115"/>
    </row>
    <row r="433" spans="1:20" s="26" customFormat="1" ht="26.25">
      <c r="A433" s="68" t="s">
        <v>398</v>
      </c>
      <c r="B433" s="68" t="s">
        <v>152</v>
      </c>
      <c r="C433" s="68" t="s">
        <v>326</v>
      </c>
      <c r="D433" s="12" t="s">
        <v>327</v>
      </c>
      <c r="E433" s="153">
        <f t="shared" si="28"/>
        <v>4500</v>
      </c>
      <c r="F433" s="154">
        <v>4500</v>
      </c>
      <c r="G433" s="154"/>
      <c r="H433" s="154"/>
      <c r="I433" s="154"/>
      <c r="J433" s="155">
        <f t="shared" si="31"/>
        <v>0</v>
      </c>
      <c r="K433" s="159"/>
      <c r="L433" s="154"/>
      <c r="M433" s="154"/>
      <c r="N433" s="154"/>
      <c r="O433" s="154"/>
      <c r="P433" s="157">
        <f t="shared" si="30"/>
        <v>4500</v>
      </c>
      <c r="Q433" s="223"/>
      <c r="R433" s="115"/>
      <c r="S433" s="115"/>
      <c r="T433" s="115"/>
    </row>
    <row r="434" spans="1:20" s="26" customFormat="1" ht="27.75" customHeight="1">
      <c r="A434" s="75" t="s">
        <v>132</v>
      </c>
      <c r="B434" s="76" t="s">
        <v>454</v>
      </c>
      <c r="C434" s="75" t="s">
        <v>453</v>
      </c>
      <c r="D434" s="7" t="s">
        <v>455</v>
      </c>
      <c r="E434" s="153">
        <f t="shared" si="28"/>
        <v>3855000</v>
      </c>
      <c r="F434" s="154">
        <f>55000+800000+3000000</f>
        <v>3855000</v>
      </c>
      <c r="G434" s="154"/>
      <c r="H434" s="154"/>
      <c r="I434" s="154"/>
      <c r="J434" s="155">
        <f t="shared" si="31"/>
        <v>0</v>
      </c>
      <c r="K434" s="159"/>
      <c r="L434" s="154"/>
      <c r="M434" s="154"/>
      <c r="N434" s="154"/>
      <c r="O434" s="154"/>
      <c r="P434" s="157">
        <f t="shared" si="30"/>
        <v>3855000</v>
      </c>
      <c r="Q434" s="223"/>
      <c r="R434" s="115"/>
      <c r="S434" s="115"/>
      <c r="T434" s="115"/>
    </row>
    <row r="435" spans="1:20" s="26" customFormat="1" ht="18" customHeight="1">
      <c r="A435" s="75" t="s">
        <v>133</v>
      </c>
      <c r="B435" s="76" t="s">
        <v>33</v>
      </c>
      <c r="C435" s="75" t="s">
        <v>26</v>
      </c>
      <c r="D435" s="7" t="s">
        <v>34</v>
      </c>
      <c r="E435" s="153">
        <f t="shared" si="28"/>
        <v>50000</v>
      </c>
      <c r="F435" s="154">
        <v>50000</v>
      </c>
      <c r="G435" s="154"/>
      <c r="H435" s="154"/>
      <c r="I435" s="154"/>
      <c r="J435" s="155">
        <f t="shared" si="31"/>
        <v>0</v>
      </c>
      <c r="K435" s="159"/>
      <c r="L435" s="154"/>
      <c r="M435" s="154"/>
      <c r="N435" s="154"/>
      <c r="O435" s="154"/>
      <c r="P435" s="157">
        <f t="shared" si="30"/>
        <v>50000</v>
      </c>
      <c r="Q435" s="223"/>
      <c r="R435" s="115"/>
      <c r="S435" s="115"/>
      <c r="T435" s="115"/>
    </row>
    <row r="436" spans="1:20" s="29" customFormat="1" ht="33.75" customHeight="1">
      <c r="A436" s="69" t="s">
        <v>134</v>
      </c>
      <c r="B436" s="70"/>
      <c r="C436" s="71"/>
      <c r="D436" s="5" t="s">
        <v>135</v>
      </c>
      <c r="E436" s="148">
        <f t="shared" si="28"/>
        <v>10796788</v>
      </c>
      <c r="F436" s="148">
        <f>F437</f>
        <v>10796788</v>
      </c>
      <c r="G436" s="148">
        <f>G437</f>
        <v>6677608</v>
      </c>
      <c r="H436" s="148">
        <f>H437</f>
        <v>505217</v>
      </c>
      <c r="I436" s="148">
        <f>I437</f>
        <v>0</v>
      </c>
      <c r="J436" s="148">
        <f t="shared" si="31"/>
        <v>6550</v>
      </c>
      <c r="K436" s="148">
        <f>K437</f>
        <v>0</v>
      </c>
      <c r="L436" s="148">
        <f>L437</f>
        <v>6550</v>
      </c>
      <c r="M436" s="148">
        <f>M437</f>
        <v>0</v>
      </c>
      <c r="N436" s="148">
        <f>N437</f>
        <v>0</v>
      </c>
      <c r="O436" s="148">
        <f>O437</f>
        <v>0</v>
      </c>
      <c r="P436" s="149">
        <f t="shared" si="30"/>
        <v>10803338</v>
      </c>
      <c r="Q436" s="223"/>
      <c r="R436" s="118"/>
      <c r="S436" s="118"/>
      <c r="T436" s="118"/>
    </row>
    <row r="437" spans="1:20" s="30" customFormat="1" ht="31.5" customHeight="1">
      <c r="A437" s="72" t="s">
        <v>136</v>
      </c>
      <c r="B437" s="73"/>
      <c r="C437" s="74"/>
      <c r="D437" s="6" t="s">
        <v>213</v>
      </c>
      <c r="E437" s="150">
        <f>E438+E439+E440+E441+E442+E443</f>
        <v>10796788</v>
      </c>
      <c r="F437" s="150">
        <f>F438+F439+F440+F441+F442+F443</f>
        <v>10796788</v>
      </c>
      <c r="G437" s="150">
        <f>G438+G439+G440+G441+G442+G443</f>
        <v>6677608</v>
      </c>
      <c r="H437" s="150">
        <f>H438+H439+H440+H441+H442+H443</f>
        <v>505217</v>
      </c>
      <c r="I437" s="150">
        <f>I438+I439+I440+I441+I442+I443</f>
        <v>0</v>
      </c>
      <c r="J437" s="151">
        <f t="shared" si="31"/>
        <v>6550</v>
      </c>
      <c r="K437" s="151">
        <f>K438+K439+K440+K441+K442+K443</f>
        <v>0</v>
      </c>
      <c r="L437" s="150">
        <f>L438+L439+L440+L441+L442+L443</f>
        <v>6550</v>
      </c>
      <c r="M437" s="150">
        <f>M438+M439+M440+M441+M442+M443</f>
        <v>0</v>
      </c>
      <c r="N437" s="150">
        <f>N438+N439+N440+N441+N442+N443</f>
        <v>0</v>
      </c>
      <c r="O437" s="150">
        <f>O438+O439+O440+O441+O442+O443</f>
        <v>0</v>
      </c>
      <c r="P437" s="152">
        <f>E437+J437</f>
        <v>10803338</v>
      </c>
      <c r="Q437" s="223"/>
      <c r="R437" s="119"/>
      <c r="S437" s="119"/>
      <c r="T437" s="119"/>
    </row>
    <row r="438" spans="1:20" s="26" customFormat="1" ht="26.25">
      <c r="A438" s="75" t="s">
        <v>137</v>
      </c>
      <c r="B438" s="76" t="s">
        <v>464</v>
      </c>
      <c r="C438" s="75" t="s">
        <v>449</v>
      </c>
      <c r="D438" s="7" t="s">
        <v>465</v>
      </c>
      <c r="E438" s="153">
        <f>F438+I438</f>
        <v>9666088</v>
      </c>
      <c r="F438" s="154">
        <f>9524168+66580+75340</f>
        <v>9666088</v>
      </c>
      <c r="G438" s="154">
        <v>6677608</v>
      </c>
      <c r="H438" s="154">
        <f>369290+60587+75340</f>
        <v>505217</v>
      </c>
      <c r="I438" s="154"/>
      <c r="J438" s="155">
        <f t="shared" si="31"/>
        <v>6550</v>
      </c>
      <c r="K438" s="159"/>
      <c r="L438" s="154">
        <v>6550</v>
      </c>
      <c r="M438" s="154"/>
      <c r="N438" s="154"/>
      <c r="O438" s="154"/>
      <c r="P438" s="157">
        <f t="shared" si="30"/>
        <v>9672638</v>
      </c>
      <c r="Q438" s="223"/>
      <c r="R438" s="115"/>
      <c r="S438" s="115"/>
      <c r="T438" s="115"/>
    </row>
    <row r="439" spans="1:20" s="26" customFormat="1" ht="22.5" customHeight="1">
      <c r="A439" s="75" t="s">
        <v>138</v>
      </c>
      <c r="B439" s="76" t="s">
        <v>454</v>
      </c>
      <c r="C439" s="75" t="s">
        <v>453</v>
      </c>
      <c r="D439" s="7" t="s">
        <v>455</v>
      </c>
      <c r="E439" s="153">
        <f t="shared" si="28"/>
        <v>120000</v>
      </c>
      <c r="F439" s="154">
        <v>120000</v>
      </c>
      <c r="G439" s="154"/>
      <c r="H439" s="154"/>
      <c r="I439" s="154"/>
      <c r="J439" s="155">
        <f t="shared" si="31"/>
        <v>0</v>
      </c>
      <c r="K439" s="159"/>
      <c r="L439" s="154"/>
      <c r="M439" s="154"/>
      <c r="N439" s="154"/>
      <c r="O439" s="154"/>
      <c r="P439" s="157">
        <f t="shared" si="30"/>
        <v>120000</v>
      </c>
      <c r="Q439" s="223"/>
      <c r="R439" s="115"/>
      <c r="S439" s="115"/>
      <c r="T439" s="115"/>
    </row>
    <row r="440" spans="1:20" s="26" customFormat="1" ht="51" customHeight="1">
      <c r="A440" s="75" t="s">
        <v>389</v>
      </c>
      <c r="B440" s="76" t="s">
        <v>30</v>
      </c>
      <c r="C440" s="75" t="s">
        <v>26</v>
      </c>
      <c r="D440" s="7" t="s">
        <v>31</v>
      </c>
      <c r="E440" s="153">
        <f t="shared" si="28"/>
        <v>1000000</v>
      </c>
      <c r="F440" s="154">
        <v>1000000</v>
      </c>
      <c r="G440" s="154"/>
      <c r="H440" s="154"/>
      <c r="I440" s="154"/>
      <c r="J440" s="155">
        <f t="shared" si="31"/>
        <v>0</v>
      </c>
      <c r="K440" s="159"/>
      <c r="L440" s="154"/>
      <c r="M440" s="154"/>
      <c r="N440" s="154"/>
      <c r="O440" s="154"/>
      <c r="P440" s="157">
        <f t="shared" si="30"/>
        <v>1000000</v>
      </c>
      <c r="Q440" s="223"/>
      <c r="R440" s="115"/>
      <c r="S440" s="115"/>
      <c r="T440" s="115"/>
    </row>
    <row r="441" spans="1:20" s="26" customFormat="1" ht="22.5" customHeight="1" hidden="1">
      <c r="A441" s="68" t="s">
        <v>379</v>
      </c>
      <c r="B441" s="76" t="s">
        <v>33</v>
      </c>
      <c r="C441" s="75" t="s">
        <v>26</v>
      </c>
      <c r="D441" s="7" t="s">
        <v>34</v>
      </c>
      <c r="E441" s="153">
        <f t="shared" si="28"/>
        <v>0</v>
      </c>
      <c r="F441" s="154"/>
      <c r="G441" s="154"/>
      <c r="H441" s="154"/>
      <c r="I441" s="154"/>
      <c r="J441" s="155">
        <f t="shared" si="31"/>
        <v>0</v>
      </c>
      <c r="K441" s="159"/>
      <c r="L441" s="154"/>
      <c r="M441" s="154"/>
      <c r="N441" s="154"/>
      <c r="O441" s="154"/>
      <c r="P441" s="157">
        <f t="shared" si="30"/>
        <v>0</v>
      </c>
      <c r="Q441" s="223"/>
      <c r="R441" s="115"/>
      <c r="S441" s="115"/>
      <c r="T441" s="115"/>
    </row>
    <row r="442" spans="1:20" s="26" customFormat="1" ht="29.25" customHeight="1">
      <c r="A442" s="75" t="s">
        <v>139</v>
      </c>
      <c r="B442" s="76" t="s">
        <v>141</v>
      </c>
      <c r="C442" s="75" t="s">
        <v>140</v>
      </c>
      <c r="D442" s="7" t="s">
        <v>142</v>
      </c>
      <c r="E442" s="153">
        <f t="shared" si="28"/>
        <v>10700</v>
      </c>
      <c r="F442" s="154">
        <v>10700</v>
      </c>
      <c r="G442" s="154"/>
      <c r="H442" s="154"/>
      <c r="I442" s="154"/>
      <c r="J442" s="155">
        <f t="shared" si="31"/>
        <v>0</v>
      </c>
      <c r="K442" s="159"/>
      <c r="L442" s="154"/>
      <c r="M442" s="154"/>
      <c r="N442" s="154"/>
      <c r="O442" s="154"/>
      <c r="P442" s="157">
        <f t="shared" si="30"/>
        <v>10700</v>
      </c>
      <c r="Q442" s="223"/>
      <c r="R442" s="115"/>
      <c r="S442" s="115"/>
      <c r="T442" s="115"/>
    </row>
    <row r="443" spans="1:20" s="26" customFormat="1" ht="19.5" customHeight="1" hidden="1">
      <c r="A443" s="75" t="s">
        <v>143</v>
      </c>
      <c r="B443" s="76" t="s">
        <v>571</v>
      </c>
      <c r="C443" s="75" t="s">
        <v>570</v>
      </c>
      <c r="D443" s="7" t="s">
        <v>572</v>
      </c>
      <c r="E443" s="153">
        <f t="shared" si="28"/>
        <v>0</v>
      </c>
      <c r="F443" s="154"/>
      <c r="G443" s="154"/>
      <c r="H443" s="154"/>
      <c r="I443" s="154"/>
      <c r="J443" s="155">
        <f t="shared" si="31"/>
        <v>0</v>
      </c>
      <c r="K443" s="159"/>
      <c r="L443" s="154"/>
      <c r="M443" s="154"/>
      <c r="N443" s="154"/>
      <c r="O443" s="154"/>
      <c r="P443" s="157">
        <f t="shared" si="30"/>
        <v>0</v>
      </c>
      <c r="Q443" s="223"/>
      <c r="R443" s="115"/>
      <c r="S443" s="115"/>
      <c r="T443" s="115"/>
    </row>
    <row r="444" spans="1:20" s="29" customFormat="1" ht="26.25" customHeight="1">
      <c r="A444" s="69" t="s">
        <v>144</v>
      </c>
      <c r="B444" s="70"/>
      <c r="C444" s="71"/>
      <c r="D444" s="5" t="s">
        <v>145</v>
      </c>
      <c r="E444" s="148">
        <f>F444+I444+E452</f>
        <v>37445352.72</v>
      </c>
      <c r="F444" s="148">
        <f>F445</f>
        <v>27345352.72</v>
      </c>
      <c r="G444" s="148">
        <f>G445</f>
        <v>4634150</v>
      </c>
      <c r="H444" s="148">
        <f>H445</f>
        <v>211822</v>
      </c>
      <c r="I444" s="148">
        <f>I445</f>
        <v>100000</v>
      </c>
      <c r="J444" s="148">
        <f t="shared" si="31"/>
        <v>1145515</v>
      </c>
      <c r="K444" s="148">
        <f>K445</f>
        <v>1145515</v>
      </c>
      <c r="L444" s="148">
        <f>L445</f>
        <v>0</v>
      </c>
      <c r="M444" s="148">
        <f>M445</f>
        <v>0</v>
      </c>
      <c r="N444" s="148">
        <f>N445</f>
        <v>0</v>
      </c>
      <c r="O444" s="148">
        <f>O445</f>
        <v>1145515</v>
      </c>
      <c r="P444" s="149">
        <f t="shared" si="30"/>
        <v>38590867.72</v>
      </c>
      <c r="Q444" s="223"/>
      <c r="R444" s="118"/>
      <c r="S444" s="118"/>
      <c r="T444" s="118"/>
    </row>
    <row r="445" spans="1:20" s="30" customFormat="1" ht="23.25" customHeight="1">
      <c r="A445" s="72" t="s">
        <v>146</v>
      </c>
      <c r="B445" s="73"/>
      <c r="C445" s="74"/>
      <c r="D445" s="9" t="s">
        <v>214</v>
      </c>
      <c r="E445" s="150">
        <f>F445+I445</f>
        <v>27445352.72</v>
      </c>
      <c r="F445" s="150">
        <f>F446+F447+F448+F451+F452+F454+F455+F457+F460+F453</f>
        <v>27345352.72</v>
      </c>
      <c r="G445" s="150">
        <f>G446+G447+G448+G451+G452+G454+G455+G457+G460+G453</f>
        <v>4634150</v>
      </c>
      <c r="H445" s="150">
        <f>H446+H447+H448+H451+H452+H454+H455+H457+H460+H453</f>
        <v>211822</v>
      </c>
      <c r="I445" s="150">
        <f>I446+I447+I448+I451+I452+I454+I455+I457+I460+I453</f>
        <v>100000</v>
      </c>
      <c r="J445" s="151">
        <f>L445+O445</f>
        <v>1145515</v>
      </c>
      <c r="K445" s="150">
        <f>K446+K447+K448+K451+K452+K454+K455+K457+K460+K453</f>
        <v>1145515</v>
      </c>
      <c r="L445" s="150">
        <f>L446+L447+L448+L451+L452+L454+L455+L457+L460+L453</f>
        <v>0</v>
      </c>
      <c r="M445" s="150">
        <f>M446+M447+M448+M451+M452+M454+M455+M457+M460+M453</f>
        <v>0</v>
      </c>
      <c r="N445" s="150">
        <f>N446+N447+N448+N451+N452+N454+N455+N457+N460+N453</f>
        <v>0</v>
      </c>
      <c r="O445" s="150">
        <f>O446+O447+O448+O451+O452+O454+O455+O457+O460+O453</f>
        <v>1145515</v>
      </c>
      <c r="P445" s="152">
        <f>E445+J445</f>
        <v>28590867.72</v>
      </c>
      <c r="Q445" s="223"/>
      <c r="R445" s="119"/>
      <c r="S445" s="119"/>
      <c r="T445" s="119"/>
    </row>
    <row r="446" spans="1:20" s="26" customFormat="1" ht="26.25">
      <c r="A446" s="75" t="s">
        <v>147</v>
      </c>
      <c r="B446" s="76" t="s">
        <v>464</v>
      </c>
      <c r="C446" s="75" t="s">
        <v>449</v>
      </c>
      <c r="D446" s="7" t="s">
        <v>465</v>
      </c>
      <c r="E446" s="153">
        <f aca="true" t="shared" si="33" ref="E446:E486">F446+I446</f>
        <v>6433178</v>
      </c>
      <c r="F446" s="154">
        <f>6433178</f>
        <v>6433178</v>
      </c>
      <c r="G446" s="154">
        <v>4634150</v>
      </c>
      <c r="H446" s="154">
        <v>211822</v>
      </c>
      <c r="I446" s="154"/>
      <c r="J446" s="155">
        <f t="shared" si="31"/>
        <v>600000</v>
      </c>
      <c r="K446" s="159">
        <v>600000</v>
      </c>
      <c r="L446" s="154"/>
      <c r="M446" s="154"/>
      <c r="N446" s="154"/>
      <c r="O446" s="154">
        <v>600000</v>
      </c>
      <c r="P446" s="157">
        <f t="shared" si="30"/>
        <v>7033178</v>
      </c>
      <c r="Q446" s="223"/>
      <c r="R446" s="115"/>
      <c r="S446" s="115"/>
      <c r="T446" s="115"/>
    </row>
    <row r="447" spans="1:20" s="26" customFormat="1" ht="18" customHeight="1">
      <c r="A447" s="75" t="s">
        <v>148</v>
      </c>
      <c r="B447" s="76" t="s">
        <v>454</v>
      </c>
      <c r="C447" s="75" t="s">
        <v>453</v>
      </c>
      <c r="D447" s="7" t="s">
        <v>455</v>
      </c>
      <c r="E447" s="153">
        <f t="shared" si="33"/>
        <v>144728</v>
      </c>
      <c r="F447" s="154">
        <f>140800+3928</f>
        <v>144728</v>
      </c>
      <c r="G447" s="154">
        <v>0</v>
      </c>
      <c r="H447" s="154">
        <v>0</v>
      </c>
      <c r="I447" s="154">
        <v>0</v>
      </c>
      <c r="J447" s="155">
        <f t="shared" si="31"/>
        <v>0</v>
      </c>
      <c r="K447" s="159"/>
      <c r="L447" s="154">
        <v>0</v>
      </c>
      <c r="M447" s="154">
        <v>0</v>
      </c>
      <c r="N447" s="154">
        <v>0</v>
      </c>
      <c r="O447" s="154">
        <v>0</v>
      </c>
      <c r="P447" s="157">
        <f t="shared" si="30"/>
        <v>144728</v>
      </c>
      <c r="Q447" s="223"/>
      <c r="R447" s="115"/>
      <c r="S447" s="115"/>
      <c r="T447" s="115"/>
    </row>
    <row r="448" spans="1:20" s="32" customFormat="1" ht="18" customHeight="1" hidden="1">
      <c r="A448" s="81" t="s">
        <v>149</v>
      </c>
      <c r="B448" s="82" t="s">
        <v>90</v>
      </c>
      <c r="C448" s="81"/>
      <c r="D448" s="13" t="s">
        <v>91</v>
      </c>
      <c r="E448" s="166">
        <f>F448+I448</f>
        <v>13718933.72</v>
      </c>
      <c r="F448" s="166">
        <f>F449</f>
        <v>13718933.72</v>
      </c>
      <c r="G448" s="166">
        <f>G449</f>
        <v>0</v>
      </c>
      <c r="H448" s="166">
        <f>H449</f>
        <v>0</v>
      </c>
      <c r="I448" s="166">
        <f>I449</f>
        <v>0</v>
      </c>
      <c r="J448" s="166">
        <f t="shared" si="31"/>
        <v>0</v>
      </c>
      <c r="K448" s="166">
        <f>K449</f>
        <v>0</v>
      </c>
      <c r="L448" s="166">
        <f>L449</f>
        <v>0</v>
      </c>
      <c r="M448" s="166">
        <f>M449</f>
        <v>0</v>
      </c>
      <c r="N448" s="166">
        <f>N449</f>
        <v>0</v>
      </c>
      <c r="O448" s="166">
        <f>O449</f>
        <v>0</v>
      </c>
      <c r="P448" s="167">
        <f t="shared" si="30"/>
        <v>13718933.72</v>
      </c>
      <c r="Q448" s="223"/>
      <c r="R448" s="122"/>
      <c r="S448" s="122"/>
      <c r="T448" s="122"/>
    </row>
    <row r="449" spans="1:20" s="26" customFormat="1" ht="24.75" customHeight="1">
      <c r="A449" s="75" t="s">
        <v>150</v>
      </c>
      <c r="B449" s="76" t="s">
        <v>93</v>
      </c>
      <c r="C449" s="75" t="s">
        <v>570</v>
      </c>
      <c r="D449" s="7" t="s">
        <v>94</v>
      </c>
      <c r="E449" s="153">
        <f>F449+I449</f>
        <v>13718933.72</v>
      </c>
      <c r="F449" s="154">
        <f>F450+50000</f>
        <v>13718933.72</v>
      </c>
      <c r="G449" s="154"/>
      <c r="H449" s="154"/>
      <c r="I449" s="154"/>
      <c r="J449" s="155">
        <f t="shared" si="31"/>
        <v>0</v>
      </c>
      <c r="K449" s="159"/>
      <c r="L449" s="154"/>
      <c r="M449" s="154"/>
      <c r="N449" s="154"/>
      <c r="O449" s="154"/>
      <c r="P449" s="157">
        <f>E449+J449</f>
        <v>13718933.72</v>
      </c>
      <c r="Q449" s="223"/>
      <c r="R449" s="115"/>
      <c r="S449" s="115"/>
      <c r="T449" s="115"/>
    </row>
    <row r="450" spans="1:20" s="31" customFormat="1" ht="44.25" customHeight="1">
      <c r="A450" s="79"/>
      <c r="B450" s="80"/>
      <c r="C450" s="79"/>
      <c r="D450" s="10" t="s">
        <v>403</v>
      </c>
      <c r="E450" s="162">
        <f t="shared" si="33"/>
        <v>13668933.72</v>
      </c>
      <c r="F450" s="163">
        <f>14700000-1031066.28</f>
        <v>13668933.72</v>
      </c>
      <c r="G450" s="163"/>
      <c r="H450" s="163"/>
      <c r="I450" s="163"/>
      <c r="J450" s="190">
        <f t="shared" si="31"/>
        <v>0</v>
      </c>
      <c r="K450" s="164"/>
      <c r="L450" s="163"/>
      <c r="M450" s="163"/>
      <c r="N450" s="163"/>
      <c r="O450" s="163"/>
      <c r="P450" s="165">
        <f t="shared" si="30"/>
        <v>13668933.72</v>
      </c>
      <c r="Q450" s="223"/>
      <c r="R450" s="121"/>
      <c r="S450" s="121"/>
      <c r="T450" s="121"/>
    </row>
    <row r="451" spans="1:20" s="26" customFormat="1" ht="30.75" customHeight="1">
      <c r="A451" s="75" t="s">
        <v>151</v>
      </c>
      <c r="B451" s="76" t="s">
        <v>153</v>
      </c>
      <c r="C451" s="75" t="s">
        <v>152</v>
      </c>
      <c r="D451" s="7" t="s">
        <v>154</v>
      </c>
      <c r="E451" s="153">
        <f>F451+I451</f>
        <v>373028</v>
      </c>
      <c r="F451" s="154">
        <v>373028</v>
      </c>
      <c r="G451" s="154"/>
      <c r="H451" s="154"/>
      <c r="I451" s="154"/>
      <c r="J451" s="155">
        <f t="shared" si="31"/>
        <v>0</v>
      </c>
      <c r="K451" s="159"/>
      <c r="L451" s="154"/>
      <c r="M451" s="154"/>
      <c r="N451" s="154"/>
      <c r="O451" s="154"/>
      <c r="P451" s="157">
        <f t="shared" si="30"/>
        <v>373028</v>
      </c>
      <c r="Q451" s="223"/>
      <c r="R451" s="115"/>
      <c r="S451" s="115"/>
      <c r="T451" s="115"/>
    </row>
    <row r="452" spans="1:20" s="26" customFormat="1" ht="24" customHeight="1">
      <c r="A452" s="75" t="s">
        <v>155</v>
      </c>
      <c r="B452" s="76" t="s">
        <v>156</v>
      </c>
      <c r="C452" s="75" t="s">
        <v>453</v>
      </c>
      <c r="D452" s="7" t="s">
        <v>157</v>
      </c>
      <c r="E452" s="153">
        <v>10000000</v>
      </c>
      <c r="F452" s="154"/>
      <c r="G452" s="154"/>
      <c r="H452" s="154"/>
      <c r="I452" s="154"/>
      <c r="J452" s="155">
        <f t="shared" si="31"/>
        <v>0</v>
      </c>
      <c r="K452" s="159"/>
      <c r="L452" s="154"/>
      <c r="M452" s="154"/>
      <c r="N452" s="154"/>
      <c r="O452" s="154"/>
      <c r="P452" s="157">
        <f t="shared" si="30"/>
        <v>10000000</v>
      </c>
      <c r="Q452" s="223"/>
      <c r="R452" s="115"/>
      <c r="S452" s="115"/>
      <c r="T452" s="115"/>
    </row>
    <row r="453" spans="1:20" s="26" customFormat="1" ht="42.75" customHeight="1">
      <c r="A453" s="68" t="s">
        <v>414</v>
      </c>
      <c r="B453" s="76">
        <v>8872</v>
      </c>
      <c r="C453" s="68" t="s">
        <v>570</v>
      </c>
      <c r="D453" s="12" t="s">
        <v>399</v>
      </c>
      <c r="E453" s="153">
        <f>F453+I453</f>
        <v>0</v>
      </c>
      <c r="F453" s="154"/>
      <c r="G453" s="154"/>
      <c r="H453" s="154"/>
      <c r="I453" s="154"/>
      <c r="J453" s="155">
        <f t="shared" si="31"/>
        <v>0</v>
      </c>
      <c r="K453" s="159">
        <f>2950000-2950000</f>
        <v>0</v>
      </c>
      <c r="L453" s="154"/>
      <c r="M453" s="154"/>
      <c r="N453" s="154"/>
      <c r="O453" s="154">
        <f>2950000-2950000</f>
        <v>0</v>
      </c>
      <c r="P453" s="157">
        <f t="shared" si="30"/>
        <v>0</v>
      </c>
      <c r="Q453" s="223"/>
      <c r="R453" s="115"/>
      <c r="S453" s="115"/>
      <c r="T453" s="115"/>
    </row>
    <row r="454" spans="1:20" s="26" customFormat="1" ht="30" customHeight="1">
      <c r="A454" s="68" t="s">
        <v>390</v>
      </c>
      <c r="B454" s="76">
        <v>9150</v>
      </c>
      <c r="C454" s="68" t="s">
        <v>454</v>
      </c>
      <c r="D454" s="12" t="s">
        <v>391</v>
      </c>
      <c r="E454" s="153">
        <f>F454+I454</f>
        <v>1000000</v>
      </c>
      <c r="F454" s="154">
        <v>1000000</v>
      </c>
      <c r="G454" s="154"/>
      <c r="H454" s="154"/>
      <c r="I454" s="154"/>
      <c r="J454" s="155">
        <f t="shared" si="31"/>
        <v>0</v>
      </c>
      <c r="K454" s="159"/>
      <c r="L454" s="154"/>
      <c r="M454" s="154"/>
      <c r="N454" s="154"/>
      <c r="O454" s="154"/>
      <c r="P454" s="157">
        <f t="shared" si="30"/>
        <v>1000000</v>
      </c>
      <c r="Q454" s="223"/>
      <c r="R454" s="115"/>
      <c r="S454" s="115"/>
      <c r="T454" s="115"/>
    </row>
    <row r="455" spans="1:18" s="282" customFormat="1" ht="54" customHeight="1">
      <c r="A455" s="68" t="s">
        <v>203</v>
      </c>
      <c r="B455" s="76">
        <v>9510</v>
      </c>
      <c r="C455" s="68" t="s">
        <v>454</v>
      </c>
      <c r="D455" s="280" t="s">
        <v>204</v>
      </c>
      <c r="E455" s="153">
        <f>F455+I455</f>
        <v>100000</v>
      </c>
      <c r="F455" s="154"/>
      <c r="G455" s="154"/>
      <c r="H455" s="154"/>
      <c r="I455" s="154">
        <v>100000</v>
      </c>
      <c r="J455" s="153">
        <f>K455+N455</f>
        <v>0</v>
      </c>
      <c r="K455" s="154"/>
      <c r="L455" s="154"/>
      <c r="M455" s="154"/>
      <c r="N455" s="154"/>
      <c r="O455" s="154"/>
      <c r="P455" s="153">
        <f t="shared" si="30"/>
        <v>100000</v>
      </c>
      <c r="Q455" s="281"/>
      <c r="R455" s="281"/>
    </row>
    <row r="456" spans="1:18" s="272" customFormat="1" ht="45" customHeight="1">
      <c r="A456" s="267"/>
      <c r="B456" s="268"/>
      <c r="C456" s="267"/>
      <c r="D456" s="147" t="s">
        <v>380</v>
      </c>
      <c r="E456" s="269">
        <f>F456+I456</f>
        <v>100000</v>
      </c>
      <c r="F456" s="270"/>
      <c r="G456" s="270"/>
      <c r="H456" s="270"/>
      <c r="I456" s="270">
        <v>100000</v>
      </c>
      <c r="J456" s="269">
        <f>K456+N456</f>
        <v>0</v>
      </c>
      <c r="K456" s="270"/>
      <c r="L456" s="270"/>
      <c r="M456" s="270"/>
      <c r="N456" s="270"/>
      <c r="O456" s="270"/>
      <c r="P456" s="269">
        <f t="shared" si="30"/>
        <v>100000</v>
      </c>
      <c r="Q456" s="271"/>
      <c r="R456" s="271"/>
    </row>
    <row r="457" spans="1:20" s="26" customFormat="1" ht="22.5" customHeight="1">
      <c r="A457" s="75" t="s">
        <v>342</v>
      </c>
      <c r="B457" s="76" t="s">
        <v>55</v>
      </c>
      <c r="C457" s="75" t="s">
        <v>454</v>
      </c>
      <c r="D457" s="7" t="s">
        <v>56</v>
      </c>
      <c r="E457" s="153">
        <f>F457</f>
        <v>2021000</v>
      </c>
      <c r="F457" s="154">
        <f>F458+F459</f>
        <v>2021000</v>
      </c>
      <c r="G457" s="154"/>
      <c r="H457" s="154"/>
      <c r="I457" s="154"/>
      <c r="J457" s="155">
        <f t="shared" si="31"/>
        <v>0</v>
      </c>
      <c r="K457" s="159"/>
      <c r="L457" s="154"/>
      <c r="M457" s="154"/>
      <c r="N457" s="154"/>
      <c r="O457" s="154"/>
      <c r="P457" s="157">
        <f>E457+J457</f>
        <v>2021000</v>
      </c>
      <c r="Q457" s="223"/>
      <c r="R457" s="115"/>
      <c r="S457" s="115"/>
      <c r="T457" s="115"/>
    </row>
    <row r="458" spans="1:20" s="31" customFormat="1" ht="29.25" customHeight="1">
      <c r="A458" s="79"/>
      <c r="B458" s="80"/>
      <c r="C458" s="79"/>
      <c r="D458" s="10" t="s">
        <v>410</v>
      </c>
      <c r="E458" s="162">
        <f>F458+I458</f>
        <v>1971000</v>
      </c>
      <c r="F458" s="163">
        <f>2705000+20000-515000-35000-204000</f>
        <v>1971000</v>
      </c>
      <c r="G458" s="163"/>
      <c r="H458" s="163"/>
      <c r="I458" s="163"/>
      <c r="J458" s="190">
        <f>L458+O458</f>
        <v>0</v>
      </c>
      <c r="K458" s="164"/>
      <c r="L458" s="163"/>
      <c r="M458" s="163"/>
      <c r="N458" s="163"/>
      <c r="O458" s="163"/>
      <c r="P458" s="165">
        <f>E458+J458</f>
        <v>1971000</v>
      </c>
      <c r="Q458" s="223"/>
      <c r="R458" s="121"/>
      <c r="S458" s="121"/>
      <c r="T458" s="121"/>
    </row>
    <row r="459" spans="1:20" s="31" customFormat="1" ht="49.5" customHeight="1">
      <c r="A459" s="79"/>
      <c r="B459" s="80"/>
      <c r="C459" s="79"/>
      <c r="D459" s="10" t="s">
        <v>276</v>
      </c>
      <c r="E459" s="162">
        <f>F459+I459</f>
        <v>50000</v>
      </c>
      <c r="F459" s="163">
        <v>50000</v>
      </c>
      <c r="G459" s="163"/>
      <c r="H459" s="163"/>
      <c r="I459" s="163"/>
      <c r="J459" s="190">
        <f>L459+O459</f>
        <v>0</v>
      </c>
      <c r="K459" s="164"/>
      <c r="L459" s="163"/>
      <c r="M459" s="163"/>
      <c r="N459" s="163"/>
      <c r="O459" s="163"/>
      <c r="P459" s="165">
        <f>E459+J459</f>
        <v>50000</v>
      </c>
      <c r="Q459" s="223"/>
      <c r="R459" s="121"/>
      <c r="S459" s="121"/>
      <c r="T459" s="121"/>
    </row>
    <row r="460" spans="1:20" s="26" customFormat="1" ht="41.25" customHeight="1">
      <c r="A460" s="75" t="s">
        <v>340</v>
      </c>
      <c r="B460" s="76">
        <v>9800</v>
      </c>
      <c r="C460" s="75" t="s">
        <v>454</v>
      </c>
      <c r="D460" s="7" t="s">
        <v>341</v>
      </c>
      <c r="E460" s="153">
        <f>F460+I460</f>
        <v>3654485</v>
      </c>
      <c r="F460" s="156">
        <f>0+3654485</f>
        <v>3654485</v>
      </c>
      <c r="G460" s="154"/>
      <c r="H460" s="154"/>
      <c r="I460" s="154"/>
      <c r="J460" s="155">
        <f t="shared" si="31"/>
        <v>545515</v>
      </c>
      <c r="K460" s="159">
        <f>0+545515</f>
        <v>545515</v>
      </c>
      <c r="L460" s="154"/>
      <c r="M460" s="154"/>
      <c r="N460" s="154"/>
      <c r="O460" s="159">
        <f>0+545515</f>
        <v>545515</v>
      </c>
      <c r="P460" s="157">
        <f aca="true" t="shared" si="34" ref="P460:P471">E460+J460</f>
        <v>4200000</v>
      </c>
      <c r="Q460" s="223"/>
      <c r="R460" s="115"/>
      <c r="S460" s="115"/>
      <c r="T460" s="115"/>
    </row>
    <row r="461" spans="1:20" s="29" customFormat="1" ht="33.75" customHeight="1">
      <c r="A461" s="69" t="s">
        <v>158</v>
      </c>
      <c r="B461" s="70"/>
      <c r="C461" s="71"/>
      <c r="D461" s="5" t="s">
        <v>159</v>
      </c>
      <c r="E461" s="148">
        <f t="shared" si="33"/>
        <v>13322616</v>
      </c>
      <c r="F461" s="148">
        <f>F462</f>
        <v>13322616</v>
      </c>
      <c r="G461" s="148">
        <f>G462</f>
        <v>5262044</v>
      </c>
      <c r="H461" s="148">
        <f>H462</f>
        <v>948585</v>
      </c>
      <c r="I461" s="148">
        <f>I462</f>
        <v>0</v>
      </c>
      <c r="J461" s="148">
        <f t="shared" si="31"/>
        <v>425500</v>
      </c>
      <c r="K461" s="148">
        <f>K462</f>
        <v>420500</v>
      </c>
      <c r="L461" s="148">
        <f>L462</f>
        <v>5000</v>
      </c>
      <c r="M461" s="148">
        <f>M462</f>
        <v>0</v>
      </c>
      <c r="N461" s="148">
        <f>N462</f>
        <v>0</v>
      </c>
      <c r="O461" s="148">
        <f>O462</f>
        <v>420500</v>
      </c>
      <c r="P461" s="149">
        <f t="shared" si="34"/>
        <v>13748116</v>
      </c>
      <c r="Q461" s="223"/>
      <c r="R461" s="118"/>
      <c r="S461" s="118"/>
      <c r="T461" s="118"/>
    </row>
    <row r="462" spans="1:20" s="30" customFormat="1" ht="27.75" customHeight="1">
      <c r="A462" s="72" t="s">
        <v>160</v>
      </c>
      <c r="B462" s="73"/>
      <c r="C462" s="74"/>
      <c r="D462" s="6" t="s">
        <v>215</v>
      </c>
      <c r="E462" s="150">
        <f>F462+I462</f>
        <v>13322616</v>
      </c>
      <c r="F462" s="150">
        <f>F463+F465+F467+F468+F469+F470</f>
        <v>13322616</v>
      </c>
      <c r="G462" s="150">
        <f>G463+G465+G467+G468+G469+G470</f>
        <v>5262044</v>
      </c>
      <c r="H462" s="150">
        <f>H463+H465+H467+H468+H469+H470</f>
        <v>948585</v>
      </c>
      <c r="I462" s="150">
        <f>I463+I465+I467+I468+I469+I470</f>
        <v>0</v>
      </c>
      <c r="J462" s="151">
        <f t="shared" si="31"/>
        <v>425500</v>
      </c>
      <c r="K462" s="150">
        <f>K463+K465+K467+K468+K469+K470</f>
        <v>420500</v>
      </c>
      <c r="L462" s="150">
        <f>L463+L465+L467+L468+L469+L470</f>
        <v>5000</v>
      </c>
      <c r="M462" s="150">
        <f>M463+M465+M467+M468+M469+M470</f>
        <v>0</v>
      </c>
      <c r="N462" s="150">
        <f>N463+N465+N467+N468+N469+N470</f>
        <v>0</v>
      </c>
      <c r="O462" s="150">
        <f>O463+O465+O467+O468+O469+O470</f>
        <v>420500</v>
      </c>
      <c r="P462" s="152">
        <f t="shared" si="34"/>
        <v>13748116</v>
      </c>
      <c r="Q462" s="223"/>
      <c r="R462" s="119"/>
      <c r="S462" s="119"/>
      <c r="T462" s="119"/>
    </row>
    <row r="463" spans="1:20" s="26" customFormat="1" ht="48" customHeight="1">
      <c r="A463" s="75" t="s">
        <v>161</v>
      </c>
      <c r="B463" s="76" t="s">
        <v>464</v>
      </c>
      <c r="C463" s="75" t="s">
        <v>449</v>
      </c>
      <c r="D463" s="7" t="s">
        <v>465</v>
      </c>
      <c r="E463" s="153">
        <f>F463+I463</f>
        <v>7889297</v>
      </c>
      <c r="F463" s="154">
        <v>7889297</v>
      </c>
      <c r="G463" s="154">
        <v>5229011</v>
      </c>
      <c r="H463" s="154">
        <v>948585</v>
      </c>
      <c r="I463" s="154"/>
      <c r="J463" s="155">
        <f aca="true" t="shared" si="35" ref="J463:J493">L463+O463</f>
        <v>5000</v>
      </c>
      <c r="K463" s="159"/>
      <c r="L463" s="154">
        <v>5000</v>
      </c>
      <c r="M463" s="154"/>
      <c r="N463" s="154"/>
      <c r="O463" s="154"/>
      <c r="P463" s="157">
        <f t="shared" si="34"/>
        <v>7894297</v>
      </c>
      <c r="Q463" s="223"/>
      <c r="R463" s="115"/>
      <c r="S463" s="115"/>
      <c r="T463" s="115"/>
    </row>
    <row r="464" spans="1:20" s="26" customFormat="1" ht="30.75" customHeight="1" hidden="1">
      <c r="A464" s="68" t="s">
        <v>436</v>
      </c>
      <c r="B464" s="68" t="s">
        <v>152</v>
      </c>
      <c r="C464" s="68" t="s">
        <v>326</v>
      </c>
      <c r="D464" s="12" t="s">
        <v>327</v>
      </c>
      <c r="E464" s="153">
        <f t="shared" si="33"/>
        <v>0</v>
      </c>
      <c r="F464" s="154"/>
      <c r="G464" s="154"/>
      <c r="H464" s="154"/>
      <c r="I464" s="154"/>
      <c r="J464" s="155">
        <f t="shared" si="35"/>
        <v>0</v>
      </c>
      <c r="K464" s="159"/>
      <c r="L464" s="154"/>
      <c r="M464" s="154"/>
      <c r="N464" s="154"/>
      <c r="O464" s="154"/>
      <c r="P464" s="157">
        <f t="shared" si="34"/>
        <v>0</v>
      </c>
      <c r="Q464" s="223"/>
      <c r="R464" s="115"/>
      <c r="S464" s="115"/>
      <c r="T464" s="115"/>
    </row>
    <row r="465" spans="1:20" s="26" customFormat="1" ht="30.75" customHeight="1">
      <c r="A465" s="75" t="s">
        <v>162</v>
      </c>
      <c r="B465" s="76" t="s">
        <v>454</v>
      </c>
      <c r="C465" s="75" t="s">
        <v>453</v>
      </c>
      <c r="D465" s="7" t="s">
        <v>455</v>
      </c>
      <c r="E465" s="153">
        <f t="shared" si="33"/>
        <v>1174419</v>
      </c>
      <c r="F465" s="154">
        <v>1174419</v>
      </c>
      <c r="G465" s="154"/>
      <c r="H465" s="154"/>
      <c r="I465" s="154"/>
      <c r="J465" s="155">
        <f t="shared" si="35"/>
        <v>0</v>
      </c>
      <c r="K465" s="159"/>
      <c r="L465" s="154"/>
      <c r="M465" s="154"/>
      <c r="N465" s="154"/>
      <c r="O465" s="154"/>
      <c r="P465" s="157">
        <f t="shared" si="34"/>
        <v>1174419</v>
      </c>
      <c r="Q465" s="223"/>
      <c r="R465" s="115"/>
      <c r="S465" s="115"/>
      <c r="T465" s="115"/>
    </row>
    <row r="466" spans="1:20" s="32" customFormat="1" ht="33.75" customHeight="1" hidden="1">
      <c r="A466" s="106" t="s">
        <v>424</v>
      </c>
      <c r="B466" s="106"/>
      <c r="C466" s="106" t="s">
        <v>496</v>
      </c>
      <c r="D466" s="25" t="s">
        <v>497</v>
      </c>
      <c r="E466" s="166">
        <f>E467</f>
        <v>1000000</v>
      </c>
      <c r="F466" s="166">
        <f aca="true" t="shared" si="36" ref="F466:P466">F467</f>
        <v>1000000</v>
      </c>
      <c r="G466" s="166">
        <f t="shared" si="36"/>
        <v>0</v>
      </c>
      <c r="H466" s="166">
        <f t="shared" si="36"/>
        <v>0</v>
      </c>
      <c r="I466" s="166">
        <f t="shared" si="36"/>
        <v>0</v>
      </c>
      <c r="J466" s="166">
        <f t="shared" si="35"/>
        <v>0</v>
      </c>
      <c r="K466" s="166">
        <f t="shared" si="36"/>
        <v>0</v>
      </c>
      <c r="L466" s="166">
        <f t="shared" si="36"/>
        <v>0</v>
      </c>
      <c r="M466" s="166">
        <f t="shared" si="36"/>
        <v>0</v>
      </c>
      <c r="N466" s="166">
        <f t="shared" si="36"/>
        <v>0</v>
      </c>
      <c r="O466" s="166">
        <f t="shared" si="36"/>
        <v>0</v>
      </c>
      <c r="P466" s="167">
        <f t="shared" si="36"/>
        <v>1000000</v>
      </c>
      <c r="Q466" s="223"/>
      <c r="R466" s="122"/>
      <c r="S466" s="122"/>
      <c r="T466" s="122"/>
    </row>
    <row r="467" spans="1:20" s="26" customFormat="1" ht="27" customHeight="1">
      <c r="A467" s="107">
        <v>4113133</v>
      </c>
      <c r="B467" s="107" t="s">
        <v>404</v>
      </c>
      <c r="C467" s="107" t="s">
        <v>483</v>
      </c>
      <c r="D467" s="266" t="s">
        <v>425</v>
      </c>
      <c r="E467" s="153">
        <f t="shared" si="33"/>
        <v>1000000</v>
      </c>
      <c r="F467" s="154">
        <v>1000000</v>
      </c>
      <c r="G467" s="154"/>
      <c r="H467" s="154"/>
      <c r="I467" s="154"/>
      <c r="J467" s="155">
        <f t="shared" si="35"/>
        <v>0</v>
      </c>
      <c r="K467" s="159"/>
      <c r="L467" s="154"/>
      <c r="M467" s="154"/>
      <c r="N467" s="154"/>
      <c r="O467" s="154"/>
      <c r="P467" s="157">
        <f t="shared" si="34"/>
        <v>1000000</v>
      </c>
      <c r="Q467" s="223"/>
      <c r="R467" s="115"/>
      <c r="S467" s="115"/>
      <c r="T467" s="115"/>
    </row>
    <row r="468" spans="1:20" s="26" customFormat="1" ht="27" customHeight="1">
      <c r="A468" s="75" t="s">
        <v>246</v>
      </c>
      <c r="B468" s="76" t="s">
        <v>247</v>
      </c>
      <c r="C468" s="75" t="s">
        <v>23</v>
      </c>
      <c r="D468" s="7" t="s">
        <v>24</v>
      </c>
      <c r="E468" s="153">
        <f t="shared" si="33"/>
        <v>40300</v>
      </c>
      <c r="F468" s="154">
        <v>40300</v>
      </c>
      <c r="G468" s="154">
        <v>33033</v>
      </c>
      <c r="H468" s="154"/>
      <c r="I468" s="154"/>
      <c r="J468" s="155">
        <f t="shared" si="35"/>
        <v>0</v>
      </c>
      <c r="K468" s="159"/>
      <c r="L468" s="154"/>
      <c r="M468" s="154"/>
      <c r="N468" s="154"/>
      <c r="O468" s="154"/>
      <c r="P468" s="157">
        <f t="shared" si="34"/>
        <v>40300</v>
      </c>
      <c r="Q468" s="223"/>
      <c r="R468" s="115"/>
      <c r="S468" s="115"/>
      <c r="T468" s="115"/>
    </row>
    <row r="469" spans="1:20" s="26" customFormat="1" ht="27.75" customHeight="1">
      <c r="A469" s="68" t="s">
        <v>356</v>
      </c>
      <c r="B469" s="76">
        <v>6017</v>
      </c>
      <c r="C469" s="68" t="s">
        <v>26</v>
      </c>
      <c r="D469" s="15" t="s">
        <v>219</v>
      </c>
      <c r="E469" s="153">
        <f t="shared" si="33"/>
        <v>0</v>
      </c>
      <c r="F469" s="154"/>
      <c r="G469" s="154"/>
      <c r="H469" s="154"/>
      <c r="I469" s="154"/>
      <c r="J469" s="155">
        <f t="shared" si="35"/>
        <v>0</v>
      </c>
      <c r="K469" s="159"/>
      <c r="L469" s="154"/>
      <c r="M469" s="154"/>
      <c r="N469" s="154"/>
      <c r="O469" s="156"/>
      <c r="P469" s="157">
        <f t="shared" si="34"/>
        <v>0</v>
      </c>
      <c r="Q469" s="223"/>
      <c r="R469" s="115"/>
      <c r="S469" s="115"/>
      <c r="T469" s="115"/>
    </row>
    <row r="470" spans="1:20" s="26" customFormat="1" ht="42.75" customHeight="1">
      <c r="A470" s="75" t="s">
        <v>163</v>
      </c>
      <c r="B470" s="76" t="s">
        <v>33</v>
      </c>
      <c r="C470" s="75" t="s">
        <v>26</v>
      </c>
      <c r="D470" s="7" t="s">
        <v>34</v>
      </c>
      <c r="E470" s="153">
        <f t="shared" si="33"/>
        <v>3218600</v>
      </c>
      <c r="F470" s="154">
        <v>3218600</v>
      </c>
      <c r="G470" s="154"/>
      <c r="H470" s="154"/>
      <c r="I470" s="154"/>
      <c r="J470" s="155">
        <f t="shared" si="35"/>
        <v>420500</v>
      </c>
      <c r="K470" s="159">
        <v>420500</v>
      </c>
      <c r="L470" s="154"/>
      <c r="M470" s="154"/>
      <c r="N470" s="154"/>
      <c r="O470" s="154">
        <v>420500</v>
      </c>
      <c r="P470" s="157">
        <f t="shared" si="34"/>
        <v>3639100</v>
      </c>
      <c r="Q470" s="223"/>
      <c r="R470" s="115"/>
      <c r="S470" s="115"/>
      <c r="T470" s="115"/>
    </row>
    <row r="471" spans="1:20" s="29" customFormat="1" ht="30" customHeight="1">
      <c r="A471" s="69" t="s">
        <v>164</v>
      </c>
      <c r="B471" s="70"/>
      <c r="C471" s="71"/>
      <c r="D471" s="5" t="s">
        <v>159</v>
      </c>
      <c r="E471" s="148">
        <f t="shared" si="33"/>
        <v>12285065</v>
      </c>
      <c r="F471" s="148">
        <f>F472</f>
        <v>12285065</v>
      </c>
      <c r="G471" s="148">
        <f>G472</f>
        <v>5603666</v>
      </c>
      <c r="H471" s="148">
        <f>H472</f>
        <v>1610325</v>
      </c>
      <c r="I471" s="148">
        <f>I472</f>
        <v>0</v>
      </c>
      <c r="J471" s="148">
        <f t="shared" si="35"/>
        <v>339191.7</v>
      </c>
      <c r="K471" s="148">
        <f>K472</f>
        <v>197891.7</v>
      </c>
      <c r="L471" s="148">
        <f>L472</f>
        <v>141300</v>
      </c>
      <c r="M471" s="148">
        <f>M472</f>
        <v>0</v>
      </c>
      <c r="N471" s="148">
        <f>N472</f>
        <v>65800</v>
      </c>
      <c r="O471" s="148">
        <f>O472</f>
        <v>197891.7</v>
      </c>
      <c r="P471" s="149">
        <f t="shared" si="34"/>
        <v>12624256.7</v>
      </c>
      <c r="Q471" s="223"/>
      <c r="R471" s="118"/>
      <c r="S471" s="118"/>
      <c r="T471" s="118"/>
    </row>
    <row r="472" spans="1:20" s="30" customFormat="1" ht="34.5" customHeight="1">
      <c r="A472" s="72" t="s">
        <v>165</v>
      </c>
      <c r="B472" s="73"/>
      <c r="C472" s="74"/>
      <c r="D472" s="9" t="s">
        <v>216</v>
      </c>
      <c r="E472" s="150">
        <f t="shared" si="33"/>
        <v>12285065</v>
      </c>
      <c r="F472" s="150">
        <f>F473+F474+F475+F476+F477+F478</f>
        <v>12285065</v>
      </c>
      <c r="G472" s="150">
        <f>G473+G474+G475+G476+G477+G478</f>
        <v>5603666</v>
      </c>
      <c r="H472" s="150">
        <f>H473+H474+H475+H476+H477+H478</f>
        <v>1610325</v>
      </c>
      <c r="I472" s="150">
        <f>I473+I474+I475+I476+I477+I478</f>
        <v>0</v>
      </c>
      <c r="J472" s="151">
        <f t="shared" si="35"/>
        <v>339191.7</v>
      </c>
      <c r="K472" s="150">
        <f>K473+K474+K475+K476+K477+K478</f>
        <v>197891.7</v>
      </c>
      <c r="L472" s="150">
        <f>L473+L474+L475+L476+L477+L478</f>
        <v>141300</v>
      </c>
      <c r="M472" s="150">
        <f>M473+M474+M475+M476+M477+M478</f>
        <v>0</v>
      </c>
      <c r="N472" s="150">
        <f>N473+N474+N475+N476+N477+N478</f>
        <v>65800</v>
      </c>
      <c r="O472" s="150">
        <f>O473+O474+O475+O476+O477+O478</f>
        <v>197891.7</v>
      </c>
      <c r="P472" s="152">
        <f>E472+J472</f>
        <v>12624256.7</v>
      </c>
      <c r="Q472" s="223"/>
      <c r="R472" s="119"/>
      <c r="S472" s="119"/>
      <c r="T472" s="119"/>
    </row>
    <row r="473" spans="1:20" s="26" customFormat="1" ht="26.25">
      <c r="A473" s="75" t="s">
        <v>166</v>
      </c>
      <c r="B473" s="76" t="s">
        <v>464</v>
      </c>
      <c r="C473" s="75" t="s">
        <v>449</v>
      </c>
      <c r="D473" s="7" t="s">
        <v>465</v>
      </c>
      <c r="E473" s="153">
        <f t="shared" si="33"/>
        <v>8974951</v>
      </c>
      <c r="F473" s="154">
        <f>8983951-9000</f>
        <v>8974951</v>
      </c>
      <c r="G473" s="154">
        <v>5587846</v>
      </c>
      <c r="H473" s="154">
        <v>1610325</v>
      </c>
      <c r="I473" s="154"/>
      <c r="J473" s="155">
        <f t="shared" si="35"/>
        <v>141300</v>
      </c>
      <c r="K473" s="159"/>
      <c r="L473" s="154">
        <v>141300</v>
      </c>
      <c r="M473" s="154"/>
      <c r="N473" s="154">
        <v>65800</v>
      </c>
      <c r="O473" s="154"/>
      <c r="P473" s="157">
        <f aca="true" t="shared" si="37" ref="P473:P486">E473+J473</f>
        <v>9116251</v>
      </c>
      <c r="Q473" s="223"/>
      <c r="R473" s="115"/>
      <c r="S473" s="115"/>
      <c r="T473" s="115"/>
    </row>
    <row r="474" spans="1:20" s="26" customFormat="1" ht="31.5" customHeight="1">
      <c r="A474" s="68" t="s">
        <v>325</v>
      </c>
      <c r="B474" s="68" t="s">
        <v>152</v>
      </c>
      <c r="C474" s="68" t="s">
        <v>326</v>
      </c>
      <c r="D474" s="12" t="s">
        <v>327</v>
      </c>
      <c r="E474" s="153">
        <f t="shared" si="33"/>
        <v>3300</v>
      </c>
      <c r="F474" s="156">
        <v>3300</v>
      </c>
      <c r="G474" s="154"/>
      <c r="H474" s="154"/>
      <c r="I474" s="154"/>
      <c r="J474" s="155">
        <f t="shared" si="35"/>
        <v>0</v>
      </c>
      <c r="K474" s="159"/>
      <c r="L474" s="154"/>
      <c r="M474" s="154"/>
      <c r="N474" s="154"/>
      <c r="O474" s="154"/>
      <c r="P474" s="157">
        <f t="shared" si="37"/>
        <v>3300</v>
      </c>
      <c r="Q474" s="223"/>
      <c r="R474" s="115"/>
      <c r="S474" s="115"/>
      <c r="T474" s="115"/>
    </row>
    <row r="475" spans="1:20" s="26" customFormat="1" ht="24" customHeight="1">
      <c r="A475" s="75" t="s">
        <v>167</v>
      </c>
      <c r="B475" s="76" t="s">
        <v>454</v>
      </c>
      <c r="C475" s="75" t="s">
        <v>453</v>
      </c>
      <c r="D475" s="7" t="s">
        <v>455</v>
      </c>
      <c r="E475" s="153">
        <f t="shared" si="33"/>
        <v>972300</v>
      </c>
      <c r="F475" s="154">
        <v>972300</v>
      </c>
      <c r="G475" s="154"/>
      <c r="H475" s="154"/>
      <c r="I475" s="154"/>
      <c r="J475" s="155">
        <f t="shared" si="35"/>
        <v>0</v>
      </c>
      <c r="K475" s="159"/>
      <c r="L475" s="154"/>
      <c r="M475" s="154"/>
      <c r="N475" s="154"/>
      <c r="O475" s="154"/>
      <c r="P475" s="157">
        <f t="shared" si="37"/>
        <v>972300</v>
      </c>
      <c r="Q475" s="223"/>
      <c r="R475" s="115"/>
      <c r="S475" s="115"/>
      <c r="T475" s="115"/>
    </row>
    <row r="476" spans="1:20" s="26" customFormat="1" ht="21" customHeight="1">
      <c r="A476" s="75" t="s">
        <v>248</v>
      </c>
      <c r="B476" s="76" t="s">
        <v>247</v>
      </c>
      <c r="C476" s="75" t="s">
        <v>23</v>
      </c>
      <c r="D476" s="7" t="s">
        <v>24</v>
      </c>
      <c r="E476" s="153">
        <f t="shared" si="33"/>
        <v>19300</v>
      </c>
      <c r="F476" s="154">
        <v>19300</v>
      </c>
      <c r="G476" s="154">
        <v>15820</v>
      </c>
      <c r="H476" s="154"/>
      <c r="I476" s="154"/>
      <c r="J476" s="155">
        <f t="shared" si="35"/>
        <v>0</v>
      </c>
      <c r="K476" s="159"/>
      <c r="L476" s="154"/>
      <c r="M476" s="154"/>
      <c r="N476" s="154"/>
      <c r="O476" s="154"/>
      <c r="P476" s="157">
        <f t="shared" si="37"/>
        <v>19300</v>
      </c>
      <c r="Q476" s="223"/>
      <c r="R476" s="115"/>
      <c r="S476" s="115"/>
      <c r="T476" s="115"/>
    </row>
    <row r="477" spans="1:20" s="48" customFormat="1" ht="43.5" customHeight="1">
      <c r="A477" s="89" t="s">
        <v>224</v>
      </c>
      <c r="B477" s="88">
        <v>6017</v>
      </c>
      <c r="C477" s="84" t="s">
        <v>26</v>
      </c>
      <c r="D477" s="15" t="s">
        <v>219</v>
      </c>
      <c r="E477" s="153">
        <f t="shared" si="33"/>
        <v>174914</v>
      </c>
      <c r="F477" s="156">
        <f>170000+4914</f>
        <v>174914</v>
      </c>
      <c r="G477" s="156"/>
      <c r="H477" s="156"/>
      <c r="I477" s="156"/>
      <c r="J477" s="155">
        <f t="shared" si="35"/>
        <v>197891.7</v>
      </c>
      <c r="K477" s="159">
        <v>197891.7</v>
      </c>
      <c r="L477" s="156"/>
      <c r="M477" s="156"/>
      <c r="N477" s="156"/>
      <c r="O477" s="156">
        <v>197891.7</v>
      </c>
      <c r="P477" s="157">
        <f t="shared" si="37"/>
        <v>372805.7</v>
      </c>
      <c r="Q477" s="223"/>
      <c r="R477" s="130"/>
      <c r="S477" s="130"/>
      <c r="T477" s="130"/>
    </row>
    <row r="478" spans="1:20" s="26" customFormat="1" ht="31.5" customHeight="1">
      <c r="A478" s="75" t="s">
        <v>168</v>
      </c>
      <c r="B478" s="76" t="s">
        <v>33</v>
      </c>
      <c r="C478" s="75" t="s">
        <v>26</v>
      </c>
      <c r="D478" s="7" t="s">
        <v>34</v>
      </c>
      <c r="E478" s="153">
        <f t="shared" si="33"/>
        <v>2140300</v>
      </c>
      <c r="F478" s="154">
        <f>2040300-50000+150000</f>
        <v>2140300</v>
      </c>
      <c r="G478" s="154"/>
      <c r="H478" s="154"/>
      <c r="I478" s="154"/>
      <c r="J478" s="155">
        <f t="shared" si="35"/>
        <v>0</v>
      </c>
      <c r="K478" s="159"/>
      <c r="L478" s="154"/>
      <c r="M478" s="154"/>
      <c r="N478" s="154"/>
      <c r="O478" s="154"/>
      <c r="P478" s="157">
        <f t="shared" si="37"/>
        <v>2140300</v>
      </c>
      <c r="Q478" s="223"/>
      <c r="R478" s="115"/>
      <c r="S478" s="115"/>
      <c r="T478" s="115"/>
    </row>
    <row r="479" spans="1:20" s="29" customFormat="1" ht="31.5" customHeight="1">
      <c r="A479" s="69" t="s">
        <v>169</v>
      </c>
      <c r="B479" s="70"/>
      <c r="C479" s="71"/>
      <c r="D479" s="5" t="s">
        <v>159</v>
      </c>
      <c r="E479" s="148">
        <f>E480</f>
        <v>10765967</v>
      </c>
      <c r="F479" s="148">
        <f>F480</f>
        <v>10765967</v>
      </c>
      <c r="G479" s="148">
        <f>G480</f>
        <v>5445468</v>
      </c>
      <c r="H479" s="148">
        <f>H480</f>
        <v>646988</v>
      </c>
      <c r="I479" s="148">
        <f>I480</f>
        <v>0</v>
      </c>
      <c r="J479" s="148">
        <f t="shared" si="35"/>
        <v>0</v>
      </c>
      <c r="K479" s="148">
        <f>K480</f>
        <v>0</v>
      </c>
      <c r="L479" s="148">
        <f>L480</f>
        <v>0</v>
      </c>
      <c r="M479" s="148">
        <f>M480</f>
        <v>0</v>
      </c>
      <c r="N479" s="148">
        <f>N480</f>
        <v>0</v>
      </c>
      <c r="O479" s="148">
        <f>O480</f>
        <v>0</v>
      </c>
      <c r="P479" s="149">
        <f t="shared" si="37"/>
        <v>10765967</v>
      </c>
      <c r="Q479" s="223"/>
      <c r="R479" s="118"/>
      <c r="S479" s="118"/>
      <c r="T479" s="118"/>
    </row>
    <row r="480" spans="1:20" s="30" customFormat="1" ht="27" customHeight="1">
      <c r="A480" s="72" t="s">
        <v>170</v>
      </c>
      <c r="B480" s="73"/>
      <c r="C480" s="74"/>
      <c r="D480" s="9" t="s">
        <v>217</v>
      </c>
      <c r="E480" s="150">
        <f t="shared" si="33"/>
        <v>10765967</v>
      </c>
      <c r="F480" s="150">
        <f>F481+F482+F483+F484+F485</f>
        <v>10765967</v>
      </c>
      <c r="G480" s="150">
        <f>G481+G482+G483+G484+G485</f>
        <v>5445468</v>
      </c>
      <c r="H480" s="150">
        <f>H481+H482+H483+H484+H485</f>
        <v>646988</v>
      </c>
      <c r="I480" s="150">
        <f>I481+I482+I483+I484+I485</f>
        <v>0</v>
      </c>
      <c r="J480" s="151">
        <f t="shared" si="35"/>
        <v>0</v>
      </c>
      <c r="K480" s="150">
        <f>K481+K482+K483+K484+K485</f>
        <v>0</v>
      </c>
      <c r="L480" s="150">
        <f>L481+L482+L483+L484+L485</f>
        <v>0</v>
      </c>
      <c r="M480" s="150">
        <f>M481+M482+M483+M484+M485</f>
        <v>0</v>
      </c>
      <c r="N480" s="150">
        <f>N481+N482+N483+N484+N485</f>
        <v>0</v>
      </c>
      <c r="O480" s="150">
        <f>O481+O482+O483+O484+O485</f>
        <v>0</v>
      </c>
      <c r="P480" s="152">
        <f>E480+J480</f>
        <v>10765967</v>
      </c>
      <c r="Q480" s="223"/>
      <c r="R480" s="119"/>
      <c r="S480" s="119"/>
      <c r="T480" s="119"/>
    </row>
    <row r="481" spans="1:20" s="26" customFormat="1" ht="26.25">
      <c r="A481" s="75" t="s">
        <v>171</v>
      </c>
      <c r="B481" s="76" t="s">
        <v>464</v>
      </c>
      <c r="C481" s="75" t="s">
        <v>449</v>
      </c>
      <c r="D481" s="7" t="s">
        <v>465</v>
      </c>
      <c r="E481" s="153">
        <f t="shared" si="33"/>
        <v>7781697</v>
      </c>
      <c r="F481" s="154">
        <v>7781697</v>
      </c>
      <c r="G481" s="154">
        <v>5385068</v>
      </c>
      <c r="H481" s="154">
        <v>646988</v>
      </c>
      <c r="I481" s="154"/>
      <c r="J481" s="155">
        <f t="shared" si="35"/>
        <v>0</v>
      </c>
      <c r="K481" s="159"/>
      <c r="L481" s="154">
        <v>0</v>
      </c>
      <c r="M481" s="154">
        <v>0</v>
      </c>
      <c r="N481" s="154">
        <v>0</v>
      </c>
      <c r="O481" s="154">
        <v>0</v>
      </c>
      <c r="P481" s="157">
        <f t="shared" si="37"/>
        <v>7781697</v>
      </c>
      <c r="Q481" s="223"/>
      <c r="R481" s="115"/>
      <c r="S481" s="115"/>
      <c r="T481" s="115"/>
    </row>
    <row r="482" spans="1:20" s="26" customFormat="1" ht="15">
      <c r="A482" s="75" t="s">
        <v>172</v>
      </c>
      <c r="B482" s="76" t="s">
        <v>454</v>
      </c>
      <c r="C482" s="75" t="s">
        <v>453</v>
      </c>
      <c r="D482" s="7" t="s">
        <v>455</v>
      </c>
      <c r="E482" s="153">
        <f t="shared" si="33"/>
        <v>848070</v>
      </c>
      <c r="F482" s="154">
        <v>848070</v>
      </c>
      <c r="G482" s="154"/>
      <c r="H482" s="154"/>
      <c r="I482" s="154"/>
      <c r="J482" s="155">
        <f t="shared" si="35"/>
        <v>0</v>
      </c>
      <c r="K482" s="159"/>
      <c r="L482" s="154">
        <v>0</v>
      </c>
      <c r="M482" s="154">
        <v>0</v>
      </c>
      <c r="N482" s="154">
        <v>0</v>
      </c>
      <c r="O482" s="154">
        <v>0</v>
      </c>
      <c r="P482" s="157">
        <f t="shared" si="37"/>
        <v>848070</v>
      </c>
      <c r="Q482" s="223"/>
      <c r="R482" s="115"/>
      <c r="S482" s="115"/>
      <c r="T482" s="115"/>
    </row>
    <row r="483" spans="1:20" s="26" customFormat="1" ht="26.25" customHeight="1">
      <c r="A483" s="75" t="s">
        <v>249</v>
      </c>
      <c r="B483" s="76" t="s">
        <v>247</v>
      </c>
      <c r="C483" s="75" t="s">
        <v>23</v>
      </c>
      <c r="D483" s="7" t="s">
        <v>24</v>
      </c>
      <c r="E483" s="153">
        <f>F483+I483</f>
        <v>73700</v>
      </c>
      <c r="F483" s="154">
        <v>73700</v>
      </c>
      <c r="G483" s="154">
        <v>60400</v>
      </c>
      <c r="H483" s="154"/>
      <c r="I483" s="154"/>
      <c r="J483" s="155">
        <f t="shared" si="35"/>
        <v>0</v>
      </c>
      <c r="K483" s="159"/>
      <c r="L483" s="154">
        <v>0</v>
      </c>
      <c r="M483" s="154">
        <v>0</v>
      </c>
      <c r="N483" s="154">
        <v>0</v>
      </c>
      <c r="O483" s="154">
        <v>0</v>
      </c>
      <c r="P483" s="157">
        <f t="shared" si="37"/>
        <v>73700</v>
      </c>
      <c r="Q483" s="223"/>
      <c r="R483" s="115"/>
      <c r="S483" s="115"/>
      <c r="T483" s="115"/>
    </row>
    <row r="484" spans="1:20" s="26" customFormat="1" ht="26.25" customHeight="1">
      <c r="A484" s="75" t="s">
        <v>173</v>
      </c>
      <c r="B484" s="76" t="s">
        <v>33</v>
      </c>
      <c r="C484" s="75" t="s">
        <v>26</v>
      </c>
      <c r="D484" s="7" t="s">
        <v>34</v>
      </c>
      <c r="E484" s="153">
        <f t="shared" si="33"/>
        <v>2062500</v>
      </c>
      <c r="F484" s="154">
        <v>2062500</v>
      </c>
      <c r="G484" s="154"/>
      <c r="H484" s="154"/>
      <c r="I484" s="154"/>
      <c r="J484" s="155">
        <f t="shared" si="35"/>
        <v>0</v>
      </c>
      <c r="K484" s="159"/>
      <c r="L484" s="154">
        <v>0</v>
      </c>
      <c r="M484" s="154">
        <v>0</v>
      </c>
      <c r="N484" s="154">
        <v>0</v>
      </c>
      <c r="O484" s="154">
        <v>0</v>
      </c>
      <c r="P484" s="157">
        <f t="shared" si="37"/>
        <v>2062500</v>
      </c>
      <c r="Q484" s="223"/>
      <c r="R484" s="115"/>
      <c r="S484" s="115"/>
      <c r="T484" s="115"/>
    </row>
    <row r="485" spans="1:20" s="26" customFormat="1" ht="51.75" customHeight="1" hidden="1">
      <c r="A485" s="84" t="s">
        <v>323</v>
      </c>
      <c r="B485" s="85">
        <v>7363</v>
      </c>
      <c r="C485" s="84" t="s">
        <v>570</v>
      </c>
      <c r="D485" s="2" t="s">
        <v>318</v>
      </c>
      <c r="E485" s="153">
        <f t="shared" si="33"/>
        <v>0</v>
      </c>
      <c r="F485" s="154"/>
      <c r="G485" s="154"/>
      <c r="H485" s="154"/>
      <c r="I485" s="154"/>
      <c r="J485" s="155">
        <f t="shared" si="35"/>
        <v>0</v>
      </c>
      <c r="K485" s="159"/>
      <c r="L485" s="154"/>
      <c r="M485" s="154"/>
      <c r="N485" s="154"/>
      <c r="O485" s="154"/>
      <c r="P485" s="157">
        <f t="shared" si="37"/>
        <v>0</v>
      </c>
      <c r="Q485" s="115"/>
      <c r="R485" s="131"/>
      <c r="S485" s="115"/>
      <c r="T485" s="115"/>
    </row>
    <row r="486" spans="1:20" s="31" customFormat="1" ht="56.25" customHeight="1" hidden="1">
      <c r="A486" s="79"/>
      <c r="B486" s="80"/>
      <c r="C486" s="87"/>
      <c r="D486" s="1" t="s">
        <v>319</v>
      </c>
      <c r="E486" s="162">
        <f t="shared" si="33"/>
        <v>0</v>
      </c>
      <c r="F486" s="163"/>
      <c r="G486" s="163"/>
      <c r="H486" s="163"/>
      <c r="I486" s="163"/>
      <c r="J486" s="190">
        <f t="shared" si="35"/>
        <v>0</v>
      </c>
      <c r="K486" s="164"/>
      <c r="L486" s="163"/>
      <c r="M486" s="163"/>
      <c r="N486" s="163"/>
      <c r="O486" s="163"/>
      <c r="P486" s="165">
        <f t="shared" si="37"/>
        <v>0</v>
      </c>
      <c r="Q486" s="132"/>
      <c r="R486" s="132"/>
      <c r="S486" s="121"/>
      <c r="T486" s="121"/>
    </row>
    <row r="487" spans="1:21" s="253" customFormat="1" ht="36" customHeight="1">
      <c r="A487" s="247" t="s">
        <v>433</v>
      </c>
      <c r="B487" s="248" t="s">
        <v>433</v>
      </c>
      <c r="C487" s="247" t="s">
        <v>433</v>
      </c>
      <c r="D487" s="249" t="s">
        <v>434</v>
      </c>
      <c r="E487" s="250">
        <f>F487+I487+E452</f>
        <v>2376780298.7099996</v>
      </c>
      <c r="F487" s="250">
        <f>F14+F20+F24+F90+F120+F306+F330+F376+F384+F388+F396+F404+F412+F420+F430+F436+F444+F461+F471+F479</f>
        <v>2307875398.7099996</v>
      </c>
      <c r="G487" s="250">
        <f>G14+G20+G24+G90+G120+G330+G376+G384+G388+G396+G404+G412+G420+G430+G436+G444+G461+G471+G479+G306</f>
        <v>667326525</v>
      </c>
      <c r="H487" s="250">
        <f>H14+H20+H24+H90+H120+H330+H376+H384+H388+H396+H404+H412+H420+H430+H436+H444+H461+H471+H479+H306</f>
        <v>132633685</v>
      </c>
      <c r="I487" s="250">
        <f>I14+I20+I24+I90+I120+I330+I376+I384+I388+I396+I404+I412+I420+I430+I436+I444+I461+I471+I479+I306</f>
        <v>58904900</v>
      </c>
      <c r="J487" s="251">
        <f>L487+O487</f>
        <v>319618880.53</v>
      </c>
      <c r="K487" s="251">
        <f>K14+K20+K24+K90+K120+K330+K376+K384+K388+K396+K404+K412+K420+K430+K436+K444+K461+K471+K479+K306</f>
        <v>252091784.5</v>
      </c>
      <c r="L487" s="250">
        <f>L14+L20+L24+L90+L120+L330+L376+L384+L388+L396+L404+L412+L420+L430+L436+L444+L461+L471+L479+L306</f>
        <v>64409517.03</v>
      </c>
      <c r="M487" s="250">
        <f>M14+M20+M24+M90+M120+M330+M376+M384+M388+M396+M404+M412+M420+M430+M436+M444+M461+M471+M479+M306</f>
        <v>1600524</v>
      </c>
      <c r="N487" s="250">
        <f>N14+N20+N24+N90+N120+N330+N376+N384+N388+N396+N404+N412+N420+N430+N436+N444+N461+N471+N479+N306</f>
        <v>156624</v>
      </c>
      <c r="O487" s="250">
        <f>O14+O20+O24+O90+O120+O330+O376+O384+O388+O396+O404+O412+O420+O430+O436+O444+O461+O471+O479+O306</f>
        <v>255209363.5</v>
      </c>
      <c r="P487" s="252">
        <f>P14+P20+P24+P90+P120+P306+P330+P376+P384+P388+P396+P404+P412+P420+P430+P436+P444+P461+P471+P479</f>
        <v>2696399179.24</v>
      </c>
      <c r="Q487" s="284">
        <f>2654798333-P487</f>
        <v>-41600846.23999977</v>
      </c>
      <c r="R487" s="285">
        <v>27904891.93</v>
      </c>
      <c r="S487" s="286">
        <v>4845954.31</v>
      </c>
      <c r="T487" s="286">
        <v>8850000</v>
      </c>
      <c r="U487" s="287">
        <f>R487+S487+T487</f>
        <v>41600846.239999995</v>
      </c>
    </row>
    <row r="488" spans="9:21" ht="15">
      <c r="I488" s="59"/>
      <c r="J488" s="60"/>
      <c r="K488" s="59"/>
      <c r="Q488" s="133"/>
      <c r="U488" s="289">
        <f>Q487+U487</f>
        <v>2.2351741790771484E-07</v>
      </c>
    </row>
    <row r="489" spans="9:11" ht="15">
      <c r="I489" s="59"/>
      <c r="J489" s="60"/>
      <c r="K489" s="59"/>
    </row>
    <row r="490" spans="1:20" s="50" customFormat="1" ht="37.5" customHeight="1">
      <c r="A490" s="291" t="s">
        <v>392</v>
      </c>
      <c r="B490" s="291"/>
      <c r="C490" s="291"/>
      <c r="D490" s="291"/>
      <c r="E490" s="291"/>
      <c r="F490" s="291"/>
      <c r="G490" s="61"/>
      <c r="H490" s="54"/>
      <c r="I490" s="62"/>
      <c r="J490" s="60"/>
      <c r="K490" s="62"/>
      <c r="L490" s="298" t="s">
        <v>393</v>
      </c>
      <c r="M490" s="298"/>
      <c r="N490" s="299"/>
      <c r="O490" s="299"/>
      <c r="P490" s="53"/>
      <c r="Q490" s="135"/>
      <c r="R490" s="135"/>
      <c r="S490" s="135"/>
      <c r="T490" s="135"/>
    </row>
    <row r="491" spans="9:11" ht="15">
      <c r="I491" s="191"/>
      <c r="J491" s="63"/>
      <c r="K491" s="137"/>
    </row>
    <row r="492" ht="15">
      <c r="J492" s="63"/>
    </row>
    <row r="493" spans="1:20" s="195" customFormat="1" ht="21.75" customHeight="1">
      <c r="A493" s="194"/>
      <c r="C493" s="194"/>
      <c r="E493" s="218" t="s">
        <v>200</v>
      </c>
      <c r="F493" s="218">
        <f>F14+F20+F24+F90+F120+F306+F330+F376+F384+F388+F396+F404+F412+F420+F430+F436+F444+F461+F471+F479</f>
        <v>2307875398.7099996</v>
      </c>
      <c r="G493" s="218">
        <f>G14+G20+G24+G90+G120+G306+G330+G376+G384+G388+G396+G404+G412+G420+G430+G436+G444+G461+G471+G479</f>
        <v>667326525</v>
      </c>
      <c r="H493" s="218">
        <f>H14+H20+H24+H90+H120+H306+H330+H376+H384+H388+H396+H404+H412+H420+H430+H436+H444+H461+H471+H479</f>
        <v>132633685</v>
      </c>
      <c r="I493" s="218">
        <f>I14+I20+I24+I90+I120+I306+I330+I376+I384+I388+I396+I404+I412+I420+I430+I436+I444+I461+I471+I479</f>
        <v>58904900</v>
      </c>
      <c r="J493" s="219">
        <f t="shared" si="35"/>
        <v>0</v>
      </c>
      <c r="K493" s="218"/>
      <c r="L493" s="218"/>
      <c r="M493" s="218"/>
      <c r="N493" s="218"/>
      <c r="O493" s="218"/>
      <c r="P493" s="218"/>
      <c r="Q493" s="196"/>
      <c r="R493" s="196"/>
      <c r="S493" s="196"/>
      <c r="T493" s="196"/>
    </row>
    <row r="494" spans="5:16" ht="15">
      <c r="E494" s="220"/>
      <c r="F494" s="221"/>
      <c r="G494" s="221"/>
      <c r="H494" s="221"/>
      <c r="I494" s="221"/>
      <c r="J494" s="221"/>
      <c r="K494" s="221"/>
      <c r="L494" s="221"/>
      <c r="M494" s="221"/>
      <c r="N494" s="221"/>
      <c r="O494" s="221"/>
      <c r="P494" s="221"/>
    </row>
    <row r="495" spans="6:16" ht="15">
      <c r="F495" s="109"/>
      <c r="G495" s="109"/>
      <c r="H495" s="109"/>
      <c r="I495" s="109"/>
      <c r="J495" s="23"/>
      <c r="K495" s="109"/>
      <c r="L495" s="109"/>
      <c r="M495" s="109"/>
      <c r="N495" s="109"/>
      <c r="O495" s="109"/>
      <c r="P495" s="109"/>
    </row>
    <row r="496" spans="4:18" ht="15">
      <c r="D496" s="205"/>
      <c r="E496" s="283"/>
      <c r="F496" s="191"/>
      <c r="G496" s="191"/>
      <c r="H496" s="191"/>
      <c r="I496" s="191"/>
      <c r="J496" s="192"/>
      <c r="K496" s="191"/>
      <c r="L496" s="191"/>
      <c r="M496" s="191"/>
      <c r="N496" s="191"/>
      <c r="O496" s="191"/>
      <c r="P496" s="222"/>
      <c r="R496" s="133"/>
    </row>
    <row r="497" spans="4:19" ht="15">
      <c r="D497" s="205"/>
      <c r="E497" s="283"/>
      <c r="F497" s="191"/>
      <c r="G497" s="191"/>
      <c r="H497" s="191"/>
      <c r="I497" s="191"/>
      <c r="J497" s="192"/>
      <c r="K497" s="191"/>
      <c r="L497" s="191"/>
      <c r="M497" s="191"/>
      <c r="N497" s="191"/>
      <c r="O497" s="191"/>
      <c r="P497" s="222"/>
      <c r="R497" s="133"/>
      <c r="S497" s="133"/>
    </row>
    <row r="498" spans="1:18" ht="15">
      <c r="A498" s="308"/>
      <c r="B498" s="309"/>
      <c r="C498" s="108"/>
      <c r="D498" s="205"/>
      <c r="E498" s="283"/>
      <c r="F498" s="191"/>
      <c r="G498" s="191"/>
      <c r="H498" s="191"/>
      <c r="I498" s="191"/>
      <c r="J498" s="192"/>
      <c r="K498" s="191"/>
      <c r="L498" s="191"/>
      <c r="M498" s="191"/>
      <c r="N498" s="191"/>
      <c r="O498" s="191"/>
      <c r="P498" s="222"/>
      <c r="R498" s="133"/>
    </row>
    <row r="499" spans="1:18" ht="15" customHeight="1">
      <c r="A499" s="312"/>
      <c r="B499" s="312"/>
      <c r="C499" s="209"/>
      <c r="D499" s="205"/>
      <c r="E499" s="283"/>
      <c r="F499" s="191"/>
      <c r="G499" s="191"/>
      <c r="H499" s="191"/>
      <c r="I499" s="191"/>
      <c r="J499" s="192"/>
      <c r="K499" s="191"/>
      <c r="L499" s="191"/>
      <c r="M499" s="191"/>
      <c r="N499" s="191"/>
      <c r="O499" s="191"/>
      <c r="P499" s="222"/>
      <c r="R499" s="133"/>
    </row>
    <row r="500" spans="1:18" ht="15">
      <c r="A500" s="260"/>
      <c r="B500" s="260"/>
      <c r="D500" s="205"/>
      <c r="E500" s="283"/>
      <c r="F500" s="191"/>
      <c r="G500" s="191"/>
      <c r="H500" s="191"/>
      <c r="I500" s="191"/>
      <c r="J500" s="192"/>
      <c r="K500" s="191"/>
      <c r="L500" s="191"/>
      <c r="M500" s="191"/>
      <c r="N500" s="191"/>
      <c r="O500" s="191"/>
      <c r="P500" s="222"/>
      <c r="R500" s="133"/>
    </row>
    <row r="501" spans="4:18" ht="15">
      <c r="D501" s="206"/>
      <c r="E501" s="283"/>
      <c r="F501" s="191"/>
      <c r="G501" s="191"/>
      <c r="H501" s="191"/>
      <c r="I501" s="191"/>
      <c r="J501" s="192"/>
      <c r="K501" s="191"/>
      <c r="L501" s="191"/>
      <c r="M501" s="191"/>
      <c r="N501" s="191"/>
      <c r="O501" s="191"/>
      <c r="P501" s="222"/>
      <c r="R501" s="133"/>
    </row>
    <row r="502" spans="1:19" ht="15" customHeight="1">
      <c r="A502" s="308"/>
      <c r="B502" s="309"/>
      <c r="C502" s="210"/>
      <c r="D502" s="207"/>
      <c r="E502" s="283"/>
      <c r="F502" s="191"/>
      <c r="G502" s="191"/>
      <c r="H502" s="191"/>
      <c r="I502" s="191"/>
      <c r="J502" s="192"/>
      <c r="K502" s="191"/>
      <c r="L502" s="191"/>
      <c r="M502" s="191"/>
      <c r="N502" s="191"/>
      <c r="O502" s="191"/>
      <c r="P502" s="222"/>
      <c r="R502" s="133"/>
      <c r="S502" s="133"/>
    </row>
    <row r="503" spans="1:19" ht="15">
      <c r="A503" s="310"/>
      <c r="B503" s="311"/>
      <c r="D503" s="207"/>
      <c r="E503" s="283"/>
      <c r="F503" s="191"/>
      <c r="G503" s="191"/>
      <c r="H503" s="191"/>
      <c r="I503" s="191"/>
      <c r="J503" s="192"/>
      <c r="K503" s="191"/>
      <c r="L503" s="191"/>
      <c r="M503" s="191"/>
      <c r="N503" s="191"/>
      <c r="O503" s="191"/>
      <c r="P503" s="222"/>
      <c r="R503" s="133"/>
      <c r="S503" s="133"/>
    </row>
    <row r="504" spans="4:19" ht="15">
      <c r="D504" s="207"/>
      <c r="E504" s="283"/>
      <c r="F504" s="191"/>
      <c r="G504" s="191"/>
      <c r="H504" s="191"/>
      <c r="I504" s="191"/>
      <c r="J504" s="192"/>
      <c r="K504" s="191"/>
      <c r="L504" s="191"/>
      <c r="M504" s="191"/>
      <c r="N504" s="191"/>
      <c r="O504" s="191"/>
      <c r="P504" s="222"/>
      <c r="R504" s="133"/>
      <c r="S504" s="133"/>
    </row>
    <row r="505" spans="3:20" s="52" customFormat="1" ht="15">
      <c r="C505" s="51"/>
      <c r="D505" s="208"/>
      <c r="E505" s="283"/>
      <c r="F505" s="191"/>
      <c r="G505" s="191"/>
      <c r="H505" s="191"/>
      <c r="I505" s="191"/>
      <c r="J505" s="192"/>
      <c r="K505" s="191"/>
      <c r="L505" s="191"/>
      <c r="M505" s="191"/>
      <c r="N505" s="191"/>
      <c r="O505" s="191"/>
      <c r="P505" s="222"/>
      <c r="Q505" s="136"/>
      <c r="R505" s="133"/>
      <c r="S505" s="137"/>
      <c r="T505" s="136"/>
    </row>
    <row r="506" spans="1:19" ht="15">
      <c r="A506" s="307"/>
      <c r="B506" s="307"/>
      <c r="D506" s="208"/>
      <c r="E506" s="283"/>
      <c r="F506" s="193"/>
      <c r="G506" s="193"/>
      <c r="H506" s="193"/>
      <c r="I506" s="193"/>
      <c r="J506" s="192"/>
      <c r="K506" s="193"/>
      <c r="L506" s="193"/>
      <c r="M506" s="193"/>
      <c r="N506" s="193"/>
      <c r="O506" s="193"/>
      <c r="P506" s="222"/>
      <c r="R506" s="133"/>
      <c r="S506" s="133"/>
    </row>
    <row r="507" spans="1:20" ht="15">
      <c r="A507" s="306"/>
      <c r="B507" s="306"/>
      <c r="D507" s="208"/>
      <c r="E507" s="283"/>
      <c r="F507" s="193"/>
      <c r="G507" s="193"/>
      <c r="H507" s="193"/>
      <c r="I507" s="193"/>
      <c r="J507" s="192"/>
      <c r="K507" s="193"/>
      <c r="L507" s="193"/>
      <c r="M507" s="193"/>
      <c r="N507" s="193"/>
      <c r="O507" s="193"/>
      <c r="P507" s="222"/>
      <c r="R507" s="133"/>
      <c r="S507" s="133"/>
      <c r="T507" s="133"/>
    </row>
    <row r="508" spans="4:19" ht="15">
      <c r="D508" s="208"/>
      <c r="E508" s="283"/>
      <c r="F508" s="193"/>
      <c r="G508" s="193"/>
      <c r="H508" s="193"/>
      <c r="I508" s="193"/>
      <c r="J508" s="192"/>
      <c r="K508" s="193"/>
      <c r="L508" s="193"/>
      <c r="M508" s="193"/>
      <c r="N508" s="193"/>
      <c r="O508" s="193"/>
      <c r="P508" s="222"/>
      <c r="Q508" s="138"/>
      <c r="R508" s="133"/>
      <c r="S508" s="133"/>
    </row>
    <row r="509" spans="4:19" ht="15">
      <c r="D509" s="208"/>
      <c r="E509" s="283"/>
      <c r="F509" s="193"/>
      <c r="G509" s="193"/>
      <c r="H509" s="193"/>
      <c r="I509" s="193"/>
      <c r="J509" s="192"/>
      <c r="K509" s="193"/>
      <c r="L509" s="193"/>
      <c r="M509" s="193"/>
      <c r="N509" s="193"/>
      <c r="O509" s="193"/>
      <c r="P509" s="222"/>
      <c r="R509" s="133"/>
      <c r="S509" s="133"/>
    </row>
    <row r="510" spans="4:19" ht="15">
      <c r="D510" s="208"/>
      <c r="E510" s="283"/>
      <c r="F510" s="193"/>
      <c r="G510" s="193"/>
      <c r="H510" s="193"/>
      <c r="I510" s="193"/>
      <c r="J510" s="192"/>
      <c r="K510" s="193"/>
      <c r="L510" s="193"/>
      <c r="M510" s="193"/>
      <c r="N510" s="193"/>
      <c r="O510" s="193"/>
      <c r="P510" s="222"/>
      <c r="R510" s="133"/>
      <c r="S510" s="133"/>
    </row>
    <row r="511" spans="4:20" ht="15">
      <c r="D511" s="208"/>
      <c r="E511" s="283"/>
      <c r="F511" s="193"/>
      <c r="G511" s="193"/>
      <c r="H511" s="193"/>
      <c r="I511" s="193"/>
      <c r="J511" s="192"/>
      <c r="K511" s="193"/>
      <c r="L511" s="193"/>
      <c r="M511" s="193"/>
      <c r="N511" s="193"/>
      <c r="O511" s="193"/>
      <c r="P511" s="222"/>
      <c r="R511" s="133"/>
      <c r="T511" s="133"/>
    </row>
    <row r="512" spans="4:18" ht="15">
      <c r="D512" s="208"/>
      <c r="E512" s="283"/>
      <c r="F512" s="193"/>
      <c r="G512" s="193"/>
      <c r="H512" s="193"/>
      <c r="I512" s="193"/>
      <c r="J512" s="192"/>
      <c r="K512" s="193"/>
      <c r="L512" s="193"/>
      <c r="M512" s="193"/>
      <c r="N512" s="193"/>
      <c r="O512" s="193"/>
      <c r="P512" s="222"/>
      <c r="R512" s="133"/>
    </row>
    <row r="513" spans="4:19" ht="15">
      <c r="D513" s="208"/>
      <c r="E513" s="283"/>
      <c r="F513" s="193"/>
      <c r="G513" s="193"/>
      <c r="H513" s="193"/>
      <c r="I513" s="193"/>
      <c r="J513" s="192"/>
      <c r="K513" s="193"/>
      <c r="L513" s="193"/>
      <c r="M513" s="193"/>
      <c r="N513" s="193"/>
      <c r="O513" s="193"/>
      <c r="P513" s="222"/>
      <c r="R513" s="133"/>
      <c r="S513" s="133"/>
    </row>
    <row r="514" spans="1:20" s="217" customFormat="1" ht="20.25" customHeight="1">
      <c r="A514" s="211"/>
      <c r="B514" s="212"/>
      <c r="C514" s="211"/>
      <c r="D514" s="213"/>
      <c r="E514" s="214"/>
      <c r="F514" s="214"/>
      <c r="G514" s="214"/>
      <c r="H514" s="214"/>
      <c r="I514" s="214"/>
      <c r="J514" s="214"/>
      <c r="K514" s="214"/>
      <c r="L514" s="214"/>
      <c r="M514" s="214"/>
      <c r="N514" s="214"/>
      <c r="O514" s="214"/>
      <c r="P514" s="214"/>
      <c r="Q514" s="215"/>
      <c r="R514" s="133"/>
      <c r="S514" s="215"/>
      <c r="T514" s="216"/>
    </row>
    <row r="515" spans="5:19" ht="15">
      <c r="E515" s="203"/>
      <c r="F515" s="204"/>
      <c r="G515" s="204"/>
      <c r="H515" s="204"/>
      <c r="I515" s="204"/>
      <c r="J515" s="203"/>
      <c r="K515" s="204"/>
      <c r="L515" s="204"/>
      <c r="M515" s="204"/>
      <c r="N515" s="204"/>
      <c r="O515" s="204"/>
      <c r="P515" s="204"/>
      <c r="Q515" s="139"/>
      <c r="R515" s="133"/>
      <c r="S515" s="139"/>
    </row>
    <row r="516" spans="1:20" s="200" customFormat="1" ht="20.25" customHeight="1">
      <c r="A516" s="197"/>
      <c r="B516" s="197"/>
      <c r="C516" s="197"/>
      <c r="D516" s="198"/>
      <c r="E516" s="201"/>
      <c r="F516" s="201"/>
      <c r="G516" s="201"/>
      <c r="H516" s="201"/>
      <c r="I516" s="201"/>
      <c r="J516" s="201"/>
      <c r="K516" s="201"/>
      <c r="L516" s="201"/>
      <c r="M516" s="201"/>
      <c r="N516" s="201"/>
      <c r="O516" s="202"/>
      <c r="P516" s="201"/>
      <c r="Q516" s="199"/>
      <c r="R516" s="199"/>
      <c r="S516" s="199"/>
      <c r="T516" s="199"/>
    </row>
    <row r="517" spans="1:20" s="200" customFormat="1" ht="20.25" customHeight="1">
      <c r="A517" s="197"/>
      <c r="B517" s="197"/>
      <c r="C517" s="197"/>
      <c r="I517" s="201"/>
      <c r="J517" s="201"/>
      <c r="K517" s="201"/>
      <c r="L517" s="201"/>
      <c r="M517" s="201"/>
      <c r="N517" s="201"/>
      <c r="O517" s="202"/>
      <c r="P517" s="201"/>
      <c r="Q517" s="199"/>
      <c r="R517" s="199"/>
      <c r="S517" s="199"/>
      <c r="T517" s="199"/>
    </row>
    <row r="518" ht="19.5" customHeight="1"/>
    <row r="520" spans="13:16" ht="15">
      <c r="M520" s="254"/>
      <c r="N520" s="255"/>
      <c r="O520" s="255"/>
      <c r="P520" s="255"/>
    </row>
    <row r="521" spans="13:16" ht="15">
      <c r="M521" s="256"/>
      <c r="N521" s="257"/>
      <c r="O521" s="257"/>
      <c r="P521" s="259"/>
    </row>
    <row r="522" spans="13:16" ht="15">
      <c r="M522" s="256"/>
      <c r="N522" s="257"/>
      <c r="O522" s="257"/>
      <c r="P522" s="259"/>
    </row>
    <row r="523" spans="13:17" ht="15" customHeight="1">
      <c r="M523" s="256"/>
      <c r="N523" s="257"/>
      <c r="O523" s="257"/>
      <c r="P523" s="259"/>
      <c r="Q523" s="64"/>
    </row>
    <row r="524" spans="13:16" ht="15">
      <c r="M524" s="256"/>
      <c r="N524" s="257"/>
      <c r="O524" s="257"/>
      <c r="P524" s="259"/>
    </row>
    <row r="525" spans="13:16" ht="15">
      <c r="M525" s="256"/>
      <c r="N525" s="257"/>
      <c r="O525" s="257"/>
      <c r="P525" s="259"/>
    </row>
    <row r="526" spans="13:16" ht="15">
      <c r="M526" s="256"/>
      <c r="N526" s="257"/>
      <c r="O526" s="257"/>
      <c r="P526" s="259"/>
    </row>
    <row r="527" spans="13:16" ht="15">
      <c r="M527" s="258"/>
      <c r="N527" s="259"/>
      <c r="O527" s="259"/>
      <c r="P527" s="259"/>
    </row>
    <row r="528" spans="14:16" ht="15">
      <c r="N528" s="109"/>
      <c r="O528" s="109"/>
      <c r="P528" s="109"/>
    </row>
  </sheetData>
  <sheetProtection/>
  <mergeCells count="35">
    <mergeCell ref="A6:P6"/>
    <mergeCell ref="A7:P7"/>
    <mergeCell ref="G11:G12"/>
    <mergeCell ref="H11:H12"/>
    <mergeCell ref="M11:M12"/>
    <mergeCell ref="D9:D12"/>
    <mergeCell ref="C9:C12"/>
    <mergeCell ref="E9:I9"/>
    <mergeCell ref="G10:H10"/>
    <mergeCell ref="A507:B507"/>
    <mergeCell ref="A506:B506"/>
    <mergeCell ref="A498:B498"/>
    <mergeCell ref="A503:B503"/>
    <mergeCell ref="A499:B499"/>
    <mergeCell ref="A502:B502"/>
    <mergeCell ref="L1:P1"/>
    <mergeCell ref="L2:P2"/>
    <mergeCell ref="L3:P3"/>
    <mergeCell ref="L4:P4"/>
    <mergeCell ref="J9:O9"/>
    <mergeCell ref="L10:L12"/>
    <mergeCell ref="J10:J12"/>
    <mergeCell ref="P9:P12"/>
    <mergeCell ref="N11:N12"/>
    <mergeCell ref="L5:P5"/>
    <mergeCell ref="F10:F12"/>
    <mergeCell ref="O10:O12"/>
    <mergeCell ref="M10:N10"/>
    <mergeCell ref="A490:F490"/>
    <mergeCell ref="B9:B12"/>
    <mergeCell ref="E10:E12"/>
    <mergeCell ref="K10:K12"/>
    <mergeCell ref="A9:A12"/>
    <mergeCell ref="I10:I12"/>
    <mergeCell ref="L490:O490"/>
  </mergeCells>
  <printOptions/>
  <pageMargins left="0.1968503937007874" right="0.1968503937007874" top="1.141732283464567" bottom="0.7874015748031497" header="0.9055118110236221" footer="0.31496062992125984"/>
  <pageSetup fitToHeight="32" fitToWidth="1" horizontalDpi="600" verticalDpi="600" orientation="landscape" paperSize="9" scale="44" r:id="rId1"/>
  <headerFooter differentFirst="1">
    <oddHeader>&amp;CСтраница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2019-02-15T13:09:08Z</cp:lastPrinted>
  <dcterms:created xsi:type="dcterms:W3CDTF">2017-12-09T16:51:10Z</dcterms:created>
  <dcterms:modified xsi:type="dcterms:W3CDTF">2019-02-15T14:11:18Z</dcterms:modified>
  <cp:category/>
  <cp:version/>
  <cp:contentType/>
  <cp:contentStatus/>
</cp:coreProperties>
</file>