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085" yWindow="30" windowWidth="11865" windowHeight="9510" activeTab="0"/>
  </bookViews>
  <sheets>
    <sheet name="Лист1" sheetId="1" r:id="rId1"/>
    <sheet name="Лист2" sheetId="2" r:id="rId2"/>
  </sheets>
  <definedNames>
    <definedName name="_xlnm.Print_Titles" localSheetId="0">'Лист1'!$9:$14</definedName>
    <definedName name="_xlnm.Print_Area" localSheetId="0">'Лист1'!$A$1:$J$351</definedName>
  </definedNames>
  <calcPr fullCalcOnLoad="1"/>
</workbook>
</file>

<file path=xl/sharedStrings.xml><?xml version="1.0" encoding="utf-8"?>
<sst xmlns="http://schemas.openxmlformats.org/spreadsheetml/2006/main" count="1313" uniqueCount="658">
  <si>
    <t>26.12.2014 №1182-58/VI (зі змінами)</t>
  </si>
  <si>
    <t xml:space="preserve">Комплексна програма сприяння розвитку підприємництва у м.Кам’янському                                         на 2019 – 2021 роки
</t>
  </si>
  <si>
    <t>Програма благоустрою м.Кам'янське                      на 2015 –2019 роки</t>
  </si>
  <si>
    <t>Програма благоустрою м.Кам'янське                             на 2015-2019 роки</t>
  </si>
  <si>
    <t>Програма благоустрою м.Кам'янське                   на 2015 –2019 роки</t>
  </si>
  <si>
    <t>Програма благоустрою м.Кам'янське                           на 2015-2019 роки</t>
  </si>
  <si>
    <t>Програма благоустрою м.Кам'янське                                        на 2015 –2019 роки</t>
  </si>
  <si>
    <t xml:space="preserve"> 26.12.2014 №1182-58/VI (зі змінами) </t>
  </si>
  <si>
    <t>25.12.2015 №25-03/VІІ (зі змінами)</t>
  </si>
  <si>
    <t>17.11.2017           №913-20/VII              (зі змінами)</t>
  </si>
  <si>
    <t>21.12.2018 №</t>
  </si>
  <si>
    <t xml:space="preserve">16.12.2016           №608-12/VII                (зі змінами) </t>
  </si>
  <si>
    <t>16.12.2016           №608-12/VII                (зі змінами)</t>
  </si>
  <si>
    <t xml:space="preserve">25.12.2015               №36-03/VII </t>
  </si>
  <si>
    <t xml:space="preserve">  25.12.2015                             №36-03/VII </t>
  </si>
  <si>
    <t xml:space="preserve">25.12.2015                           №36-03/VII </t>
  </si>
  <si>
    <t xml:space="preserve"> 17.11.2017              №913-20/VII                (зі змінами)</t>
  </si>
  <si>
    <t xml:space="preserve"> 17.11.2017           №913-20/VII               (зі змінами)</t>
  </si>
  <si>
    <t xml:space="preserve"> 17.11.2017            №913-20/VII           (зі змінами)</t>
  </si>
  <si>
    <t>17.11.2017                 №913-20/VII              (зі змінами)</t>
  </si>
  <si>
    <t xml:space="preserve"> 17.11.17                 № 912-20/VІI                 (зі змінами)</t>
  </si>
  <si>
    <t xml:space="preserve"> 17.11.2017            №914-20/VIІ</t>
  </si>
  <si>
    <t xml:space="preserve"> 17.11.2017        №913-20/VII              (зі змінами)</t>
  </si>
  <si>
    <t xml:space="preserve"> 17.11.2017                    №913-20/VII               (зі змінами)</t>
  </si>
  <si>
    <t xml:space="preserve"> 17.11.2017                 №913-20/VII                      (зі змінами)</t>
  </si>
  <si>
    <t xml:space="preserve">  17.11.2017                №913-20/VII                 (зі змінами)</t>
  </si>
  <si>
    <t xml:space="preserve"> 17.11.2017                        №913-20/VIІ                        (зі змінами)</t>
  </si>
  <si>
    <t xml:space="preserve"> 17.11.2017                     №913-20/VIІ                      (зі змінами)</t>
  </si>
  <si>
    <t xml:space="preserve"> 17.11.2017                   №913-20/VIІ                       (зі змінами)</t>
  </si>
  <si>
    <t>08.07.2015 №1350-64/УІ (зі змінами)</t>
  </si>
  <si>
    <t>Організація благоустрою населених пунктів</t>
  </si>
  <si>
    <t xml:space="preserve"> 26.02.2016 №93-05/VІІ (зі змінами)</t>
  </si>
  <si>
    <t xml:space="preserve"> 30.03.2018 №1063-23/VII (зі змінами)</t>
  </si>
  <si>
    <t xml:space="preserve">  26.02.2016 №93-05/VІІ (зі змінами)</t>
  </si>
  <si>
    <t xml:space="preserve">  30.03.2018 №1063-23/VII (зі змінами)</t>
  </si>
  <si>
    <t>Департамент фінансів міської ради</t>
  </si>
  <si>
    <t>16.12.16 № 600-12/VII</t>
  </si>
  <si>
    <t>16.12.2016 № 601-12/VІІ (зі змінами)</t>
  </si>
  <si>
    <t>Програма розвитку освіти м.Кам'янського на 2017-2020 роки</t>
  </si>
  <si>
    <t xml:space="preserve"> Програма "Шкільний автобус" на 2017-2020 роки</t>
  </si>
  <si>
    <t>30.03.2018 №1043-23/УІІ</t>
  </si>
  <si>
    <t>Програма забезпечення пожежної безпеки в закладах освіти, культури та спорту міста Кам'янське на2018-2022 роки</t>
  </si>
  <si>
    <t>1517330</t>
  </si>
  <si>
    <t>7330</t>
  </si>
  <si>
    <t>0617340</t>
  </si>
  <si>
    <t>Проектування, реставрація та охорона пам'яток архітектури</t>
  </si>
  <si>
    <t xml:space="preserve">Програма розвитку культури  у м.Кам'янське на 2016 - 2020 роки </t>
  </si>
  <si>
    <t>ФМХ</t>
  </si>
  <si>
    <t>ФАУ</t>
  </si>
  <si>
    <t>24.02.2017           №652-14/VII              (зі змінами)</t>
  </si>
  <si>
    <t>Соцзахист</t>
  </si>
  <si>
    <t>здрав</t>
  </si>
  <si>
    <t>культура</t>
  </si>
  <si>
    <t xml:space="preserve">02.11.2018 №1246-29/VII </t>
  </si>
  <si>
    <t>Надання спеціальної освіти школами естетичного виховання (музичними, художніми, хореографічними, театральними, хоровими, мистецькими)</t>
  </si>
  <si>
    <t>0611100</t>
  </si>
  <si>
    <t>1100</t>
  </si>
  <si>
    <t>0614010</t>
  </si>
  <si>
    <t>4010</t>
  </si>
  <si>
    <t>0821</t>
  </si>
  <si>
    <t>4030</t>
  </si>
  <si>
    <t>0614070</t>
  </si>
  <si>
    <t>4070</t>
  </si>
  <si>
    <t>0823</t>
  </si>
  <si>
    <t>4082</t>
  </si>
  <si>
    <t>Фінансова підтримка театрів</t>
  </si>
  <si>
    <t>Фінансова підтримка кінематографії</t>
  </si>
  <si>
    <t>0611160</t>
  </si>
  <si>
    <t>1160</t>
  </si>
  <si>
    <t>Інші програми, заклади та заходи у сфері освіти</t>
  </si>
  <si>
    <t>0614080</t>
  </si>
  <si>
    <t>Інші заклади та заходи в галузі культури і мистецтва</t>
  </si>
  <si>
    <t>+</t>
  </si>
  <si>
    <t xml:space="preserve">Програма безпечної життєдіяльності населення в комунальних закладах охорони здоров'я міста Кам'янське на 2018-2021 роки </t>
  </si>
  <si>
    <t>від 30.03.18 №1047-23/VІІ</t>
  </si>
  <si>
    <t>0712150</t>
  </si>
  <si>
    <t>2150</t>
  </si>
  <si>
    <t>Інші програми, заклади та заходи у сфері охорони здоров`я</t>
  </si>
  <si>
    <t xml:space="preserve"> 25.12.15                 №29-03/VII                            (зі змінами)</t>
  </si>
  <si>
    <t xml:space="preserve"> 25.12.15               №29-03/VII                    (зі змінами)</t>
  </si>
  <si>
    <t xml:space="preserve"> 25.12.15              №29-03/VII                   (зі змінами)</t>
  </si>
  <si>
    <t xml:space="preserve"> 25.12.15                  №29-03/VII                         (зі змінами)</t>
  </si>
  <si>
    <t>02.11.2018           №1229-29/VII</t>
  </si>
  <si>
    <t xml:space="preserve">17.11.2017           №863-20/VІI </t>
  </si>
  <si>
    <t xml:space="preserve"> 29.07.2016            №258-09/VІІ               (зі змінами)</t>
  </si>
  <si>
    <t xml:space="preserve">17.11.2017                             №863-20/VІI </t>
  </si>
  <si>
    <t xml:space="preserve">17.11.2017                        №863-20/VІI </t>
  </si>
  <si>
    <t>23.06.2017                     №732-17/VІІ</t>
  </si>
  <si>
    <t xml:space="preserve"> 22.12.2017                             №955-21/VІІ                          (зі змінами)</t>
  </si>
  <si>
    <t xml:space="preserve"> 22.12.2017                              №969-21/VІІ</t>
  </si>
  <si>
    <t>23.06.2017                             №732-17/VІІ</t>
  </si>
  <si>
    <t xml:space="preserve"> 22.12.2017                                          №955-21/VІІ                                         (зі змінами)</t>
  </si>
  <si>
    <t xml:space="preserve"> 22.12.2017                                  №969-21/VІІ</t>
  </si>
  <si>
    <t>17.11.2017                          №833-20/VІІ</t>
  </si>
  <si>
    <t>25.12.2015                                   №31-03/VII                     (зі змінами)</t>
  </si>
  <si>
    <t>25.12.2015                 №37-03/VII                              (зі змінами)</t>
  </si>
  <si>
    <t>25.12.2015                     №25-03/VІІ                (зі змінами)</t>
  </si>
  <si>
    <t>17.11.2017                                №880-20/VII                  (зі змінами)</t>
  </si>
  <si>
    <t xml:space="preserve">23.06.2017                         №741-17/VII  </t>
  </si>
  <si>
    <t xml:space="preserve">в тому числі за рахунок субвенції з державного бюджету місцевим бюджетам на здійснення заходів щодо соціально-економічного розвитку окремих територій </t>
  </si>
  <si>
    <t>освита</t>
  </si>
  <si>
    <t>разом</t>
  </si>
  <si>
    <t>спорт</t>
  </si>
  <si>
    <t>відхилення</t>
  </si>
  <si>
    <t>Програма репродуктивне здоров'я дітей та майбутніх батьків міста Кам'янське на 2019-2021 роки</t>
  </si>
  <si>
    <t>21.12.2018 №1306-30/УІІ</t>
  </si>
  <si>
    <t>16.12.2016         №601-12/VII          (зі змінами)</t>
  </si>
  <si>
    <t>16.12.2016            №601-12/VII                                      (зі змінами)</t>
  </si>
  <si>
    <t xml:space="preserve">  29.02.12               №371-20/VI                   (зі змінами)</t>
  </si>
  <si>
    <t xml:space="preserve"> 16.12.2016                №601-12/VII          (зі змінами)</t>
  </si>
  <si>
    <t xml:space="preserve">  29.02.12                              № 371-20/VI               (зі змінами)</t>
  </si>
  <si>
    <t>21.12.2018                            №1259-30 /VІІ                    (зі змінами)</t>
  </si>
  <si>
    <t>21.12.2018                           №1259-30 /VІІ          (зі змінами)</t>
  </si>
  <si>
    <t>Програма "Диспетчеризації процесів підприємств, установ, організацій життєдіяльності міста  Кам`янське  на 2018-2022 роки"</t>
  </si>
  <si>
    <t>Програма безпеки та захисту населення і території від негативних наслідків надзвичайних ситуацій у місті Кам'янське на період  до 2020 року</t>
  </si>
  <si>
    <t>(у редакції рішення міської ради</t>
  </si>
  <si>
    <t>від _____________ №__________)</t>
  </si>
  <si>
    <t>17.11.2017                      №849-20/VII                               (зі змінами)</t>
  </si>
  <si>
    <t>17.11.2017                     №849-20/VII                        (зі змінами)</t>
  </si>
  <si>
    <t>29.09.2017                 №843-19/VІІ                         (зі змінами)</t>
  </si>
  <si>
    <t xml:space="preserve"> 25.12.2015                    №25-03/VІІ                     (зі змінами)</t>
  </si>
  <si>
    <t>26.02.2016                        №94-05/VII                  (зі змінами)</t>
  </si>
  <si>
    <t>26.02.2016                    №93-05/VІІ                        (зі змінами)</t>
  </si>
  <si>
    <t>25.12.2015               №28-03/VII                             (зі змінами)</t>
  </si>
  <si>
    <t>17.06.2016                 № 252-08/VІІ                     (зі змінами)</t>
  </si>
  <si>
    <t>26.02.2016                        №93-05/VІІ                   (зі змінами)</t>
  </si>
  <si>
    <t xml:space="preserve"> 26.02.2016                     № 92-05/VIІ                         (зі змінами)</t>
  </si>
  <si>
    <t xml:space="preserve"> 29.01.2016                №58-04/VII                          (зі змінами)</t>
  </si>
  <si>
    <t>30.03.2018              №1041-23/VІІ                        (зі змінами)</t>
  </si>
  <si>
    <t xml:space="preserve">26.12.2014                        №1182-58/VI                      (зі змінами) </t>
  </si>
  <si>
    <t xml:space="preserve">29.11.2013              №944-43/VІІ                   (зі змінами) </t>
  </si>
  <si>
    <t xml:space="preserve">  26.12.2014               №1182-58/VI                          (зі змінами)</t>
  </si>
  <si>
    <t xml:space="preserve"> 28.10.2016                № 528-11/VII                      (зі змінами)</t>
  </si>
  <si>
    <t xml:space="preserve"> 26.12.2014                        №1182-58/VI                   (зі змінами)</t>
  </si>
  <si>
    <t>23.02.2018                         №1024-22/VII</t>
  </si>
  <si>
    <t xml:space="preserve"> Програма "Молодь Дніпродзержинська" на 2012-2021 роки </t>
  </si>
  <si>
    <t xml:space="preserve"> Програма "Молодь Дніпродзержинська" на 2012-2021 роки</t>
  </si>
  <si>
    <r>
      <t>Програма розвитку культури  у місті Кам</t>
    </r>
    <r>
      <rPr>
        <sz val="12"/>
        <color indexed="8"/>
        <rFont val="Arial Cyr"/>
        <family val="0"/>
      </rPr>
      <t>’</t>
    </r>
    <r>
      <rPr>
        <sz val="12"/>
        <color indexed="8"/>
        <rFont val="Times New Roman"/>
        <family val="1"/>
      </rPr>
      <t xml:space="preserve">янське на 2016 - 2020 роки </t>
    </r>
  </si>
  <si>
    <t xml:space="preserve">Програма Здоров'я  населення міста Кам'янське на  2015-2019 роки </t>
  </si>
  <si>
    <t xml:space="preserve">Комплексна програма підтримки демобілізованих учасників антитерористичної операції  </t>
  </si>
  <si>
    <t xml:space="preserve"> Програма соціального захисту населення міста на 2018-2022 роки</t>
  </si>
  <si>
    <t xml:space="preserve"> Програма розвитку сімейної та гендерної політики в місті Кам'янське на 2012-2021 роки</t>
  </si>
  <si>
    <t>Програма соціального захисту населення міста на 2018-2022 роки</t>
  </si>
  <si>
    <t xml:space="preserve"> Програма "Родина героя"</t>
  </si>
  <si>
    <t>Комплексна програма підтримки демобілізованих учасників антитерористичної операції</t>
  </si>
  <si>
    <t xml:space="preserve"> Програма захисту прав дітей та розвитку сімейних форм виховання у м.Кам'янському на 2016-2020 роки</t>
  </si>
  <si>
    <t xml:space="preserve"> від  29.11.2013 №943-43/VІ            (зі змінами)</t>
  </si>
  <si>
    <t xml:space="preserve"> Міська програма містобудівної діяльності  і створення геоінформаційної  електронної містобудівної кадастрової системи м.Дніпродзержинська на 2014-2020 роки та заходів її реалізації</t>
  </si>
  <si>
    <t>1516012</t>
  </si>
  <si>
    <t>6012</t>
  </si>
  <si>
    <t>Забезпечення діяльності з виробництва, транспортування, постачання теплової енергії</t>
  </si>
  <si>
    <t xml:space="preserve">Програма захисту прав дітей та розвитку сімейних форм виховання у м.Кам'янському на 2016-2020 роки </t>
  </si>
  <si>
    <t xml:space="preserve">Програми захисту прав дітей та розвитку сімейних форм виховання у м.Кам'янському на 2016-2020 роки </t>
  </si>
  <si>
    <t>Програма захисту прав дітей та розвитку сімейних форм виховання у м.Кам'янському на 2016-2020 роки</t>
  </si>
  <si>
    <t xml:space="preserve">Програма підтримки комунального підприємства Кам'янської міської ради "Міська інформаційна служба" на 2019 рік </t>
  </si>
  <si>
    <t>Цільова комплексна програми розвитку фізичної культури і спорту в м. Кам'янське на 2017 - 2021 роки</t>
  </si>
  <si>
    <t>Утримання закладів, що надають соціальні послуги дітям, які опинились у складних життєвих обставинах, підтримка функціонування дитячих будинків сімейного типу та прийомних сімей</t>
  </si>
  <si>
    <t>17.11.2017            №915-20/VІІ            (зі змінами)</t>
  </si>
  <si>
    <t>Програма надання жилих приміщень сім’ям, в яких одночасно народилось троє і більше дітей, сім’ям, в яких жінкам присвоєно почесне звання України «Мати-героїня», та які потребують поліпшення житлових умов, на 2018 – 2022 роки</t>
  </si>
  <si>
    <t xml:space="preserve">  17.11.2017                  №891-20/VII            (зі змінами)</t>
  </si>
  <si>
    <t xml:space="preserve">  29.02.12                   № 370-20/VI                           (зі змінами)</t>
  </si>
  <si>
    <t xml:space="preserve">  29.02.12                № 370-20/VI                     (зі змінами)</t>
  </si>
  <si>
    <t xml:space="preserve"> 17.11.2017 №913-20/VII                      (зі змінами)</t>
  </si>
  <si>
    <t>30.01.2015                          №1211-59/УІ                         (зі змінами)</t>
  </si>
  <si>
    <t>1617350</t>
  </si>
  <si>
    <t>7350</t>
  </si>
  <si>
    <t>Розроблення схем планування та забудови територій (містобудівної документації)</t>
  </si>
  <si>
    <r>
      <t xml:space="preserve">від </t>
    </r>
    <r>
      <rPr>
        <u val="single"/>
        <sz val="24"/>
        <color indexed="8"/>
        <rFont val="Times New Roman"/>
        <family val="1"/>
      </rPr>
      <t>21.12.2018</t>
    </r>
    <r>
      <rPr>
        <sz val="24"/>
        <color indexed="8"/>
        <rFont val="Times New Roman"/>
        <family val="1"/>
      </rPr>
      <t xml:space="preserve"> №1</t>
    </r>
    <r>
      <rPr>
        <u val="single"/>
        <sz val="24"/>
        <color indexed="8"/>
        <rFont val="Times New Roman"/>
        <family val="1"/>
      </rPr>
      <t>305-30/VII</t>
    </r>
  </si>
  <si>
    <t>Програма розвитку комунального підприємства КМР "Лівобережний парк"на 2015-2020 роки</t>
  </si>
  <si>
    <t>1517130</t>
  </si>
  <si>
    <t>7130</t>
  </si>
  <si>
    <t>26.02.2016 №93-05/VII (зі змінами)</t>
  </si>
  <si>
    <t>0717322</t>
  </si>
  <si>
    <t>1517324</t>
  </si>
  <si>
    <t>7324</t>
  </si>
  <si>
    <t>Будівництво інших об’єктів комунальної власності</t>
  </si>
  <si>
    <t>3719770</t>
  </si>
  <si>
    <t>Програма створення і використання матеріальних резервів для запобігання, ліквідації надзвичайних ситуацій техногенного і природного характеру регіонального рівня та їх наслідків у місті Кам’янське  на 2018- 2020 роки</t>
  </si>
  <si>
    <t>3719800</t>
  </si>
  <si>
    <t xml:space="preserve">Субвенція з місцевого бюджету державному бюджету на виконання програм соціально-економічного розвитку регіонів </t>
  </si>
  <si>
    <t>в тому числі на створення і використання матеріальних резервів для запобігання та ліквідації надзвичайних ситуацій техногенного і природного характеру та їх наслідків</t>
  </si>
  <si>
    <t xml:space="preserve">в тому числі на заходи та роботи з територіальної оборони та мобілізаційної підготовки місцевого значення </t>
  </si>
  <si>
    <t xml:space="preserve">Комплексна програма забезпечення громадського (публічного) порядку та безпеки у  місті Кам’янське на 2019–2021 роки 
</t>
  </si>
  <si>
    <t>від 21.12.2018 №1283-30/VІІ          (зі змінами)</t>
  </si>
  <si>
    <t xml:space="preserve">Комплексна програма забезпечення громадського (публічного) порядку та безпеки у  місті Кам’янське на 2019–2021 роки </t>
  </si>
  <si>
    <t xml:space="preserve">Програма про підвищення боєздатності та функціонування Кам’янського об’єднаного міського територіального центру комплектування та соціальної підтримки  щодо забезпечення виконання мобілізаційних заходів, призову громадян України на строкову військову службу до лав Збройних Сил України та для підвищення боєздатності військової частини А4608 на 2019 рік </t>
  </si>
  <si>
    <t>від 25.12.2015 № 31-03/VII                          (зі змінами)</t>
  </si>
  <si>
    <r>
      <t xml:space="preserve">від 28.02.2019               </t>
    </r>
    <r>
      <rPr>
        <sz val="12"/>
        <color indexed="12"/>
        <rFont val="Times New Roman"/>
        <family val="1"/>
      </rPr>
      <t xml:space="preserve"> №-/VІІ</t>
    </r>
  </si>
  <si>
    <t xml:space="preserve"> 02.11.2018           №1215-29/VIІ</t>
  </si>
  <si>
    <t>Програма надання жилих приміщень сім’ям, в яких одночасно народилось троє і більше дітей, сім’ям, в яких жінкам присвоєно почесне звання України «Мати-героїня», та які потребують поліпшення житлових умов,                                                на 2018 – 2022 роки</t>
  </si>
  <si>
    <t>21.12.2018              № 1260-30/VІІ        (зі змінами)</t>
  </si>
  <si>
    <t>21.12.2018              № 1260-30/VІІ         (зі змінами)</t>
  </si>
  <si>
    <t>Будівництво установ та закладів культури</t>
  </si>
  <si>
    <t>27.03.2015                №1275-61/VI                     (зі змінами)</t>
  </si>
  <si>
    <t>27.03.2015                     №1274-61/VI                          (зі змінами)</t>
  </si>
  <si>
    <t xml:space="preserve">25.12.2015                      №30-03/VІІ                   (зі змінами) </t>
  </si>
  <si>
    <t>0617363</t>
  </si>
  <si>
    <t>Виконання інвестиційних проектів в рамках здійснення заходів щодо соціально-економічного розвитку окремих територій</t>
  </si>
  <si>
    <t>в тому числі за рахунок субвенції з державного бюджету місцевим бюджетам на здійснення заходів щодо соціально-економічного розвитку окремих територій (залишки)</t>
  </si>
  <si>
    <t>"Про затвердження програми розвитку освіти м.Кам'янського на 2017-2020 роки"</t>
  </si>
  <si>
    <t>від 16.12.2016                    № 601-12/VІІ                 (зі змінами)</t>
  </si>
  <si>
    <t>1517363</t>
  </si>
  <si>
    <t>Про заснування міської премії в галузі культури "Кам'янське мистецьке перевесло"</t>
  </si>
  <si>
    <t>16.12.16 №570-12/УІІ</t>
  </si>
  <si>
    <t>Програма розвитку житлового господарства м.Кам'янського  на 2016-2020 роки</t>
  </si>
  <si>
    <t>25.12.2015 №30-03/УІІ (зі змінами)</t>
  </si>
  <si>
    <t>Програма розвитку комунального підприємства Кам’янської міської ради «Кам’янське автотранспортне підприємство 042802» на 2016-2019 роки</t>
  </si>
  <si>
    <t>1517670</t>
  </si>
  <si>
    <t>7670</t>
  </si>
  <si>
    <t>Програма розвитку та утримання комунального підприємства  Кам’янської міської ради «Містшляхсервіс» на 2017–2020 роки</t>
  </si>
  <si>
    <t>2817670</t>
  </si>
  <si>
    <t>Програма розвитку комунального підприємства Кам"янської міської ради "Екосервіс" на 2019 рік</t>
  </si>
  <si>
    <t>02.11.2018 №1243-29/VII</t>
  </si>
  <si>
    <t>24.02.2017   №641-14/VII       (зі змінами)</t>
  </si>
  <si>
    <t>0210180</t>
  </si>
  <si>
    <t>1610180</t>
  </si>
  <si>
    <t>1700000</t>
  </si>
  <si>
    <t>Орган з питань державного архітектурно-будівельного контролю</t>
  </si>
  <si>
    <t>1710000</t>
  </si>
  <si>
    <t>Управління державного архітектурно-будівельного контролю</t>
  </si>
  <si>
    <t>1710180</t>
  </si>
  <si>
    <t>1910180</t>
  </si>
  <si>
    <t>Орган з питань економічного розвитку, торгівлі та інвестицій</t>
  </si>
  <si>
    <t>2710180</t>
  </si>
  <si>
    <t>01080</t>
  </si>
  <si>
    <t>2810180</t>
  </si>
  <si>
    <t>2900000</t>
  </si>
  <si>
    <t>2910180</t>
  </si>
  <si>
    <t>3110180</t>
  </si>
  <si>
    <t>3200000</t>
  </si>
  <si>
    <t>3210000</t>
  </si>
  <si>
    <t>Орган з питань реклами та масових заходів</t>
  </si>
  <si>
    <t>3210180</t>
  </si>
  <si>
    <t>3410180</t>
  </si>
  <si>
    <t>Орган з питань фінансів</t>
  </si>
  <si>
    <t>Кам'янська міська рада</t>
  </si>
  <si>
    <t>2919770</t>
  </si>
  <si>
    <t xml:space="preserve">Інші субвенції з місцевого бюджету </t>
  </si>
  <si>
    <t>3116082</t>
  </si>
  <si>
    <t>6082</t>
  </si>
  <si>
    <t>Придбання житла для окремих категорій населення відповідно до законодавства</t>
  </si>
  <si>
    <t>0610</t>
  </si>
  <si>
    <t>3116086</t>
  </si>
  <si>
    <t>6086</t>
  </si>
  <si>
    <t xml:space="preserve">Інша діяльність щодо забезпечення житлом громадян </t>
  </si>
  <si>
    <t>Реалізація програм і заходів в галузі туризму та курортів</t>
  </si>
  <si>
    <t>7693</t>
  </si>
  <si>
    <t>Інші заходи, пов'язані з економічною діяльністю</t>
  </si>
  <si>
    <t>Інші заходи у сфері автотранспорту</t>
  </si>
  <si>
    <t>Інші  медичні програми, заклади та заходи у сфері охорони здоров’я</t>
  </si>
  <si>
    <t>Програма соціально-економічного та культурного розвитку міста на 2018 рік</t>
  </si>
  <si>
    <t>3100</t>
  </si>
  <si>
    <t>3160</t>
  </si>
  <si>
    <t>3180</t>
  </si>
  <si>
    <t>3110</t>
  </si>
  <si>
    <t>3130</t>
  </si>
  <si>
    <t>0617320</t>
  </si>
  <si>
    <t>Будівництво об`єктів соціально-культурного призначення</t>
  </si>
  <si>
    <t>0617321</t>
  </si>
  <si>
    <t>Будівництво освітніх установ та закладів</t>
  </si>
  <si>
    <t>1517320</t>
  </si>
  <si>
    <t>7320</t>
  </si>
  <si>
    <t>1517322</t>
  </si>
  <si>
    <t>7322</t>
  </si>
  <si>
    <t>Будівництво медичних установ та закладів</t>
  </si>
  <si>
    <t>1516086</t>
  </si>
  <si>
    <t>Інша діяльність щодо забезпечення житлом громадян</t>
  </si>
  <si>
    <t>1516080</t>
  </si>
  <si>
    <t>6080</t>
  </si>
  <si>
    <t>Реалізація державних та місцевих житлових програм</t>
  </si>
  <si>
    <t>1917410</t>
  </si>
  <si>
    <t>7410</t>
  </si>
  <si>
    <t>Забезпечення надання послуг з перевезення пасажирів автомобільним транспортом</t>
  </si>
  <si>
    <t>1917420</t>
  </si>
  <si>
    <t>7420</t>
  </si>
  <si>
    <t>0712151</t>
  </si>
  <si>
    <t>Забезпечення надання послуг з перевезення пасажирів електротранспортом</t>
  </si>
  <si>
    <t>1917426</t>
  </si>
  <si>
    <t>7426</t>
  </si>
  <si>
    <t>0453</t>
  </si>
  <si>
    <t>2717620</t>
  </si>
  <si>
    <t>7620</t>
  </si>
  <si>
    <t>Розвиток готельного господарства та туризму</t>
  </si>
  <si>
    <t>2717622</t>
  </si>
  <si>
    <t>7622</t>
  </si>
  <si>
    <t>2717640</t>
  </si>
  <si>
    <t>7640</t>
  </si>
  <si>
    <t>2717690</t>
  </si>
  <si>
    <t>7690</t>
  </si>
  <si>
    <t>Інша економічна діяльність</t>
  </si>
  <si>
    <t>2918110</t>
  </si>
  <si>
    <t>8110</t>
  </si>
  <si>
    <t>Заходи запобігання та ліквідації надзвичайних ситуацій та наслідків стихійного лиха</t>
  </si>
  <si>
    <t>3116080</t>
  </si>
  <si>
    <t>3117690</t>
  </si>
  <si>
    <t>3117693</t>
  </si>
  <si>
    <t>Інші заходи, пов`язані з економічною діяльністю</t>
  </si>
  <si>
    <t>0725</t>
  </si>
  <si>
    <t>Будівництво об'єктів житлово-комунального господарства</t>
  </si>
  <si>
    <t>Будівництво установ та закладів соціальної сфери</t>
  </si>
  <si>
    <t>Будівництво споруд, установ та закладів фізичної культури і спорту</t>
  </si>
  <si>
    <t>Архівне управління міської ради</t>
  </si>
  <si>
    <t>Виконавчі органи місцевих рад, Рада міністрів Автономної Республіки Крим, державна адміністрація (обласні державні адміністрації, Київська, Севастопольська міські державні адміністрації, районні державні адміністрації (управління, відділи)</t>
  </si>
  <si>
    <t xml:space="preserve">Програма підтримки Кам'янської міської виборчої комісії у міжвиборчий період </t>
  </si>
  <si>
    <t>Програма розвитку місцевого самоврядування у м.Кам'янському на 2017-2021 роки</t>
  </si>
  <si>
    <t xml:space="preserve">Програма розвитку місцевого самоврядування у м.Кам'янському на 2017-2021 роки від </t>
  </si>
  <si>
    <t>Програма забезпечення діяльності органів самоорганізації населення в м.Дніпродзержинську на 2016-2020 роки</t>
  </si>
  <si>
    <t>Інша діяльність, пов'язана з експлуатацією об'єктів житлово-комунального господарства</t>
  </si>
  <si>
    <t>7680</t>
  </si>
  <si>
    <t>0117680</t>
  </si>
  <si>
    <t>Сплата членських внесків до асоціацій органів місцевого самоврядування</t>
  </si>
  <si>
    <t>Проведення навчально-тренувальних зборів і змагань та заходів зі спорту осіб з інвалідністю</t>
  </si>
  <si>
    <t>0712152</t>
  </si>
  <si>
    <t>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t>
  </si>
  <si>
    <t>Орган з питань інфраструктури, розвитку та утримання мережі автомобільних доріг загального користування місцевого значення</t>
  </si>
  <si>
    <t>Орган з питань захисту населення і територій від надзвичайних ситуацій техногенного та природного характеру</t>
  </si>
  <si>
    <t>Районні державні адміністрації у містах з районним поділом за відсутності районних у містах рад</t>
  </si>
  <si>
    <t>3242</t>
  </si>
  <si>
    <t>Інші заходи у сфері соціального захисту і соціального забезпечення</t>
  </si>
  <si>
    <t>0613242</t>
  </si>
  <si>
    <t>0613240</t>
  </si>
  <si>
    <t>3240</t>
  </si>
  <si>
    <t xml:space="preserve">Інші заклади та заходи </t>
  </si>
  <si>
    <t>0813190</t>
  </si>
  <si>
    <t>0813192</t>
  </si>
  <si>
    <t>Надання фінансової підтримки громадським організаціям ветеранів  і осіб з інвалідністю, діяльність яких має соціальну спрямованість</t>
  </si>
  <si>
    <t>0813240</t>
  </si>
  <si>
    <t>0813241</t>
  </si>
  <si>
    <t>0813242</t>
  </si>
  <si>
    <t>Забезпечення діяльності  інших закладів у сфері соціального захисту і  соціального забезпечення</t>
  </si>
  <si>
    <t>Надання соціальних та реабілітаційних послуг громадянам похилого віку,особам з  інвалідністю, дітям з  інвалідністю в установах соціального обслуговування</t>
  </si>
  <si>
    <t>Надання соціальних гарантій фізичним особам, які надають соціальні послуги громадянам похилого віку,особам з  інвалідністю, дітям  з  інвалідністю, хворим, які не здатні до самообслуговування і потребують сторонньої допомоги</t>
  </si>
  <si>
    <t>3192</t>
  </si>
  <si>
    <t>0611162</t>
  </si>
  <si>
    <t>1162</t>
  </si>
  <si>
    <t>Інші програми та заходи у сфері освіти</t>
  </si>
  <si>
    <t>Надання фінансової підтримки громадським організаціям ветеранів і осіб з інвалідністю, діяльність яких має соціальну спрямованість</t>
  </si>
  <si>
    <t>3190</t>
  </si>
  <si>
    <t>0913240</t>
  </si>
  <si>
    <t>0913242</t>
  </si>
  <si>
    <t>у тому числі інші субвенції з місцевого бюджету (на соціально-економічний розвиток)</t>
  </si>
  <si>
    <t xml:space="preserve">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t>
  </si>
  <si>
    <t>Первинна медична допомога населенню</t>
  </si>
  <si>
    <t>Інші програми та заходи у сфері охорони здоров`я</t>
  </si>
  <si>
    <t>0614082</t>
  </si>
  <si>
    <t>0829</t>
  </si>
  <si>
    <t>Інші заходи в галузі культури та мистецтва</t>
  </si>
  <si>
    <t>(грн)</t>
  </si>
  <si>
    <t xml:space="preserve">Розподіл витрат міського бюджету на реалізацію місцевих /регіональних програм  у 2019 році
 </t>
  </si>
  <si>
    <t>Найменування головного розпорядника коштів міського бюджету/ відповідального виконавця,найменування  бюджетної програми  згідно з Типовою програмною класифікацією видатків та кредитування місцевих бюджетів</t>
  </si>
  <si>
    <t>Х</t>
  </si>
  <si>
    <t>УСЬОГО</t>
  </si>
  <si>
    <t>О.Ю.Залевський</t>
  </si>
  <si>
    <t>Заходи із запобігання та ліквідації надзвичайних ситуацій та наслідків стихійного лиха</t>
  </si>
  <si>
    <t>Проведення експертної грошової оцінки земельної ділянки чи права на неї</t>
  </si>
  <si>
    <t>Утримання та розвиток автомобільних доріг та дорожньої інфраструктури</t>
  </si>
  <si>
    <t>Утримання та розвиток автомобільних доріг та дорожньої інфраструктури за рахунок коштів місцевого бюджету</t>
  </si>
  <si>
    <t>у тому числі інші субвенції з місцевого бюджету (субвенція з обласного бюджету до місцевих бюджетів на впровадження новітніх технологій)</t>
  </si>
  <si>
    <t>у тому числі субвенція з місцевого бюджету за рахунок залишку коштів освітньої субвенції, що утворився на початок бюджетного періоду (на оновлення матеріально-технічної бази)</t>
  </si>
  <si>
    <t>у тому числі інші субвенції з місцевого бюджету (субвенція з обласного бюджету до місцевих бюджетів на створення ресурсних кімнат для дітей з особливими освітніми потребами, що потребують інклюзивної освіти)</t>
  </si>
  <si>
    <t>у тому числі субвенція з місцевого бюджету за рахунок залишку коштів освітньої субвенції, що утворився на початок бюджетного періоду (на придбання обладнання та витратних матеріалів для початкової школи)</t>
  </si>
  <si>
    <t>у тому числі субвенція з місцевого бюджету за рахунок залишку коштів освітньої субвенції, що утворився на початок бюджетного періоду (на придбання обладнання для інноваційного навчально-тренінгового класу)</t>
  </si>
  <si>
    <t>у тому числі субвенція з місцевого бюджету за рахунок залишку коштів освітньої субвенції, що утворився на початок бюджетного періоду (на придбання обладнання для створення умов для підготовки та проведення зовнішнього незалежного оцінювання з іноземних мов)</t>
  </si>
  <si>
    <t>у тому числі субвенція з місцевого бюджету за рахунок залишку коштів освітньої субвенції, що утворився на початок бюджетного періоду (на придбання обладнання для кабінетів української мови в закладах загальної середньої освіти з навчанням мовами національних меншин)</t>
  </si>
  <si>
    <t>Забезпечення діяльності інших закладів у сфері охорони здоров'я</t>
  </si>
  <si>
    <t>Програма Партиципаторного бюджетування (бюджету участі) у місті Кам'янське на 2017-2021 роки, рішення міської ради від 17.11.2017 №880-20/VII (зі змінами)</t>
  </si>
  <si>
    <t>0614030</t>
  </si>
  <si>
    <t>Забезпечення діяльності бібліотек</t>
  </si>
  <si>
    <t>0614040</t>
  </si>
  <si>
    <t>4040</t>
  </si>
  <si>
    <t>0824</t>
  </si>
  <si>
    <t>Забезпечення діяльності музеїв i виставок</t>
  </si>
  <si>
    <t>0615031</t>
  </si>
  <si>
    <t>Програма децентралізації системи теплопостачання правобережної частини міста Кам'янське</t>
  </si>
  <si>
    <t>Програма розвитку житлового господарства м.Кам'янського на 2016-2020 роки</t>
  </si>
  <si>
    <t>Міська комплексна програма сприяння розвитку об'єднань співвласників багатоквартирних будинків у місті Кам'янське на 2018–2022 роки</t>
  </si>
  <si>
    <t>Програма ремонту та утримання фонтанів м.Кам'янське на 2017-2020 роки</t>
  </si>
  <si>
    <t xml:space="preserve">Програма благоустрою м.Кам'янське на 2015-2019 роки </t>
  </si>
  <si>
    <t>Програма благоустрою м.Кам'янське на 2015-2019 роки</t>
  </si>
  <si>
    <t>Програма регулювання чисельності безпритульних тварин у м.Кам'янське на 2018-2022 роки</t>
  </si>
  <si>
    <t>5031</t>
  </si>
  <si>
    <t>Утримання та навчально-тренувальна робота комунальних дитячо-юнацьких спортивних шкіл</t>
  </si>
  <si>
    <t>в тому числі за рахунок освітньої субвенції з державного бюджнету місцевим бюджетам (залишки)</t>
  </si>
  <si>
    <t>Інша діяльність у сфері екології та охорони природних ресурсів</t>
  </si>
  <si>
    <t>1517640</t>
  </si>
  <si>
    <t>Додаток №6</t>
  </si>
  <si>
    <t>до рішення міської ради</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</si>
  <si>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</si>
  <si>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</si>
  <si>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</si>
  <si>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місцевої/регіональної програми</t>
  </si>
  <si>
    <t>1518230</t>
  </si>
  <si>
    <t>8230</t>
  </si>
  <si>
    <t>0380</t>
  </si>
  <si>
    <t>Інші заходи громадського порядку та безпеки</t>
  </si>
  <si>
    <t>1517530</t>
  </si>
  <si>
    <t>7530</t>
  </si>
  <si>
    <t>0460</t>
  </si>
  <si>
    <t>Інші заходи у сфері зв'язку, телекомунікації та інформатики</t>
  </si>
  <si>
    <t>Забезпечення надійної та безперебійної експлуатації ліфтів</t>
  </si>
  <si>
    <t>4113130</t>
  </si>
  <si>
    <t xml:space="preserve"> Програма розвитку та діяльності комунальної установи "Центр молодіжних ініціатив" Кам'янської міської ради на 2019-2020 роки</t>
  </si>
  <si>
    <t>3416310</t>
  </si>
  <si>
    <t>1517690</t>
  </si>
  <si>
    <t>.0763</t>
  </si>
  <si>
    <t>Загальний фонд</t>
  </si>
  <si>
    <t>Спеціальний фонд</t>
  </si>
  <si>
    <t>0100000</t>
  </si>
  <si>
    <t>0110000</t>
  </si>
  <si>
    <t>0830</t>
  </si>
  <si>
    <t>0133</t>
  </si>
  <si>
    <t>1050</t>
  </si>
  <si>
    <t>Організація та проведення громадських робіт</t>
  </si>
  <si>
    <t>0620</t>
  </si>
  <si>
    <t>Департамент з гуманітарних питань  міської ради</t>
  </si>
  <si>
    <t>0910</t>
  </si>
  <si>
    <t>Дошкільні заклади освіти</t>
  </si>
  <si>
    <t>0921</t>
  </si>
  <si>
    <t>Загальноосвітні школи (в т. ч. школа-дитячий садок, інтернат при школі), спеціалізовані школи, ліцеї, гімназії, колегіуми</t>
  </si>
  <si>
    <t>0922</t>
  </si>
  <si>
    <t>0960</t>
  </si>
  <si>
    <t>0990</t>
  </si>
  <si>
    <t>1040</t>
  </si>
  <si>
    <t>Проведення спортивної роботи в регіоні</t>
  </si>
  <si>
    <t>0810</t>
  </si>
  <si>
    <t>Проведення навчально-тренувальних зборів і змагань з неолімпійських видів спорту</t>
  </si>
  <si>
    <t>Діяльність закладів фізичної культури і спорту  </t>
  </si>
  <si>
    <t xml:space="preserve">Дата та номер документа, яким затверджено місцеву регіональну програму </t>
  </si>
  <si>
    <t>Усього</t>
  </si>
  <si>
    <t>усього</t>
  </si>
  <si>
    <t>у тому числі бюджет розвитку</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</si>
  <si>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t>
  </si>
  <si>
    <t>Фінансова підтримка спортивних споруд</t>
  </si>
  <si>
    <t>Фінансова підтримка фізкультурно-спортивного руху</t>
  </si>
  <si>
    <t>Утримання апарату управління громадських фізкультурно-спортивних організацій</t>
  </si>
  <si>
    <t>Секретар міської ради</t>
  </si>
  <si>
    <t>Здійснення фізкультурно-спортивної та реабілітаційної роботи серед інвалідів</t>
  </si>
  <si>
    <t>Видатки на утримання центрів з інвалідного спорту і реабілітаційних шкіл</t>
  </si>
  <si>
    <t>0490</t>
  </si>
  <si>
    <t>0731</t>
  </si>
  <si>
    <t>0732</t>
  </si>
  <si>
    <t>0722</t>
  </si>
  <si>
    <t>0763</t>
  </si>
  <si>
    <t>1030</t>
  </si>
  <si>
    <t>Компенсаційні виплати на пільговий проїзд автомобільним транспортом окремим категоріям громадян</t>
  </si>
  <si>
    <t>Компенсаційні виплати за пільговий проїзд окремих категорій громадян на залізничному транспорті</t>
  </si>
  <si>
    <t>Компенсаційні виплати на пільговий проїзд електротранспортом окремим категоріям громадян</t>
  </si>
  <si>
    <t>Орган з питань праці та соціального захисту населення</t>
  </si>
  <si>
    <t>1060</t>
  </si>
  <si>
    <t>1020</t>
  </si>
  <si>
    <t>Соціальний захист ветеранів війни та праці</t>
  </si>
  <si>
    <t>Орган у справах дітей</t>
  </si>
  <si>
    <t>Заклади і заходи з питань дітей та їх соціального захисту</t>
  </si>
  <si>
    <t>3100000</t>
  </si>
  <si>
    <t>3110000</t>
  </si>
  <si>
    <t>Відділ реклами міської ради</t>
  </si>
  <si>
    <t>Департамент муніципальних послуг та  регуляторної політики  міської ради</t>
  </si>
  <si>
    <t>0411</t>
  </si>
  <si>
    <t>Департамент  комунальної власності, земельних відносин та реєстрації речових прав на нерухоме майно міської ради</t>
  </si>
  <si>
    <t>0421</t>
  </si>
  <si>
    <t>Орган з питань будівництва</t>
  </si>
  <si>
    <t>0611161</t>
  </si>
  <si>
    <t>Забезпечення діяльності інших закладів у сфері освіти</t>
  </si>
  <si>
    <t>в тому числі за рахунок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 на оснащення кабінетів інклюзивно-ресурсних центрів</t>
  </si>
  <si>
    <t xml:space="preserve">у тому числі Субвенція з місцевого бюджету на забезпечення якісної, сучасної та доступної загальної середньої освіти "Нова українська школа" на придбання дидактичного матеріалу та сучасних меблів, на придбання комп'ютерного обладнання, відповідного мультимедійного контенту для початкових класів </t>
  </si>
  <si>
    <t>Департамент житлово-комунального господарства та будівництва міської ради</t>
  </si>
  <si>
    <t>0456</t>
  </si>
  <si>
    <t>0180</t>
  </si>
  <si>
    <t>Орган з питань містобудування та архітектури</t>
  </si>
  <si>
    <t>Управління  містобудування та архітектури міської ради</t>
  </si>
  <si>
    <t>0443</t>
  </si>
  <si>
    <t>Орган з питань екології, охорони навколишнього середовища та природних ресурсів</t>
  </si>
  <si>
    <t>Управління  екології та природних ресурсів міської ради</t>
  </si>
  <si>
    <t>Інші заходи та заклади молодіжної політики</t>
  </si>
  <si>
    <t>0540</t>
  </si>
  <si>
    <t>Управління  транспортної інфраструктури та зв`язку міської ради</t>
  </si>
  <si>
    <t>Інші заходи у сфері електротранспорту</t>
  </si>
  <si>
    <t>0451</t>
  </si>
  <si>
    <t>Управління  з питань надзвичайних ситуацій та цивільного захисту населення міської ради</t>
  </si>
  <si>
    <t>0320</t>
  </si>
  <si>
    <t>Департамент економічного розвитку міської ради</t>
  </si>
  <si>
    <t>0470</t>
  </si>
  <si>
    <t>Адміністрація Південного району міської ради</t>
  </si>
  <si>
    <t>Адміністрація Дніпровського району міської ради</t>
  </si>
  <si>
    <t xml:space="preserve">Адміністрація Заводського району міської ради </t>
  </si>
  <si>
    <t>Здійснення соціальної роботи з вразливими категоріями населення</t>
  </si>
  <si>
    <t>Служба у справах дітей міської ради</t>
  </si>
  <si>
    <t>в тому числі за рахунок освітньої субвенції з державного бюджету місцевим бюджетам</t>
  </si>
  <si>
    <t>Управління соціального захисту населення адміністрації Південного району міської ради</t>
  </si>
  <si>
    <t>Управління соціального захисту населення адміністрації Дніпровського району міської ради</t>
  </si>
  <si>
    <t>Управління соціального захисту населення адміністрації Заводського району міської ради</t>
  </si>
  <si>
    <t>1516310</t>
  </si>
  <si>
    <t>Служба у справах дітей  адміністрації Південного району міської ради</t>
  </si>
  <si>
    <t>Служба у справах дітей адміністрації Дніпровського району міської ради</t>
  </si>
  <si>
    <t>Служба у справах дітей адміністрації Заводського району міської ради</t>
  </si>
  <si>
    <t>Здійснення заходів та реалізація проектів на виконання Державної цільової соціальної програми `Молодь України`</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</si>
  <si>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</si>
  <si>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Заходи державної політики з питань сім`ї</t>
  </si>
  <si>
    <t>Заходи державної політики з питань дітей та їх соціального захисту</t>
  </si>
  <si>
    <t>Багатопрофільна стаціонарна медична допомога населенню</t>
  </si>
  <si>
    <t>Спеціалізована стаціонарна медична допомога населенню</t>
  </si>
  <si>
    <t>Проведення навчально-тренувальних зборів і змагань з олімпійських видів спорту</t>
  </si>
  <si>
    <t>3416020</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</si>
  <si>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</si>
  <si>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Реалізація державної політики у молодіжній сфері</t>
  </si>
  <si>
    <t>Реалізація заходів щодо інвестиційного розвитку території</t>
  </si>
  <si>
    <t>6310</t>
  </si>
  <si>
    <t>Сприяння розвитку малого та середнього підприємництва</t>
  </si>
  <si>
    <t>Внески до статутного капіталу суб'єктів господарювання</t>
  </si>
  <si>
    <t>Заходи з енергозбереження</t>
  </si>
  <si>
    <t>Здійснення заходів з  розвитку місцевого самоврядування</t>
  </si>
  <si>
    <t>Здійснення заходів по забезпеченню діяльності органів самоорганізації населення</t>
  </si>
  <si>
    <t>Здійснення підтримки міської виборчої комісії у міжвиборчий період</t>
  </si>
  <si>
    <t>Підготовка земельних ділянок несількогосподарського призначення або прав на них комунальної власності для продажу на земельних торгах та проведення такіх торгів</t>
  </si>
  <si>
    <t>Програма соціально-економічного та культурного розвитку міста на 2017 рік, рішення міської ради від 16.12.2016 №562-12/VII (зі змінами)</t>
  </si>
  <si>
    <t>в тому числі за рахунок субвенції з державного бюджету місцевим бюджетам на здійснення заходів щодо соціально-економічного розвитку окремих територій</t>
  </si>
  <si>
    <t>Управління соціальної політики міської ради</t>
  </si>
  <si>
    <t>Управління охорони здоров'я міської ради</t>
  </si>
  <si>
    <t>Інші заходи з розвитку фізичної культури та спорту</t>
  </si>
  <si>
    <t>0710000</t>
  </si>
  <si>
    <t>0712010</t>
  </si>
  <si>
    <t>0712020</t>
  </si>
  <si>
    <t>0712100</t>
  </si>
  <si>
    <t>Стоматологічна допомога населенню</t>
  </si>
  <si>
    <t>0712110</t>
  </si>
  <si>
    <t>0118410</t>
  </si>
  <si>
    <t>Фінансова підтримка засобів масової інформації</t>
  </si>
  <si>
    <t>0600000</t>
  </si>
  <si>
    <t>Орган з питань освіти і науки</t>
  </si>
  <si>
    <t>0610000</t>
  </si>
  <si>
    <t>0613130</t>
  </si>
  <si>
    <t>0613131</t>
  </si>
  <si>
    <t>3131</t>
  </si>
  <si>
    <t>0613140</t>
  </si>
  <si>
    <t>3140</t>
  </si>
  <si>
    <t>Інші заклади  та заходи</t>
  </si>
  <si>
    <t>0700000</t>
  </si>
  <si>
    <t>Орган  з питань охорони здоров'я</t>
  </si>
  <si>
    <t>0800000</t>
  </si>
  <si>
    <t>0810000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</si>
  <si>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</si>
  <si>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</si>
  <si>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 xml:space="preserve">Надання інших пільг окремим категоріям громадян відповідно  до законодавства </t>
  </si>
  <si>
    <t>0813033</t>
  </si>
  <si>
    <t>0813035</t>
  </si>
  <si>
    <t>0813036</t>
  </si>
  <si>
    <t>0813120</t>
  </si>
  <si>
    <t>0813121</t>
  </si>
  <si>
    <t>Утримання  та забезпечення  діяльності центрів соціальних служб для сім`ї, дітей та молоді</t>
  </si>
  <si>
    <t>0813123</t>
  </si>
  <si>
    <t>0813140</t>
  </si>
  <si>
    <t>0813180</t>
  </si>
  <si>
    <t>0813030</t>
  </si>
  <si>
    <t>0813100</t>
  </si>
  <si>
    <t>0813104</t>
  </si>
  <si>
    <t>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</si>
  <si>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</si>
  <si>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0813160</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</si>
  <si>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</si>
  <si>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0900000</t>
  </si>
  <si>
    <t>0910000</t>
  </si>
  <si>
    <t>0913110</t>
  </si>
  <si>
    <t>0913111</t>
  </si>
  <si>
    <t>3111</t>
  </si>
  <si>
    <t>0913112</t>
  </si>
  <si>
    <t>3112</t>
  </si>
  <si>
    <t>0617670</t>
  </si>
  <si>
    <t>1500000</t>
  </si>
  <si>
    <t>1510000</t>
  </si>
  <si>
    <t>2800000</t>
  </si>
  <si>
    <t>2810000</t>
  </si>
  <si>
    <t>1900000</t>
  </si>
  <si>
    <t>1910000</t>
  </si>
  <si>
    <t>Орган з питань управління комунальним майном</t>
  </si>
  <si>
    <t>Здійснення заходів із землеустрою</t>
  </si>
  <si>
    <t>3400000</t>
  </si>
  <si>
    <t>Орган з питань надання адміністративних послуг</t>
  </si>
  <si>
    <t>3410000</t>
  </si>
  <si>
    <t>Природоохоронні заходи за рахунок цільових фондів</t>
  </si>
  <si>
    <t>0611010</t>
  </si>
  <si>
    <t>0611020</t>
  </si>
  <si>
    <t>0611040</t>
  </si>
  <si>
    <t>Надання дошкільної освітии</t>
  </si>
  <si>
    <t>Надання загальної середньої освітизагальноосвітнімси навчальними закладами (в т. ч. школою-дитячим садком, інтернатом при школі), спеціалізованими школами, ліцеями, гімназіями, колегіумами</t>
  </si>
  <si>
    <t>Надання загальної середньої освіти загальноосвітніми школами-інтернатами, загальноосвітніми санаторними школами-інтернатами</t>
  </si>
  <si>
    <t>6111090</t>
  </si>
  <si>
    <t>Надання позашкільної освіти позашкільними закладами освіти, заходи із позашкільної роботи з дітьми</t>
  </si>
  <si>
    <t>Утримання та ефективна експлуатація об'єктів житлово-комунального господарства</t>
  </si>
  <si>
    <t>Експлуатація та технічне обслуговування житлового фонду</t>
  </si>
  <si>
    <t>Забезпечення функціонування підприємств, установ та організацій, що виробляють, виконують та/або надають житлово-комунальні послуги</t>
  </si>
  <si>
    <t>0615010</t>
  </si>
  <si>
    <t>0615011</t>
  </si>
  <si>
    <t>0615012</t>
  </si>
  <si>
    <t>0615020</t>
  </si>
  <si>
    <t>0615022</t>
  </si>
  <si>
    <t>0615023</t>
  </si>
  <si>
    <t>0615024</t>
  </si>
  <si>
    <t>0615030</t>
  </si>
  <si>
    <t>0615033</t>
  </si>
  <si>
    <t>0615040</t>
  </si>
  <si>
    <t>0615041</t>
  </si>
  <si>
    <t>0615060</t>
  </si>
  <si>
    <t>0615061</t>
  </si>
  <si>
    <t>0110180</t>
  </si>
  <si>
    <t xml:space="preserve">Програма розвитку місцевого самоврядування у м.Кам'янському на 2017-2021 роки </t>
  </si>
  <si>
    <t>4110000</t>
  </si>
  <si>
    <t>4100000</t>
  </si>
  <si>
    <t>4110180</t>
  </si>
  <si>
    <t>4200000</t>
  </si>
  <si>
    <t>4300000</t>
  </si>
  <si>
    <t>4210180</t>
  </si>
  <si>
    <t>4310180</t>
  </si>
  <si>
    <t>0610180</t>
  </si>
  <si>
    <t>0710180</t>
  </si>
  <si>
    <t>0810180</t>
  </si>
  <si>
    <t>0910180</t>
  </si>
  <si>
    <t>0200000</t>
  </si>
  <si>
    <t>0210000</t>
  </si>
  <si>
    <t xml:space="preserve"> Програма розвитку комунального підприємства КМР "Центральний парк культури та відпочинку" на 2015-2020 роки</t>
  </si>
  <si>
    <t>Програма підтримки внутрішньо переміщених осіб</t>
  </si>
  <si>
    <t>Програма соціально-економічного та культурного розвитку міста на 2019 рік</t>
  </si>
  <si>
    <t>х</t>
  </si>
  <si>
    <t>Програма енергоефективності та зменшення споживання енергетичних ресурсів у м.Кам’янському на 2019 рік</t>
  </si>
  <si>
    <t xml:space="preserve"> Програма розвитку житлового господарства
м.Кам'янське на 2016–2020 роки
</t>
  </si>
  <si>
    <t>"Оріон"</t>
  </si>
  <si>
    <t xml:space="preserve"> Програма розвитку комунального підприємства Кам’янської міської ради «Тепломережі» на 2016–2020 роки</t>
  </si>
  <si>
    <t xml:space="preserve"> Програма розвитку комунального виробничого підприємства Кам’янської міської ради «Міськводоканал» на 2016–2020 роки</t>
  </si>
  <si>
    <t xml:space="preserve"> Програма розвитку та утримання комунального підприємства Кам’янської міської ради «Управляюча компанія по обслуговуванню житлового фонду» на 2016–2020 роки</t>
  </si>
  <si>
    <t>1517693</t>
  </si>
  <si>
    <t>Програма розвитку житлового господарства м.Кам'янське на 2016-2020 роки</t>
  </si>
  <si>
    <t>Програма "Безпечне місто Кам'янське на 2016–2020роки"</t>
  </si>
  <si>
    <t>Програма благоустрою м.Кам'янське                                          на 2015-2019 роки</t>
  </si>
  <si>
    <t xml:space="preserve">в тому числі за рахунок зовнішнього місцевого запозичення шляхом залучення кредиту від Північної Екологічної Фінансвової Корпорації (НЕФКО) </t>
  </si>
  <si>
    <t>Програма розвитку транспортного комплексу м.Кам'янське на 2018 - 2022 роки</t>
  </si>
  <si>
    <t>Програма розвитку міськелектротранспорту міста Кам`янське на 2018 - 2020 роки</t>
  </si>
  <si>
    <t>Міська програма щодо створення сприятливого життєвого середовища та доступу до об'єктів  соціальної інфраструктури для осіб з обмеженими фізичними можливостями та інших маломобільних груп населення на 2014–2025роки</t>
  </si>
  <si>
    <t>Програма розвитку туристичної галузі міста Кам’янське на 2017–2022 роки</t>
  </si>
  <si>
    <t>Програма партиципаторного бюджетування (бюджету участі) у місті Кам’янське                         на 2017-2021 роки</t>
  </si>
  <si>
    <t xml:space="preserve"> Екологічна  програма міста Кам"янського на 2016–2020 роки</t>
  </si>
  <si>
    <t>Цільова соціальна програма розвитку цивільного захисту та забезпечення пожежної безпеки в місті Кам'янське на 2016 –2020 роки</t>
  </si>
  <si>
    <t>Міська програма придбання житла для відселення мешканців під'їзду №6, квартири якого непридатні для проживання, в будинку за адресою: просп.Свободи, 67</t>
  </si>
  <si>
    <t>Міська програма придбання житла для відселення мешканців з непридатного для проживання будинку за адресою: пров.Маговий,4</t>
  </si>
  <si>
    <t xml:space="preserve"> Програма розвитку земельних відносин у місті Кам`янське на 2018-2020 роки</t>
  </si>
  <si>
    <t xml:space="preserve"> Програма по проведенню технічної інвентаризації об’єктів комунальної власності територіальної громади м.Кам’янського</t>
  </si>
  <si>
    <t>Програма благоустрою м.Кам'янське                                    на 2015-2019 роки</t>
  </si>
  <si>
    <t>1517691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</si>
  <si>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t>
  </si>
  <si>
    <t>1615021</t>
  </si>
  <si>
    <t>5021</t>
  </si>
  <si>
    <t>5041</t>
  </si>
  <si>
    <t>Утримання центрів фізичної культури і спорту осіб з інвалідністю і реабілітаційних шкіл</t>
  </si>
  <si>
    <t>Утримання та фінансова підтримка спортивних споруд</t>
  </si>
  <si>
    <t>0615062</t>
  </si>
  <si>
    <t>Підтримка спорту вищих досягнень та організацій, які здійснюють фізкультурно-спортивну діяльність в регіоні</t>
  </si>
  <si>
    <t>0615032</t>
  </si>
  <si>
    <t>5032</t>
  </si>
  <si>
    <t>Фінансова підтримка дитячо-юнацьких спортивних шкіл фізкультурно-спортивних товариств</t>
  </si>
  <si>
    <t>1515041</t>
  </si>
</sst>
</file>

<file path=xl/styles.xml><?xml version="1.0" encoding="utf-8"?>
<styleSheet xmlns="http://schemas.openxmlformats.org/spreadsheetml/2006/main">
  <numFmts count="4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р.&quot;;\-#,##0\ &quot;р.&quot;"/>
    <numFmt numFmtId="189" formatCode="#,##0\ &quot;р.&quot;;[Red]\-#,##0\ &quot;р.&quot;"/>
    <numFmt numFmtId="190" formatCode="#,##0.00\ &quot;р.&quot;;\-#,##0.00\ &quot;р.&quot;"/>
    <numFmt numFmtId="191" formatCode="#,##0.00\ &quot;р.&quot;;[Red]\-#,##0.00\ &quot;р.&quot;"/>
    <numFmt numFmtId="192" formatCode="_-* #,##0\ &quot;р.&quot;_-;\-* #,##0\ &quot;р.&quot;_-;_-* &quot;-&quot;\ &quot;р.&quot;_-;_-@_-"/>
    <numFmt numFmtId="193" formatCode="_-* #,##0\ _р_._-;\-* #,##0\ _р_._-;_-* &quot;-&quot;\ _р_._-;_-@_-"/>
    <numFmt numFmtId="194" formatCode="_-* #,##0.00\ &quot;р.&quot;_-;\-* #,##0.00\ &quot;р.&quot;_-;_-* &quot;-&quot;??\ &quot;р.&quot;_-;_-@_-"/>
    <numFmt numFmtId="195" formatCode="_-* #,##0.00\ _р_._-;\-* #,##0.00\ _р_._-;_-* &quot;-&quot;??\ _р_._-;_-@_-"/>
    <numFmt numFmtId="196" formatCode="#,##0.000"/>
    <numFmt numFmtId="197" formatCode="&quot;Да&quot;;&quot;Да&quot;;&quot;Нет&quot;"/>
    <numFmt numFmtId="198" formatCode="&quot;Истина&quot;;&quot;Истина&quot;;&quot;Ложь&quot;"/>
    <numFmt numFmtId="199" formatCode="&quot;Вкл&quot;;&quot;Вкл&quot;;&quot;Выкл&quot;"/>
    <numFmt numFmtId="200" formatCode="[$€-2]\ ###,000_);[Red]\([$€-2]\ ###,000\)"/>
    <numFmt numFmtId="201" formatCode="#,##0.0"/>
    <numFmt numFmtId="202" formatCode="[$-FC19]d\ mmmm\ yyyy\ &quot;г.&quot;"/>
    <numFmt numFmtId="203" formatCode="#,##0.00_ ;\-#,##0.00\ "/>
  </numFmts>
  <fonts count="80">
    <font>
      <sz val="10"/>
      <name val="Arial Cyr"/>
      <family val="0"/>
    </font>
    <font>
      <sz val="8"/>
      <name val="Arial Cyr"/>
      <family val="0"/>
    </font>
    <font>
      <sz val="11"/>
      <name val="Times New Roman"/>
      <family val="1"/>
    </font>
    <font>
      <sz val="10"/>
      <color indexed="8"/>
      <name val="Arial"/>
      <family val="2"/>
    </font>
    <font>
      <sz val="12"/>
      <name val="Times New Roman"/>
      <family val="1"/>
    </font>
    <font>
      <sz val="10"/>
      <name val="Times New Roman"/>
      <family val="1"/>
    </font>
    <font>
      <i/>
      <sz val="12"/>
      <name val="Times New Roman"/>
      <family val="1"/>
    </font>
    <font>
      <sz val="8"/>
      <name val="Times New Roman"/>
      <family val="1"/>
    </font>
    <font>
      <b/>
      <sz val="12"/>
      <name val="Times New Roman"/>
      <family val="1"/>
    </font>
    <font>
      <sz val="12"/>
      <color indexed="10"/>
      <name val="Times New Roman"/>
      <family val="1"/>
    </font>
    <font>
      <b/>
      <sz val="12"/>
      <color indexed="10"/>
      <name val="Times New Roman"/>
      <family val="1"/>
    </font>
    <font>
      <i/>
      <sz val="10"/>
      <name val="Times New Roman"/>
      <family val="1"/>
    </font>
    <font>
      <u val="single"/>
      <sz val="10"/>
      <color indexed="12"/>
      <name val="Arial Cyr"/>
      <family val="0"/>
    </font>
    <font>
      <u val="single"/>
      <sz val="10"/>
      <color indexed="36"/>
      <name val="Arial Cyr"/>
      <family val="0"/>
    </font>
    <font>
      <sz val="14"/>
      <color indexed="8"/>
      <name val="Times New Roman"/>
      <family val="1"/>
    </font>
    <font>
      <sz val="12"/>
      <color indexed="8"/>
      <name val="Times New Roman"/>
      <family val="1"/>
    </font>
    <font>
      <b/>
      <sz val="12"/>
      <color indexed="8"/>
      <name val="Times New Roman"/>
      <family val="1"/>
    </font>
    <font>
      <sz val="11"/>
      <color indexed="8"/>
      <name val="Times New Roman"/>
      <family val="1"/>
    </font>
    <font>
      <sz val="12"/>
      <color indexed="8"/>
      <name val="Arial Cyr"/>
      <family val="0"/>
    </font>
    <font>
      <i/>
      <sz val="10"/>
      <color indexed="8"/>
      <name val="Times New Roman"/>
      <family val="1"/>
    </font>
    <font>
      <sz val="26"/>
      <color indexed="8"/>
      <name val="Times New Roman"/>
      <family val="1"/>
    </font>
    <font>
      <b/>
      <sz val="26"/>
      <color indexed="8"/>
      <name val="Times New Roman"/>
      <family val="1"/>
    </font>
    <font>
      <b/>
      <sz val="10"/>
      <color indexed="8"/>
      <name val="Times New Roman"/>
      <family val="1"/>
    </font>
    <font>
      <b/>
      <sz val="14"/>
      <color indexed="8"/>
      <name val="Times New Roman"/>
      <family val="1"/>
    </font>
    <font>
      <sz val="26"/>
      <color indexed="10"/>
      <name val="Times New Roman"/>
      <family val="1"/>
    </font>
    <font>
      <sz val="26"/>
      <name val="Times New Roman"/>
      <family val="1"/>
    </font>
    <font>
      <i/>
      <sz val="12"/>
      <color indexed="8"/>
      <name val="Times New Roman"/>
      <family val="1"/>
    </font>
    <font>
      <sz val="12"/>
      <name val="Arial Cyr"/>
      <family val="0"/>
    </font>
    <font>
      <sz val="14"/>
      <name val="Times New Roman"/>
      <family val="1"/>
    </font>
    <font>
      <b/>
      <sz val="26"/>
      <name val="Times New Roman"/>
      <family val="1"/>
    </font>
    <font>
      <b/>
      <sz val="11"/>
      <color indexed="8"/>
      <name val="Times New Roman"/>
      <family val="1"/>
    </font>
    <font>
      <sz val="20"/>
      <color indexed="10"/>
      <name val="Times New Roman"/>
      <family val="1"/>
    </font>
    <font>
      <sz val="26"/>
      <color indexed="56"/>
      <name val="Times New Roman"/>
      <family val="1"/>
    </font>
    <font>
      <sz val="18"/>
      <name val="Times New Roman"/>
      <family val="1"/>
    </font>
    <font>
      <b/>
      <i/>
      <sz val="10"/>
      <name val="Times New Roman"/>
      <family val="1"/>
    </font>
    <font>
      <b/>
      <i/>
      <sz val="12"/>
      <name val="Times New Roman"/>
      <family val="1"/>
    </font>
    <font>
      <b/>
      <sz val="14"/>
      <name val="Times New Roman"/>
      <family val="1"/>
    </font>
    <font>
      <sz val="24"/>
      <color indexed="8"/>
      <name val="Times New Roman"/>
      <family val="1"/>
    </font>
    <font>
      <u val="single"/>
      <sz val="24"/>
      <color indexed="8"/>
      <name val="Times New Roman"/>
      <family val="1"/>
    </font>
    <font>
      <sz val="12"/>
      <color indexed="12"/>
      <name val="Times New Roman"/>
      <family val="1"/>
    </font>
    <font>
      <i/>
      <sz val="10"/>
      <color indexed="10"/>
      <name val="Times New Roman"/>
      <family val="1"/>
    </font>
    <font>
      <sz val="14"/>
      <color indexed="10"/>
      <name val="Times New Roman"/>
      <family val="1"/>
    </font>
    <font>
      <i/>
      <sz val="13"/>
      <color indexed="9"/>
      <name val="Times New Roman"/>
      <family val="1"/>
    </font>
    <font>
      <b/>
      <i/>
      <sz val="13"/>
      <color indexed="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2"/>
      <color rgb="FFFF0000"/>
      <name val="Times New Roman"/>
      <family val="1"/>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indexed="9"/>
        <bgColor indexed="64"/>
      </patternFill>
    </fill>
    <fill>
      <patternFill patternType="solid">
        <fgColor indexed="13"/>
        <bgColor indexed="64"/>
      </patternFill>
    </fill>
    <fill>
      <patternFill patternType="solid">
        <fgColor indexed="27"/>
        <bgColor indexed="64"/>
      </patternFill>
    </fill>
    <fill>
      <patternFill patternType="solid">
        <fgColor rgb="FFFFFF00"/>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color indexed="63"/>
      </bottom>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0"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3" fillId="25" borderId="1" applyNumberFormat="0" applyAlignment="0" applyProtection="0"/>
    <xf numFmtId="0" fontId="64" fillId="26" borderId="2" applyNumberFormat="0" applyAlignment="0" applyProtection="0"/>
    <xf numFmtId="0" fontId="65" fillId="26" borderId="1" applyNumberFormat="0" applyAlignment="0" applyProtection="0"/>
    <xf numFmtId="0" fontId="1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3" fillId="0" borderId="0">
      <alignment vertical="top"/>
      <protection/>
    </xf>
    <xf numFmtId="0" fontId="69" fillId="0" borderId="6" applyNumberFormat="0" applyFill="0" applyAlignment="0" applyProtection="0"/>
    <xf numFmtId="0" fontId="70" fillId="27" borderId="7" applyNumberFormat="0" applyAlignment="0" applyProtection="0"/>
    <xf numFmtId="0" fontId="71" fillId="0" borderId="0" applyNumberFormat="0" applyFill="0" applyBorder="0" applyAlignment="0" applyProtection="0"/>
    <xf numFmtId="0" fontId="72" fillId="28" borderId="0" applyNumberFormat="0" applyBorder="0" applyAlignment="0" applyProtection="0"/>
    <xf numFmtId="0" fontId="13" fillId="0" borderId="0" applyNumberFormat="0" applyFill="0" applyBorder="0" applyAlignment="0" applyProtection="0"/>
    <xf numFmtId="0" fontId="73" fillId="29" borderId="0" applyNumberFormat="0" applyBorder="0" applyAlignment="0" applyProtection="0"/>
    <xf numFmtId="0" fontId="74"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5" fillId="0" borderId="9" applyNumberFormat="0" applyFill="0" applyAlignment="0" applyProtection="0"/>
    <xf numFmtId="0" fontId="7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7" fillId="31" borderId="0" applyNumberFormat="0" applyBorder="0" applyAlignment="0" applyProtection="0"/>
  </cellStyleXfs>
  <cellXfs count="473">
    <xf numFmtId="0" fontId="0" fillId="0" borderId="0" xfId="0" applyAlignment="1">
      <alignment/>
    </xf>
    <xf numFmtId="0" fontId="4" fillId="32" borderId="0" xfId="0" applyFont="1" applyFill="1" applyBorder="1" applyAlignment="1">
      <alignment vertical="center" wrapText="1"/>
    </xf>
    <xf numFmtId="0" fontId="14" fillId="0" borderId="0" xfId="0" applyFont="1" applyAlignment="1">
      <alignment horizontal="center" vertical="center" wrapText="1"/>
    </xf>
    <xf numFmtId="3" fontId="14" fillId="0" borderId="0" xfId="0" applyNumberFormat="1" applyFont="1" applyAlignment="1">
      <alignment horizontal="center" vertical="center" wrapText="1"/>
    </xf>
    <xf numFmtId="0" fontId="15" fillId="0" borderId="0" xfId="0" applyFont="1" applyAlignment="1">
      <alignment horizontal="center" vertical="center" wrapText="1"/>
    </xf>
    <xf numFmtId="0" fontId="15" fillId="0" borderId="10" xfId="0" applyFont="1" applyBorder="1" applyAlignment="1">
      <alignment horizontal="center" vertical="center" wrapText="1"/>
    </xf>
    <xf numFmtId="0" fontId="15" fillId="0" borderId="10" xfId="0" applyFont="1" applyFill="1" applyBorder="1" applyAlignment="1">
      <alignment horizontal="center" vertical="center" wrapText="1"/>
    </xf>
    <xf numFmtId="2" fontId="15" fillId="0" borderId="10" xfId="0" applyNumberFormat="1" applyFont="1" applyBorder="1" applyAlignment="1">
      <alignment horizontal="center" vertical="center" wrapText="1"/>
    </xf>
    <xf numFmtId="49" fontId="15" fillId="0" borderId="10" xfId="0" applyNumberFormat="1" applyFont="1" applyBorder="1" applyAlignment="1">
      <alignment horizontal="center" vertical="center" wrapText="1"/>
    </xf>
    <xf numFmtId="3" fontId="15" fillId="0" borderId="10" xfId="49" applyNumberFormat="1" applyFont="1" applyFill="1" applyBorder="1" applyAlignment="1">
      <alignment horizontal="center" vertical="center" wrapText="1"/>
      <protection/>
    </xf>
    <xf numFmtId="49" fontId="15" fillId="4" borderId="10" xfId="0" applyNumberFormat="1" applyFont="1" applyFill="1" applyBorder="1" applyAlignment="1">
      <alignment horizontal="center" vertical="center" wrapText="1"/>
    </xf>
    <xf numFmtId="49" fontId="15" fillId="4" borderId="10" xfId="0" applyNumberFormat="1" applyFont="1" applyFill="1" applyBorder="1" applyAlignment="1" quotePrefix="1">
      <alignment horizontal="center" vertical="center" wrapText="1"/>
    </xf>
    <xf numFmtId="3" fontId="15" fillId="4" borderId="10" xfId="49" applyNumberFormat="1" applyFont="1" applyFill="1" applyBorder="1" applyAlignment="1">
      <alignment horizontal="center" vertical="center" wrapText="1"/>
      <protection/>
    </xf>
    <xf numFmtId="49" fontId="16" fillId="33" borderId="10" xfId="0" applyNumberFormat="1" applyFont="1" applyFill="1" applyBorder="1" applyAlignment="1">
      <alignment horizontal="center" vertical="center" wrapText="1"/>
    </xf>
    <xf numFmtId="49" fontId="16" fillId="33" borderId="10" xfId="0" applyNumberFormat="1" applyFont="1" applyFill="1" applyBorder="1" applyAlignment="1" quotePrefix="1">
      <alignment horizontal="center" vertical="center" wrapText="1"/>
    </xf>
    <xf numFmtId="2" fontId="15" fillId="4" borderId="10" xfId="0" applyNumberFormat="1" applyFont="1" applyFill="1" applyBorder="1" applyAlignment="1">
      <alignment horizontal="center" vertical="center" wrapText="1"/>
    </xf>
    <xf numFmtId="0" fontId="15" fillId="32" borderId="10" xfId="0" applyFont="1" applyFill="1" applyBorder="1" applyAlignment="1">
      <alignment horizontal="center" vertical="center" wrapText="1"/>
    </xf>
    <xf numFmtId="49" fontId="15" fillId="32" borderId="10" xfId="0" applyNumberFormat="1" applyFont="1" applyFill="1" applyBorder="1" applyAlignment="1">
      <alignment horizontal="center" vertical="center" wrapText="1"/>
    </xf>
    <xf numFmtId="2" fontId="15" fillId="32" borderId="10" xfId="0" applyNumberFormat="1" applyFont="1" applyFill="1" applyBorder="1" applyAlignment="1">
      <alignment horizontal="center" vertical="center" wrapText="1"/>
    </xf>
    <xf numFmtId="49" fontId="15" fillId="0" borderId="10" xfId="0" applyNumberFormat="1" applyFont="1" applyBorder="1" applyAlignment="1" quotePrefix="1">
      <alignment horizontal="center" vertical="center" wrapText="1"/>
    </xf>
    <xf numFmtId="49" fontId="15" fillId="32" borderId="10" xfId="0" applyNumberFormat="1" applyFont="1" applyFill="1" applyBorder="1" applyAlignment="1" quotePrefix="1">
      <alignment horizontal="center" vertical="center" wrapText="1"/>
    </xf>
    <xf numFmtId="49" fontId="15" fillId="0" borderId="10" xfId="0" applyNumberFormat="1" applyFont="1" applyFill="1" applyBorder="1" applyAlignment="1">
      <alignment horizontal="center" vertical="center" wrapText="1"/>
    </xf>
    <xf numFmtId="4" fontId="17" fillId="0" borderId="10" xfId="0" applyNumberFormat="1" applyFont="1" applyBorder="1" applyAlignment="1">
      <alignment horizontal="right" vertical="center" wrapText="1"/>
    </xf>
    <xf numFmtId="4" fontId="17" fillId="34" borderId="10" xfId="0" applyNumberFormat="1" applyFont="1" applyFill="1" applyBorder="1" applyAlignment="1">
      <alignment horizontal="right" vertical="center" wrapText="1"/>
    </xf>
    <xf numFmtId="2" fontId="15" fillId="34" borderId="10" xfId="0" applyNumberFormat="1" applyFont="1" applyFill="1" applyBorder="1" applyAlignment="1">
      <alignment horizontal="center" vertical="center" wrapText="1"/>
    </xf>
    <xf numFmtId="4" fontId="17" fillId="0" borderId="11" xfId="0" applyNumberFormat="1" applyFont="1" applyBorder="1" applyAlignment="1">
      <alignment horizontal="right" vertical="center" wrapText="1"/>
    </xf>
    <xf numFmtId="4" fontId="15" fillId="0" borderId="10" xfId="49" applyNumberFormat="1" applyFont="1" applyFill="1" applyBorder="1" applyAlignment="1">
      <alignment horizontal="right" vertical="center" wrapText="1"/>
      <protection/>
    </xf>
    <xf numFmtId="0" fontId="17" fillId="0" borderId="0" xfId="0" applyFont="1" applyAlignment="1">
      <alignment horizontal="center" vertical="center" wrapText="1"/>
    </xf>
    <xf numFmtId="4" fontId="2" fillId="0" borderId="11" xfId="0" applyNumberFormat="1" applyFont="1" applyBorder="1" applyAlignment="1">
      <alignment horizontal="right" vertical="center" wrapText="1"/>
    </xf>
    <xf numFmtId="4" fontId="2" fillId="0" borderId="10" xfId="0" applyNumberFormat="1" applyFont="1" applyBorder="1" applyAlignment="1">
      <alignment horizontal="right" vertical="center" wrapText="1"/>
    </xf>
    <xf numFmtId="2" fontId="4" fillId="34" borderId="12" xfId="0" applyNumberFormat="1" applyFont="1" applyFill="1" applyBorder="1" applyAlignment="1">
      <alignment horizontal="center" vertical="center" wrapText="1"/>
    </xf>
    <xf numFmtId="3" fontId="4" fillId="0" borderId="10" xfId="0"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15" fillId="0" borderId="13" xfId="0" applyFont="1" applyBorder="1" applyAlignment="1">
      <alignment horizontal="center" vertical="center" wrapText="1"/>
    </xf>
    <xf numFmtId="2" fontId="23" fillId="33" borderId="10" xfId="0" applyNumberFormat="1" applyFont="1" applyFill="1" applyBorder="1" applyAlignment="1">
      <alignment horizontal="center" vertical="center" wrapText="1"/>
    </xf>
    <xf numFmtId="4" fontId="17" fillId="0" borderId="10" xfId="0" applyNumberFormat="1" applyFont="1" applyFill="1" applyBorder="1" applyAlignment="1">
      <alignment horizontal="right" vertical="center" wrapText="1"/>
    </xf>
    <xf numFmtId="49" fontId="4" fillId="32" borderId="10" xfId="0" applyNumberFormat="1" applyFont="1" applyFill="1" applyBorder="1" applyAlignment="1">
      <alignment horizontal="center" vertical="center" wrapText="1"/>
    </xf>
    <xf numFmtId="2" fontId="4" fillId="32" borderId="10" xfId="0" applyNumberFormat="1" applyFont="1" applyFill="1" applyBorder="1" applyAlignment="1" quotePrefix="1">
      <alignment horizontal="center" vertical="center" wrapText="1"/>
    </xf>
    <xf numFmtId="3" fontId="4" fillId="0" borderId="10" xfId="49" applyNumberFormat="1" applyFont="1" applyFill="1" applyBorder="1" applyAlignment="1">
      <alignment horizontal="center" vertical="center" wrapText="1"/>
      <protection/>
    </xf>
    <xf numFmtId="49" fontId="4" fillId="0" borderId="10" xfId="0" applyNumberFormat="1" applyFont="1" applyBorder="1" applyAlignment="1">
      <alignment horizontal="center" vertical="center" wrapText="1"/>
    </xf>
    <xf numFmtId="2" fontId="4" fillId="0" borderId="10" xfId="0" applyNumberFormat="1" applyFont="1" applyFill="1" applyBorder="1" applyAlignment="1">
      <alignment horizontal="center" vertical="center" wrapText="1"/>
    </xf>
    <xf numFmtId="2" fontId="15" fillId="0" borderId="0" xfId="0" applyNumberFormat="1" applyFont="1" applyFill="1" applyBorder="1" applyAlignment="1">
      <alignment horizontal="center" vertical="center" wrapText="1"/>
    </xf>
    <xf numFmtId="3" fontId="4" fillId="0" borderId="12" xfId="0" applyNumberFormat="1" applyFont="1" applyFill="1" applyBorder="1" applyAlignment="1" applyProtection="1">
      <alignment horizontal="center" vertical="center" wrapText="1"/>
      <protection/>
    </xf>
    <xf numFmtId="49" fontId="4" fillId="32" borderId="10" xfId="0" applyNumberFormat="1" applyFont="1" applyFill="1" applyBorder="1" applyAlignment="1" quotePrefix="1">
      <alignment horizontal="center" vertical="center" wrapText="1"/>
    </xf>
    <xf numFmtId="49" fontId="4" fillId="0" borderId="10" xfId="0" applyNumberFormat="1" applyFont="1" applyBorder="1" applyAlignment="1" quotePrefix="1">
      <alignment horizontal="center" vertical="center" wrapText="1"/>
    </xf>
    <xf numFmtId="0" fontId="4" fillId="0" borderId="0" xfId="0" applyFont="1" applyAlignment="1">
      <alignment vertical="center" wrapText="1"/>
    </xf>
    <xf numFmtId="0" fontId="5" fillId="0" borderId="0" xfId="0" applyFont="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vertical="center" wrapText="1"/>
    </xf>
    <xf numFmtId="0" fontId="4" fillId="0" borderId="0" xfId="0" applyFont="1" applyFill="1" applyAlignment="1">
      <alignment vertical="center" wrapText="1"/>
    </xf>
    <xf numFmtId="0" fontId="4" fillId="32" borderId="0" xfId="0" applyFont="1" applyFill="1" applyAlignment="1">
      <alignment vertical="center" wrapText="1"/>
    </xf>
    <xf numFmtId="0" fontId="8" fillId="0" borderId="0" xfId="0" applyFont="1" applyAlignment="1">
      <alignment vertical="center" wrapText="1"/>
    </xf>
    <xf numFmtId="4" fontId="4" fillId="0" borderId="0" xfId="0" applyNumberFormat="1" applyFont="1" applyAlignment="1">
      <alignment vertical="center" wrapText="1"/>
    </xf>
    <xf numFmtId="0" fontId="4" fillId="33" borderId="0" xfId="0" applyFont="1" applyFill="1" applyBorder="1" applyAlignment="1">
      <alignment vertical="center" wrapText="1"/>
    </xf>
    <xf numFmtId="0" fontId="10" fillId="0" borderId="0" xfId="0" applyFont="1" applyBorder="1" applyAlignment="1">
      <alignment vertical="center" wrapText="1"/>
    </xf>
    <xf numFmtId="0" fontId="8" fillId="0" borderId="0" xfId="0" applyFont="1" applyBorder="1" applyAlignment="1">
      <alignment vertical="center" wrapText="1"/>
    </xf>
    <xf numFmtId="0" fontId="4" fillId="0" borderId="0" xfId="0" applyFont="1" applyBorder="1" applyAlignment="1">
      <alignment vertical="center" wrapText="1"/>
    </xf>
    <xf numFmtId="0" fontId="4" fillId="0" borderId="0" xfId="0" applyFont="1" applyFill="1" applyBorder="1" applyAlignment="1">
      <alignment vertical="center" wrapText="1"/>
    </xf>
    <xf numFmtId="0" fontId="11" fillId="0" borderId="0" xfId="0" applyFont="1" applyAlignment="1">
      <alignment vertical="center" wrapText="1"/>
    </xf>
    <xf numFmtId="0" fontId="6" fillId="0" borderId="0" xfId="0" applyFont="1" applyAlignment="1">
      <alignment vertical="center" wrapText="1"/>
    </xf>
    <xf numFmtId="0" fontId="24" fillId="0" borderId="0" xfId="0" applyFont="1" applyFill="1" applyAlignment="1">
      <alignment vertical="center" wrapText="1"/>
    </xf>
    <xf numFmtId="0" fontId="2" fillId="0" borderId="0" xfId="0" applyFont="1" applyAlignment="1">
      <alignment vertical="center" wrapText="1"/>
    </xf>
    <xf numFmtId="49" fontId="15" fillId="32" borderId="12" xfId="0" applyNumberFormat="1" applyFont="1" applyFill="1" applyBorder="1" applyAlignment="1" quotePrefix="1">
      <alignment horizontal="center" vertical="center" wrapText="1"/>
    </xf>
    <xf numFmtId="49" fontId="15" fillId="32" borderId="12" xfId="0" applyNumberFormat="1" applyFont="1" applyFill="1" applyBorder="1" applyAlignment="1">
      <alignment horizontal="center" vertical="center" wrapText="1"/>
    </xf>
    <xf numFmtId="3" fontId="4" fillId="0" borderId="12" xfId="49" applyNumberFormat="1" applyFont="1" applyFill="1" applyBorder="1" applyAlignment="1">
      <alignment horizontal="center" vertical="center" wrapText="1"/>
      <protection/>
    </xf>
    <xf numFmtId="49" fontId="4" fillId="0" borderId="10" xfId="0" applyNumberFormat="1" applyFont="1" applyFill="1" applyBorder="1" applyAlignment="1">
      <alignment horizontal="center" vertical="center" wrapText="1"/>
    </xf>
    <xf numFmtId="49" fontId="4" fillId="0" borderId="10" xfId="0" applyNumberFormat="1" applyFont="1" applyFill="1" applyBorder="1" applyAlignment="1" quotePrefix="1">
      <alignment horizontal="center" vertical="center" wrapText="1"/>
    </xf>
    <xf numFmtId="2" fontId="4" fillId="0" borderId="10" xfId="0" applyNumberFormat="1" applyFont="1" applyFill="1" applyBorder="1" applyAlignment="1" quotePrefix="1">
      <alignment horizontal="center" vertical="center" wrapText="1"/>
    </xf>
    <xf numFmtId="49" fontId="8" fillId="33" borderId="10" xfId="0" applyNumberFormat="1" applyFont="1" applyFill="1" applyBorder="1" applyAlignment="1" quotePrefix="1">
      <alignment horizontal="center" vertical="center" wrapText="1"/>
    </xf>
    <xf numFmtId="49" fontId="8" fillId="33" borderId="10" xfId="0" applyNumberFormat="1" applyFont="1" applyFill="1" applyBorder="1" applyAlignment="1">
      <alignment horizontal="center" vertical="center" wrapText="1"/>
    </xf>
    <xf numFmtId="49" fontId="4" fillId="33" borderId="10" xfId="0" applyNumberFormat="1" applyFont="1" applyFill="1" applyBorder="1" applyAlignment="1">
      <alignment horizontal="center" vertical="center" wrapText="1"/>
    </xf>
    <xf numFmtId="49" fontId="4" fillId="4" borderId="10" xfId="0" applyNumberFormat="1" applyFont="1" applyFill="1" applyBorder="1" applyAlignment="1" quotePrefix="1">
      <alignment horizontal="center" vertical="center" wrapText="1"/>
    </xf>
    <xf numFmtId="49" fontId="4" fillId="4" borderId="10" xfId="0" applyNumberFormat="1" applyFont="1" applyFill="1" applyBorder="1" applyAlignment="1">
      <alignment horizontal="center" vertical="center" wrapText="1"/>
    </xf>
    <xf numFmtId="4" fontId="28" fillId="0" borderId="0" xfId="0" applyNumberFormat="1" applyFont="1" applyAlignment="1">
      <alignment vertical="center" wrapText="1"/>
    </xf>
    <xf numFmtId="4" fontId="4" fillId="0" borderId="0" xfId="0" applyNumberFormat="1" applyFont="1" applyFill="1" applyAlignment="1">
      <alignment vertical="center" wrapText="1"/>
    </xf>
    <xf numFmtId="3" fontId="15" fillId="0" borderId="12" xfId="0" applyNumberFormat="1" applyFont="1" applyFill="1" applyBorder="1" applyAlignment="1" applyProtection="1">
      <alignment horizontal="center" vertical="center" wrapText="1"/>
      <protection/>
    </xf>
    <xf numFmtId="2" fontId="15" fillId="34" borderId="11" xfId="0" applyNumberFormat="1" applyFont="1" applyFill="1" applyBorder="1" applyAlignment="1">
      <alignment horizontal="center" vertical="center" wrapText="1"/>
    </xf>
    <xf numFmtId="2" fontId="15" fillId="32" borderId="11" xfId="0" applyNumberFormat="1" applyFont="1" applyFill="1" applyBorder="1" applyAlignment="1">
      <alignment horizontal="center" vertical="center" wrapText="1"/>
    </xf>
    <xf numFmtId="2" fontId="4" fillId="34" borderId="14" xfId="0" applyNumberFormat="1" applyFont="1" applyFill="1" applyBorder="1" applyAlignment="1">
      <alignment horizontal="center" vertical="center" wrapText="1"/>
    </xf>
    <xf numFmtId="49" fontId="15" fillId="0" borderId="12" xfId="0" applyNumberFormat="1" applyFont="1" applyBorder="1" applyAlignment="1" quotePrefix="1">
      <alignment horizontal="center" vertical="center" wrapText="1"/>
    </xf>
    <xf numFmtId="49" fontId="15" fillId="0" borderId="12" xfId="0" applyNumberFormat="1" applyFont="1" applyBorder="1" applyAlignment="1">
      <alignment horizontal="center" vertical="center" wrapText="1"/>
    </xf>
    <xf numFmtId="0" fontId="4" fillId="0" borderId="0" xfId="0" applyFont="1" applyAlignment="1">
      <alignment horizontal="center" vertical="center" wrapText="1"/>
    </xf>
    <xf numFmtId="3" fontId="15" fillId="32" borderId="10" xfId="0" applyNumberFormat="1" applyFont="1" applyFill="1" applyBorder="1" applyAlignment="1">
      <alignment horizontal="center" vertical="center" wrapText="1"/>
    </xf>
    <xf numFmtId="0" fontId="9" fillId="0" borderId="0" xfId="0" applyFont="1" applyAlignment="1">
      <alignment horizontal="center" vertical="center" wrapText="1"/>
    </xf>
    <xf numFmtId="49" fontId="4" fillId="0" borderId="12" xfId="0" applyNumberFormat="1" applyFont="1" applyBorder="1" applyAlignment="1" quotePrefix="1">
      <alignment horizontal="center" vertical="center" wrapText="1"/>
    </xf>
    <xf numFmtId="49" fontId="4" fillId="0" borderId="12" xfId="0" applyNumberFormat="1" applyFont="1" applyBorder="1" applyAlignment="1">
      <alignment horizontal="center" vertical="center" wrapText="1"/>
    </xf>
    <xf numFmtId="0" fontId="8" fillId="0" borderId="0" xfId="0" applyFont="1" applyFill="1" applyAlignment="1">
      <alignment vertical="center" wrapText="1"/>
    </xf>
    <xf numFmtId="49" fontId="14" fillId="0" borderId="0" xfId="0" applyNumberFormat="1" applyFont="1" applyAlignment="1">
      <alignment vertical="center" wrapText="1"/>
    </xf>
    <xf numFmtId="49" fontId="15" fillId="0" borderId="13" xfId="0" applyNumberFormat="1" applyFont="1" applyBorder="1" applyAlignment="1">
      <alignment vertical="center" wrapText="1"/>
    </xf>
    <xf numFmtId="49" fontId="16" fillId="4" borderId="10" xfId="0" applyNumberFormat="1" applyFont="1" applyFill="1" applyBorder="1" applyAlignment="1" quotePrefix="1">
      <alignment horizontal="center" vertical="center" wrapText="1"/>
    </xf>
    <xf numFmtId="49" fontId="15" fillId="0" borderId="0" xfId="0" applyNumberFormat="1" applyFont="1" applyAlignment="1">
      <alignment vertical="center" wrapText="1"/>
    </xf>
    <xf numFmtId="49" fontId="17" fillId="0" borderId="0" xfId="0" applyNumberFormat="1" applyFont="1" applyAlignment="1">
      <alignment vertical="center" wrapText="1"/>
    </xf>
    <xf numFmtId="49" fontId="16" fillId="4" borderId="10" xfId="0" applyNumberFormat="1" applyFont="1" applyFill="1" applyBorder="1" applyAlignment="1">
      <alignment horizontal="center" vertical="center" wrapText="1"/>
    </xf>
    <xf numFmtId="49" fontId="15" fillId="32" borderId="10" xfId="0" applyNumberFormat="1" applyFont="1" applyFill="1" applyBorder="1" applyAlignment="1">
      <alignment vertical="center" wrapText="1"/>
    </xf>
    <xf numFmtId="2" fontId="4" fillId="0" borderId="10" xfId="0" applyNumberFormat="1" applyFont="1" applyBorder="1" applyAlignment="1">
      <alignment horizontal="center" vertical="center" wrapText="1"/>
    </xf>
    <xf numFmtId="2" fontId="4" fillId="32" borderId="10" xfId="0" applyNumberFormat="1" applyFont="1" applyFill="1" applyBorder="1" applyAlignment="1">
      <alignment horizontal="center" vertical="center" wrapText="1"/>
    </xf>
    <xf numFmtId="2" fontId="11" fillId="0" borderId="10" xfId="0" applyNumberFormat="1" applyFont="1" applyBorder="1" applyAlignment="1">
      <alignment horizontal="center" vertical="center" wrapText="1"/>
    </xf>
    <xf numFmtId="3" fontId="15" fillId="32" borderId="12" xfId="49" applyNumberFormat="1" applyFont="1" applyFill="1" applyBorder="1" applyAlignment="1">
      <alignment horizontal="center" vertical="center" wrapText="1"/>
      <protection/>
    </xf>
    <xf numFmtId="2" fontId="16" fillId="33" borderId="15" xfId="0" applyNumberFormat="1" applyFont="1" applyFill="1" applyBorder="1" applyAlignment="1">
      <alignment horizontal="center" vertical="center" wrapText="1"/>
    </xf>
    <xf numFmtId="0" fontId="16" fillId="33" borderId="15" xfId="0" applyFont="1" applyFill="1" applyBorder="1" applyAlignment="1">
      <alignment horizontal="center" vertical="center" wrapText="1"/>
    </xf>
    <xf numFmtId="0" fontId="25" fillId="0" borderId="0" xfId="0" applyNumberFormat="1" applyFont="1" applyFill="1" applyAlignment="1" applyProtection="1">
      <alignment horizontal="center" vertical="center" wrapText="1"/>
      <protection/>
    </xf>
    <xf numFmtId="4" fontId="22" fillId="0" borderId="10" xfId="0" applyNumberFormat="1" applyFont="1" applyBorder="1" applyAlignment="1">
      <alignment horizontal="center" vertical="center" wrapText="1"/>
    </xf>
    <xf numFmtId="4" fontId="14" fillId="0" borderId="0" xfId="0" applyNumberFormat="1" applyFont="1" applyAlignment="1">
      <alignment horizontal="right" vertical="center" wrapText="1"/>
    </xf>
    <xf numFmtId="4" fontId="15" fillId="0" borderId="13" xfId="0" applyNumberFormat="1" applyFont="1" applyBorder="1" applyAlignment="1">
      <alignment horizontal="right" vertical="center" wrapText="1"/>
    </xf>
    <xf numFmtId="4" fontId="15" fillId="0" borderId="10" xfId="0" applyNumberFormat="1" applyFont="1" applyBorder="1" applyAlignment="1">
      <alignment horizontal="right" vertical="center" wrapText="1"/>
    </xf>
    <xf numFmtId="4" fontId="16" fillId="4" borderId="10" xfId="0" applyNumberFormat="1" applyFont="1" applyFill="1" applyBorder="1" applyAlignment="1" quotePrefix="1">
      <alignment horizontal="right" vertical="center" wrapText="1"/>
    </xf>
    <xf numFmtId="4" fontId="16" fillId="33" borderId="15" xfId="0" applyNumberFormat="1" applyFont="1" applyFill="1" applyBorder="1" applyAlignment="1">
      <alignment horizontal="right" vertical="center" wrapText="1"/>
    </xf>
    <xf numFmtId="4" fontId="15" fillId="0" borderId="10" xfId="0" applyNumberFormat="1" applyFont="1" applyFill="1" applyBorder="1" applyAlignment="1" quotePrefix="1">
      <alignment horizontal="right" vertical="center" wrapText="1"/>
    </xf>
    <xf numFmtId="4" fontId="15" fillId="0" borderId="10" xfId="0" applyNumberFormat="1" applyFont="1" applyFill="1" applyBorder="1" applyAlignment="1">
      <alignment horizontal="right" vertical="center" wrapText="1"/>
    </xf>
    <xf numFmtId="4" fontId="4" fillId="32" borderId="10" xfId="0" applyNumberFormat="1" applyFont="1" applyFill="1" applyBorder="1" applyAlignment="1">
      <alignment horizontal="right" vertical="center" wrapText="1"/>
    </xf>
    <xf numFmtId="4" fontId="4" fillId="0" borderId="10" xfId="49" applyNumberFormat="1" applyFont="1" applyFill="1" applyBorder="1" applyAlignment="1">
      <alignment horizontal="right" vertical="center" wrapText="1"/>
      <protection/>
    </xf>
    <xf numFmtId="4" fontId="16" fillId="33" borderId="15" xfId="0" applyNumberFormat="1" applyFont="1" applyFill="1" applyBorder="1" applyAlignment="1" quotePrefix="1">
      <alignment horizontal="right" vertical="center" wrapText="1"/>
    </xf>
    <xf numFmtId="4" fontId="15" fillId="0" borderId="12" xfId="0" applyNumberFormat="1" applyFont="1" applyBorder="1" applyAlignment="1">
      <alignment horizontal="right" vertical="center" wrapText="1"/>
    </xf>
    <xf numFmtId="4" fontId="4" fillId="0" borderId="10" xfId="0" applyNumberFormat="1" applyFont="1" applyBorder="1" applyAlignment="1">
      <alignment horizontal="right" vertical="center" wrapText="1"/>
    </xf>
    <xf numFmtId="4" fontId="15" fillId="0" borderId="14" xfId="0" applyNumberFormat="1" applyFont="1" applyBorder="1" applyAlignment="1">
      <alignment horizontal="right" vertical="center" wrapText="1"/>
    </xf>
    <xf numFmtId="4" fontId="26" fillId="0" borderId="10" xfId="0" applyNumberFormat="1" applyFont="1" applyBorder="1" applyAlignment="1">
      <alignment horizontal="right" vertical="center" wrapText="1"/>
    </xf>
    <xf numFmtId="4" fontId="6" fillId="0" borderId="10" xfId="0" applyNumberFormat="1" applyFont="1" applyBorder="1" applyAlignment="1">
      <alignment horizontal="right" vertical="center" wrapText="1"/>
    </xf>
    <xf numFmtId="4" fontId="6" fillId="34" borderId="10" xfId="0" applyNumberFormat="1" applyFont="1" applyFill="1" applyBorder="1" applyAlignment="1">
      <alignment horizontal="right" vertical="center" wrapText="1"/>
    </xf>
    <xf numFmtId="4" fontId="15" fillId="32" borderId="10" xfId="0" applyNumberFormat="1" applyFont="1" applyFill="1" applyBorder="1" applyAlignment="1">
      <alignment horizontal="right" vertical="center" wrapText="1"/>
    </xf>
    <xf numFmtId="4" fontId="4" fillId="0" borderId="10" xfId="0" applyNumberFormat="1" applyFont="1" applyFill="1" applyBorder="1" applyAlignment="1" applyProtection="1">
      <alignment horizontal="right" vertical="center" wrapText="1"/>
      <protection/>
    </xf>
    <xf numFmtId="4" fontId="4" fillId="0" borderId="12" xfId="49" applyNumberFormat="1" applyFont="1" applyFill="1" applyBorder="1" applyAlignment="1">
      <alignment horizontal="right" vertical="center" wrapText="1"/>
      <protection/>
    </xf>
    <xf numFmtId="4" fontId="15" fillId="32" borderId="10" xfId="0" applyNumberFormat="1" applyFont="1" applyFill="1" applyBorder="1" applyAlignment="1" quotePrefix="1">
      <alignment horizontal="right" vertical="center" wrapText="1"/>
    </xf>
    <xf numFmtId="4" fontId="15" fillId="0" borderId="12" xfId="0" applyNumberFormat="1" applyFont="1" applyFill="1" applyBorder="1" applyAlignment="1">
      <alignment horizontal="right" vertical="center" wrapText="1"/>
    </xf>
    <xf numFmtId="4" fontId="4" fillId="0" borderId="10" xfId="0" applyNumberFormat="1" applyFont="1" applyFill="1" applyBorder="1" applyAlignment="1">
      <alignment horizontal="right" vertical="center" wrapText="1"/>
    </xf>
    <xf numFmtId="4" fontId="15" fillId="0" borderId="10" xfId="0" applyNumberFormat="1" applyFont="1" applyFill="1" applyBorder="1" applyAlignment="1" applyProtection="1">
      <alignment horizontal="right" vertical="center" wrapText="1"/>
      <protection/>
    </xf>
    <xf numFmtId="4" fontId="15" fillId="0" borderId="12" xfId="0" applyNumberFormat="1" applyFont="1" applyFill="1" applyBorder="1" applyAlignment="1" applyProtection="1">
      <alignment horizontal="right" vertical="center" wrapText="1"/>
      <protection/>
    </xf>
    <xf numFmtId="4" fontId="15" fillId="34" borderId="11" xfId="0" applyNumberFormat="1" applyFont="1" applyFill="1" applyBorder="1" applyAlignment="1">
      <alignment horizontal="right" vertical="center" wrapText="1"/>
    </xf>
    <xf numFmtId="4" fontId="4" fillId="34" borderId="10" xfId="0" applyNumberFormat="1" applyFont="1" applyFill="1" applyBorder="1" applyAlignment="1">
      <alignment horizontal="right" vertical="center" wrapText="1"/>
    </xf>
    <xf numFmtId="4" fontId="4" fillId="34" borderId="10" xfId="0" applyNumberFormat="1" applyFont="1" applyFill="1" applyBorder="1" applyAlignment="1" quotePrefix="1">
      <alignment horizontal="right" vertical="center" wrapText="1"/>
    </xf>
    <xf numFmtId="4" fontId="4" fillId="34" borderId="14" xfId="0" applyNumberFormat="1" applyFont="1" applyFill="1" applyBorder="1" applyAlignment="1">
      <alignment horizontal="right" vertical="center" wrapText="1"/>
    </xf>
    <xf numFmtId="4" fontId="4" fillId="32" borderId="10" xfId="0" applyNumberFormat="1" applyFont="1" applyFill="1" applyBorder="1" applyAlignment="1" quotePrefix="1">
      <alignment horizontal="right" vertical="center" wrapText="1"/>
    </xf>
    <xf numFmtId="4" fontId="4" fillId="0" borderId="14" xfId="0" applyNumberFormat="1" applyFont="1" applyFill="1" applyBorder="1" applyAlignment="1" applyProtection="1">
      <alignment horizontal="right" vertical="center" wrapText="1"/>
      <protection/>
    </xf>
    <xf numFmtId="4" fontId="4" fillId="0" borderId="11" xfId="0" applyNumberFormat="1" applyFont="1" applyBorder="1" applyAlignment="1">
      <alignment horizontal="right" vertical="center" wrapText="1"/>
    </xf>
    <xf numFmtId="4" fontId="4" fillId="0" borderId="11" xfId="0" applyNumberFormat="1" applyFont="1" applyFill="1" applyBorder="1" applyAlignment="1" applyProtection="1">
      <alignment horizontal="right" vertical="center" wrapText="1"/>
      <protection/>
    </xf>
    <xf numFmtId="4" fontId="8" fillId="33" borderId="15" xfId="0" applyNumberFormat="1" applyFont="1" applyFill="1" applyBorder="1" applyAlignment="1" quotePrefix="1">
      <alignment horizontal="right" vertical="center" wrapText="1"/>
    </xf>
    <xf numFmtId="4" fontId="4" fillId="0" borderId="10" xfId="0" applyNumberFormat="1" applyFont="1" applyFill="1" applyBorder="1" applyAlignment="1" quotePrefix="1">
      <alignment horizontal="right" vertical="center" wrapText="1"/>
    </xf>
    <xf numFmtId="4" fontId="4" fillId="4" borderId="10" xfId="0" applyNumberFormat="1" applyFont="1" applyFill="1" applyBorder="1" applyAlignment="1" quotePrefix="1">
      <alignment horizontal="right" vertical="center" wrapText="1"/>
    </xf>
    <xf numFmtId="4" fontId="27" fillId="0" borderId="10" xfId="0" applyNumberFormat="1" applyFont="1" applyBorder="1" applyAlignment="1">
      <alignment horizontal="right" vertical="center" wrapText="1"/>
    </xf>
    <xf numFmtId="4" fontId="27" fillId="0" borderId="11" xfId="0" applyNumberFormat="1" applyFont="1" applyBorder="1" applyAlignment="1">
      <alignment horizontal="right" vertical="center" wrapText="1"/>
    </xf>
    <xf numFmtId="4" fontId="15" fillId="0" borderId="0" xfId="0" applyNumberFormat="1" applyFont="1" applyAlignment="1">
      <alignment horizontal="right" vertical="center" wrapText="1"/>
    </xf>
    <xf numFmtId="4" fontId="17" fillId="0" borderId="0" xfId="0" applyNumberFormat="1" applyFont="1" applyAlignment="1">
      <alignment horizontal="right" vertical="center" wrapText="1"/>
    </xf>
    <xf numFmtId="4" fontId="4" fillId="0" borderId="12" xfId="0" applyNumberFormat="1" applyFont="1" applyFill="1" applyBorder="1" applyAlignment="1">
      <alignment horizontal="right" vertical="center" wrapText="1"/>
    </xf>
    <xf numFmtId="4" fontId="9" fillId="0" borderId="10" xfId="49" applyNumberFormat="1" applyFont="1" applyFill="1" applyBorder="1" applyAlignment="1">
      <alignment horizontal="right" vertical="center" wrapText="1"/>
      <protection/>
    </xf>
    <xf numFmtId="0" fontId="9" fillId="0" borderId="0" xfId="0" applyFont="1" applyFill="1" applyAlignment="1">
      <alignment vertical="center" wrapText="1"/>
    </xf>
    <xf numFmtId="4" fontId="23" fillId="0" borderId="0" xfId="0" applyNumberFormat="1" applyFont="1" applyAlignment="1">
      <alignment horizontal="right" vertical="center" wrapText="1"/>
    </xf>
    <xf numFmtId="4" fontId="16" fillId="0" borderId="13" xfId="0" applyNumberFormat="1" applyFont="1" applyBorder="1" applyAlignment="1">
      <alignment horizontal="right" vertical="center" wrapText="1"/>
    </xf>
    <xf numFmtId="4" fontId="16" fillId="0" borderId="10" xfId="0" applyNumberFormat="1" applyFont="1" applyBorder="1" applyAlignment="1">
      <alignment horizontal="right" vertical="center" wrapText="1"/>
    </xf>
    <xf numFmtId="4" fontId="16" fillId="0" borderId="10" xfId="49" applyNumberFormat="1" applyFont="1" applyFill="1" applyBorder="1" applyAlignment="1">
      <alignment horizontal="right" vertical="center" wrapText="1"/>
      <protection/>
    </xf>
    <xf numFmtId="4" fontId="16" fillId="4" borderId="10" xfId="0" applyNumberFormat="1" applyFont="1" applyFill="1" applyBorder="1" applyAlignment="1">
      <alignment horizontal="right" vertical="center" wrapText="1"/>
    </xf>
    <xf numFmtId="4" fontId="16" fillId="32" borderId="10" xfId="0" applyNumberFormat="1" applyFont="1" applyFill="1" applyBorder="1" applyAlignment="1">
      <alignment horizontal="right" vertical="center" wrapText="1"/>
    </xf>
    <xf numFmtId="4" fontId="16" fillId="0" borderId="10" xfId="0" applyNumberFormat="1" applyFont="1" applyFill="1" applyBorder="1" applyAlignment="1">
      <alignment horizontal="right" vertical="center" wrapText="1"/>
    </xf>
    <xf numFmtId="4" fontId="16" fillId="32" borderId="10" xfId="0" applyNumberFormat="1" applyFont="1" applyFill="1" applyBorder="1" applyAlignment="1" quotePrefix="1">
      <alignment horizontal="right" vertical="center" wrapText="1"/>
    </xf>
    <xf numFmtId="4" fontId="16" fillId="0" borderId="12" xfId="0" applyNumberFormat="1" applyFont="1" applyFill="1" applyBorder="1" applyAlignment="1">
      <alignment horizontal="right" vertical="center" wrapText="1"/>
    </xf>
    <xf numFmtId="4" fontId="16" fillId="0" borderId="10" xfId="0" applyNumberFormat="1" applyFont="1" applyFill="1" applyBorder="1" applyAlignment="1" applyProtection="1">
      <alignment horizontal="right" vertical="center" wrapText="1"/>
      <protection/>
    </xf>
    <xf numFmtId="4" fontId="16" fillId="34" borderId="11" xfId="0" applyNumberFormat="1" applyFont="1" applyFill="1" applyBorder="1" applyAlignment="1">
      <alignment horizontal="right" vertical="center" wrapText="1"/>
    </xf>
    <xf numFmtId="4" fontId="16" fillId="0" borderId="12" xfId="49" applyNumberFormat="1" applyFont="1" applyFill="1" applyBorder="1" applyAlignment="1">
      <alignment horizontal="right" vertical="center" wrapText="1"/>
      <protection/>
    </xf>
    <xf numFmtId="4" fontId="8" fillId="0" borderId="10" xfId="49" applyNumberFormat="1" applyFont="1" applyFill="1" applyBorder="1" applyAlignment="1">
      <alignment horizontal="right" vertical="center" wrapText="1"/>
      <protection/>
    </xf>
    <xf numFmtId="4" fontId="8" fillId="0" borderId="10" xfId="0" applyNumberFormat="1" applyFont="1" applyBorder="1" applyAlignment="1">
      <alignment horizontal="right" vertical="center" wrapText="1"/>
    </xf>
    <xf numFmtId="4" fontId="16" fillId="32" borderId="11" xfId="0" applyNumberFormat="1" applyFont="1" applyFill="1" applyBorder="1" applyAlignment="1">
      <alignment horizontal="right" vertical="center" wrapText="1"/>
    </xf>
    <xf numFmtId="4" fontId="8" fillId="34" borderId="10" xfId="0" applyNumberFormat="1" applyFont="1" applyFill="1" applyBorder="1" applyAlignment="1">
      <alignment horizontal="right" vertical="center" wrapText="1"/>
    </xf>
    <xf numFmtId="4" fontId="8" fillId="34" borderId="14" xfId="0" applyNumberFormat="1" applyFont="1" applyFill="1" applyBorder="1" applyAlignment="1">
      <alignment horizontal="right" vertical="center" wrapText="1"/>
    </xf>
    <xf numFmtId="4" fontId="16" fillId="0" borderId="12" xfId="0" applyNumberFormat="1" applyFont="1" applyFill="1" applyBorder="1" applyAlignment="1" applyProtection="1">
      <alignment horizontal="right" vertical="center" wrapText="1"/>
      <protection/>
    </xf>
    <xf numFmtId="4" fontId="8" fillId="32" borderId="10" xfId="0" applyNumberFormat="1" applyFont="1" applyFill="1" applyBorder="1" applyAlignment="1" quotePrefix="1">
      <alignment horizontal="right" vertical="center" wrapText="1"/>
    </xf>
    <xf numFmtId="4" fontId="8" fillId="0" borderId="14" xfId="0" applyNumberFormat="1" applyFont="1" applyFill="1" applyBorder="1" applyAlignment="1" applyProtection="1">
      <alignment horizontal="right" vertical="center" wrapText="1"/>
      <protection/>
    </xf>
    <xf numFmtId="4" fontId="8" fillId="0" borderId="11" xfId="0" applyNumberFormat="1" applyFont="1" applyFill="1" applyBorder="1" applyAlignment="1" applyProtection="1">
      <alignment horizontal="right" vertical="center" wrapText="1"/>
      <protection/>
    </xf>
    <xf numFmtId="4" fontId="8" fillId="0" borderId="10" xfId="0" applyNumberFormat="1" applyFont="1" applyFill="1" applyBorder="1" applyAlignment="1" applyProtection="1">
      <alignment horizontal="right" vertical="center" wrapText="1"/>
      <protection/>
    </xf>
    <xf numFmtId="4" fontId="8" fillId="32" borderId="10" xfId="0" applyNumberFormat="1" applyFont="1" applyFill="1" applyBorder="1" applyAlignment="1">
      <alignment horizontal="right" vertical="center" wrapText="1"/>
    </xf>
    <xf numFmtId="4" fontId="8" fillId="0" borderId="10" xfId="0" applyNumberFormat="1" applyFont="1" applyFill="1" applyBorder="1" applyAlignment="1" quotePrefix="1">
      <alignment horizontal="right" vertical="center" wrapText="1"/>
    </xf>
    <xf numFmtId="4" fontId="8" fillId="4" borderId="10" xfId="0" applyNumberFormat="1" applyFont="1" applyFill="1" applyBorder="1" applyAlignment="1" quotePrefix="1">
      <alignment horizontal="right" vertical="center" wrapText="1"/>
    </xf>
    <xf numFmtId="4" fontId="16" fillId="0" borderId="0" xfId="0" applyNumberFormat="1" applyFont="1" applyAlignment="1">
      <alignment horizontal="right" vertical="center" wrapText="1"/>
    </xf>
    <xf numFmtId="4" fontId="16" fillId="0" borderId="0" xfId="0" applyNumberFormat="1" applyFont="1" applyFill="1" applyBorder="1" applyAlignment="1">
      <alignment horizontal="right" vertical="center" wrapText="1"/>
    </xf>
    <xf numFmtId="4" fontId="29" fillId="0" borderId="0" xfId="0" applyNumberFormat="1" applyFont="1" applyFill="1" applyAlignment="1" applyProtection="1">
      <alignment horizontal="right" vertical="center" wrapText="1"/>
      <protection/>
    </xf>
    <xf numFmtId="4" fontId="30" fillId="0" borderId="0" xfId="0" applyNumberFormat="1" applyFont="1" applyAlignment="1">
      <alignment horizontal="right" vertical="center" wrapText="1"/>
    </xf>
    <xf numFmtId="4" fontId="9" fillId="0" borderId="10" xfId="0" applyNumberFormat="1" applyFont="1" applyBorder="1" applyAlignment="1">
      <alignment horizontal="right" vertical="center" wrapText="1"/>
    </xf>
    <xf numFmtId="0" fontId="9" fillId="0" borderId="0" xfId="0" applyFont="1" applyAlignment="1">
      <alignment vertical="center" wrapText="1"/>
    </xf>
    <xf numFmtId="4" fontId="8" fillId="34" borderId="15" xfId="0" applyNumberFormat="1" applyFont="1" applyFill="1" applyBorder="1" applyAlignment="1" quotePrefix="1">
      <alignment horizontal="right" vertical="center" wrapText="1"/>
    </xf>
    <xf numFmtId="4" fontId="8" fillId="32" borderId="10" xfId="0" applyNumberFormat="1" applyFont="1" applyFill="1" applyBorder="1" applyAlignment="1" applyProtection="1">
      <alignment horizontal="right" vertical="center" wrapText="1"/>
      <protection/>
    </xf>
    <xf numFmtId="4" fontId="4" fillId="32" borderId="10" xfId="0" applyNumberFormat="1" applyFont="1" applyFill="1" applyBorder="1" applyAlignment="1" applyProtection="1">
      <alignment horizontal="right" vertical="center" wrapText="1"/>
      <protection/>
    </xf>
    <xf numFmtId="2" fontId="4" fillId="0" borderId="10" xfId="0" applyNumberFormat="1" applyFont="1" applyBorder="1" applyAlignment="1">
      <alignment horizontal="left" vertical="center" wrapText="1"/>
    </xf>
    <xf numFmtId="2" fontId="4" fillId="4" borderId="10" xfId="0" applyNumberFormat="1" applyFont="1" applyFill="1" applyBorder="1" applyAlignment="1">
      <alignment horizontal="center" vertical="center" wrapText="1"/>
    </xf>
    <xf numFmtId="4" fontId="8" fillId="4" borderId="10" xfId="0" applyNumberFormat="1" applyFont="1" applyFill="1" applyBorder="1" applyAlignment="1" applyProtection="1">
      <alignment horizontal="right" vertical="center" wrapText="1"/>
      <protection/>
    </xf>
    <xf numFmtId="2" fontId="8" fillId="33" borderId="15" xfId="0" applyNumberFormat="1" applyFont="1" applyFill="1" applyBorder="1" applyAlignment="1">
      <alignment horizontal="center" vertical="center" wrapText="1"/>
    </xf>
    <xf numFmtId="4" fontId="8" fillId="33" borderId="15" xfId="0" applyNumberFormat="1" applyFont="1" applyFill="1" applyBorder="1" applyAlignment="1">
      <alignment horizontal="right" vertical="center" wrapText="1"/>
    </xf>
    <xf numFmtId="2" fontId="15" fillId="0" borderId="10" xfId="0" applyNumberFormat="1" applyFont="1" applyBorder="1" applyAlignment="1">
      <alignment horizontal="left" vertical="center" wrapText="1"/>
    </xf>
    <xf numFmtId="4" fontId="11" fillId="0" borderId="0" xfId="0" applyNumberFormat="1" applyFont="1" applyAlignment="1">
      <alignment vertical="center" wrapText="1"/>
    </xf>
    <xf numFmtId="0" fontId="28" fillId="0" borderId="0" xfId="0" applyFont="1" applyAlignment="1">
      <alignment horizontal="center"/>
    </xf>
    <xf numFmtId="4" fontId="8" fillId="0" borderId="0" xfId="0" applyNumberFormat="1" applyFont="1" applyAlignment="1">
      <alignment vertical="center" wrapText="1"/>
    </xf>
    <xf numFmtId="4" fontId="8" fillId="0" borderId="11" xfId="0" applyNumberFormat="1" applyFont="1" applyBorder="1" applyAlignment="1">
      <alignment horizontal="right" vertical="center" wrapText="1"/>
    </xf>
    <xf numFmtId="2" fontId="4" fillId="0" borderId="10" xfId="0" applyNumberFormat="1" applyFont="1" applyBorder="1" applyAlignment="1" quotePrefix="1">
      <alignment horizontal="left" vertical="center" wrapText="1"/>
    </xf>
    <xf numFmtId="4" fontId="2" fillId="0" borderId="10" xfId="0" applyNumberFormat="1" applyFont="1" applyFill="1" applyBorder="1" applyAlignment="1">
      <alignment horizontal="right" vertical="center" wrapText="1"/>
    </xf>
    <xf numFmtId="2" fontId="4" fillId="4" borderId="12" xfId="0" applyNumberFormat="1" applyFont="1" applyFill="1" applyBorder="1" applyAlignment="1">
      <alignment horizontal="center" vertical="center" wrapText="1"/>
    </xf>
    <xf numFmtId="0" fontId="4" fillId="0" borderId="11" xfId="0" applyFont="1" applyBorder="1" applyAlignment="1">
      <alignment horizontal="left" vertical="center" wrapText="1"/>
    </xf>
    <xf numFmtId="2" fontId="15" fillId="0" borderId="10" xfId="0" applyNumberFormat="1" applyFont="1" applyBorder="1" applyAlignment="1" quotePrefix="1">
      <alignment horizontal="left" vertical="center" wrapText="1"/>
    </xf>
    <xf numFmtId="3" fontId="15" fillId="4" borderId="11" xfId="49" applyNumberFormat="1" applyFont="1" applyFill="1" applyBorder="1" applyAlignment="1">
      <alignment horizontal="center" vertical="center" wrapText="1"/>
      <protection/>
    </xf>
    <xf numFmtId="2" fontId="16" fillId="4" borderId="10" xfId="0" applyNumberFormat="1" applyFont="1" applyFill="1" applyBorder="1" applyAlignment="1">
      <alignment horizontal="center" vertical="center" wrapText="1"/>
    </xf>
    <xf numFmtId="4" fontId="16" fillId="0" borderId="10" xfId="0" applyNumberFormat="1" applyFont="1" applyFill="1" applyBorder="1" applyAlignment="1" quotePrefix="1">
      <alignment horizontal="right" vertical="center" wrapText="1"/>
    </xf>
    <xf numFmtId="0" fontId="32" fillId="0" borderId="0" xfId="0" applyFont="1" applyFill="1" applyAlignment="1">
      <alignment vertical="center" wrapText="1"/>
    </xf>
    <xf numFmtId="0" fontId="33" fillId="0" borderId="0" xfId="0" applyFont="1" applyAlignment="1">
      <alignment vertical="center" wrapText="1"/>
    </xf>
    <xf numFmtId="3" fontId="4" fillId="0" borderId="11" xfId="0" applyNumberFormat="1" applyFont="1" applyFill="1" applyBorder="1" applyAlignment="1" applyProtection="1">
      <alignment horizontal="center" vertical="center" wrapText="1"/>
      <protection/>
    </xf>
    <xf numFmtId="4" fontId="4" fillId="0" borderId="0" xfId="0" applyNumberFormat="1" applyFont="1" applyAlignment="1">
      <alignment horizontal="center" vertical="center" wrapText="1"/>
    </xf>
    <xf numFmtId="4" fontId="10" fillId="0" borderId="0" xfId="0" applyNumberFormat="1" applyFont="1" applyBorder="1" applyAlignment="1">
      <alignment vertical="center" wrapText="1"/>
    </xf>
    <xf numFmtId="4" fontId="4" fillId="0" borderId="0" xfId="0" applyNumberFormat="1" applyFont="1" applyBorder="1" applyAlignment="1">
      <alignment vertical="center" wrapText="1"/>
    </xf>
    <xf numFmtId="3" fontId="4" fillId="32" borderId="10" xfId="0" applyNumberFormat="1" applyFont="1" applyFill="1" applyBorder="1" applyAlignment="1" applyProtection="1">
      <alignment horizontal="center" vertical="center" wrapText="1"/>
      <protection/>
    </xf>
    <xf numFmtId="2" fontId="4" fillId="0" borderId="10" xfId="0" applyNumberFormat="1" applyFont="1" applyFill="1" applyBorder="1" applyAlignment="1">
      <alignment horizontal="left" vertical="center" wrapText="1"/>
    </xf>
    <xf numFmtId="49" fontId="11" fillId="0" borderId="10" xfId="0" applyNumberFormat="1" applyFont="1" applyFill="1" applyBorder="1" applyAlignment="1" quotePrefix="1">
      <alignment horizontal="center" vertical="center" wrapText="1"/>
    </xf>
    <xf numFmtId="49" fontId="11" fillId="0" borderId="10" xfId="0" applyNumberFormat="1" applyFont="1" applyFill="1" applyBorder="1" applyAlignment="1">
      <alignment horizontal="center" vertical="center" wrapText="1"/>
    </xf>
    <xf numFmtId="3" fontId="11" fillId="0" borderId="10" xfId="0" applyNumberFormat="1" applyFont="1" applyFill="1" applyBorder="1" applyAlignment="1" applyProtection="1">
      <alignment horizontal="center" vertical="center" wrapText="1"/>
      <protection/>
    </xf>
    <xf numFmtId="4" fontId="34" fillId="0" borderId="10" xfId="0" applyNumberFormat="1" applyFont="1" applyFill="1" applyBorder="1" applyAlignment="1" applyProtection="1">
      <alignment horizontal="right" vertical="center" wrapText="1"/>
      <protection/>
    </xf>
    <xf numFmtId="4" fontId="11" fillId="0" borderId="10" xfId="0" applyNumberFormat="1" applyFont="1" applyFill="1" applyBorder="1" applyAlignment="1" applyProtection="1">
      <alignment horizontal="right" vertical="center" wrapText="1"/>
      <protection/>
    </xf>
    <xf numFmtId="4" fontId="11" fillId="0" borderId="10" xfId="0" applyNumberFormat="1" applyFont="1" applyFill="1" applyBorder="1" applyAlignment="1">
      <alignment horizontal="right" vertical="center" wrapText="1"/>
    </xf>
    <xf numFmtId="49" fontId="11" fillId="0" borderId="10" xfId="0" applyNumberFormat="1" applyFont="1" applyBorder="1" applyAlignment="1" quotePrefix="1">
      <alignment horizontal="center" vertical="center" wrapText="1"/>
    </xf>
    <xf numFmtId="49" fontId="11" fillId="0" borderId="10" xfId="0" applyNumberFormat="1" applyFont="1" applyBorder="1" applyAlignment="1">
      <alignment horizontal="center" vertical="center" wrapText="1"/>
    </xf>
    <xf numFmtId="2" fontId="11" fillId="0" borderId="10" xfId="0" applyNumberFormat="1" applyFont="1" applyFill="1" applyBorder="1" applyAlignment="1">
      <alignment horizontal="center" vertical="center" wrapText="1"/>
    </xf>
    <xf numFmtId="4" fontId="11" fillId="0" borderId="10" xfId="0" applyNumberFormat="1" applyFont="1" applyBorder="1" applyAlignment="1">
      <alignment horizontal="right" vertical="center" wrapText="1"/>
    </xf>
    <xf numFmtId="49" fontId="27" fillId="32" borderId="10" xfId="0" applyNumberFormat="1" applyFont="1" applyFill="1" applyBorder="1" applyAlignment="1">
      <alignment horizontal="center" vertical="center" wrapText="1"/>
    </xf>
    <xf numFmtId="3" fontId="4" fillId="32" borderId="10" xfId="49" applyNumberFormat="1" applyFont="1" applyFill="1" applyBorder="1" applyAlignment="1">
      <alignment horizontal="center" vertical="center" wrapText="1"/>
      <protection/>
    </xf>
    <xf numFmtId="0" fontId="4" fillId="0" borderId="10" xfId="0" applyFont="1" applyBorder="1" applyAlignment="1">
      <alignment horizontal="left" vertical="center" wrapText="1"/>
    </xf>
    <xf numFmtId="0" fontId="4" fillId="32" borderId="10" xfId="0" applyFont="1" applyFill="1" applyBorder="1" applyAlignment="1">
      <alignment horizontal="center" vertical="center" wrapText="1"/>
    </xf>
    <xf numFmtId="4" fontId="8" fillId="32" borderId="10" xfId="49" applyNumberFormat="1" applyFont="1" applyFill="1" applyBorder="1" applyAlignment="1">
      <alignment horizontal="right" vertical="center" wrapText="1"/>
      <protection/>
    </xf>
    <xf numFmtId="4" fontId="4" fillId="32" borderId="10" xfId="49" applyNumberFormat="1" applyFont="1" applyFill="1" applyBorder="1" applyAlignment="1">
      <alignment horizontal="right" vertical="center" wrapText="1"/>
      <protection/>
    </xf>
    <xf numFmtId="0" fontId="4" fillId="35" borderId="0" xfId="0" applyFont="1" applyFill="1" applyAlignment="1">
      <alignment vertical="center" wrapText="1"/>
    </xf>
    <xf numFmtId="0" fontId="4" fillId="0" borderId="10" xfId="0" applyFont="1" applyBorder="1" applyAlignment="1" quotePrefix="1">
      <alignment horizontal="center" vertical="center" wrapText="1"/>
    </xf>
    <xf numFmtId="0" fontId="11" fillId="0" borderId="0" xfId="0" applyFont="1" applyFill="1" applyAlignment="1">
      <alignment vertical="center" wrapText="1"/>
    </xf>
    <xf numFmtId="2" fontId="4" fillId="0" borderId="12" xfId="0" applyNumberFormat="1" applyFont="1" applyBorder="1" applyAlignment="1">
      <alignment horizontal="left" vertical="center" wrapText="1"/>
    </xf>
    <xf numFmtId="4" fontId="5" fillId="0" borderId="0" xfId="0" applyNumberFormat="1" applyFont="1" applyAlignment="1">
      <alignment vertical="center" wrapText="1"/>
    </xf>
    <xf numFmtId="0" fontId="4" fillId="32" borderId="0" xfId="0" applyFont="1" applyFill="1" applyAlignment="1">
      <alignment horizontal="center" vertical="center" wrapText="1"/>
    </xf>
    <xf numFmtId="4" fontId="4" fillId="0" borderId="10" xfId="0" applyNumberFormat="1" applyFont="1" applyBorder="1" applyAlignment="1">
      <alignment horizontal="center" vertical="center" wrapText="1"/>
    </xf>
    <xf numFmtId="4" fontId="4" fillId="0" borderId="10" xfId="0" applyNumberFormat="1" applyFont="1" applyFill="1" applyBorder="1" applyAlignment="1">
      <alignment vertical="center" wrapText="1"/>
    </xf>
    <xf numFmtId="1" fontId="4" fillId="0" borderId="10" xfId="0" applyNumberFormat="1" applyFont="1" applyFill="1" applyBorder="1" applyAlignment="1" quotePrefix="1">
      <alignment horizontal="center" vertical="center" wrapText="1"/>
    </xf>
    <xf numFmtId="4" fontId="4" fillId="0" borderId="10" xfId="0" applyNumberFormat="1" applyFont="1" applyFill="1" applyBorder="1" applyAlignment="1">
      <alignment horizontal="center" vertical="center" wrapText="1"/>
    </xf>
    <xf numFmtId="49" fontId="4" fillId="0" borderId="0" xfId="0" applyNumberFormat="1" applyFont="1" applyAlignment="1">
      <alignment vertical="center" wrapText="1"/>
    </xf>
    <xf numFmtId="4" fontId="8" fillId="0" borderId="0" xfId="0" applyNumberFormat="1" applyFont="1" applyAlignment="1">
      <alignment horizontal="right" vertical="center" wrapText="1"/>
    </xf>
    <xf numFmtId="4" fontId="4" fillId="0" borderId="0" xfId="0" applyNumberFormat="1" applyFont="1" applyAlignment="1">
      <alignment horizontal="right" vertical="center" wrapText="1"/>
    </xf>
    <xf numFmtId="49" fontId="4" fillId="0" borderId="0" xfId="0" applyNumberFormat="1" applyFont="1" applyAlignment="1">
      <alignment horizontal="left" vertical="center" wrapText="1"/>
    </xf>
    <xf numFmtId="49" fontId="4" fillId="0" borderId="10" xfId="0" applyNumberFormat="1" applyFont="1" applyBorder="1" applyAlignment="1">
      <alignment horizontal="left" vertical="center" wrapText="1"/>
    </xf>
    <xf numFmtId="4" fontId="6" fillId="0" borderId="0" xfId="0" applyNumberFormat="1" applyFont="1" applyAlignment="1">
      <alignment vertical="center" wrapText="1"/>
    </xf>
    <xf numFmtId="3" fontId="4" fillId="32" borderId="15" xfId="49" applyNumberFormat="1" applyFont="1" applyFill="1" applyBorder="1" applyAlignment="1">
      <alignment horizontal="center" vertical="center" wrapText="1"/>
      <protection/>
    </xf>
    <xf numFmtId="4" fontId="8" fillId="32" borderId="15" xfId="49" applyNumberFormat="1" applyFont="1" applyFill="1" applyBorder="1" applyAlignment="1">
      <alignment horizontal="right" vertical="center" wrapText="1"/>
      <protection/>
    </xf>
    <xf numFmtId="4" fontId="4" fillId="32" borderId="15" xfId="49" applyNumberFormat="1" applyFont="1" applyFill="1" applyBorder="1" applyAlignment="1">
      <alignment horizontal="right" vertical="center" wrapText="1"/>
      <protection/>
    </xf>
    <xf numFmtId="0" fontId="6" fillId="32" borderId="0" xfId="0" applyFont="1" applyFill="1" applyAlignment="1">
      <alignment vertical="center" wrapText="1"/>
    </xf>
    <xf numFmtId="3" fontId="4" fillId="0" borderId="15" xfId="49" applyNumberFormat="1" applyFont="1" applyFill="1" applyBorder="1" applyAlignment="1">
      <alignment horizontal="center" vertical="center" wrapText="1"/>
      <protection/>
    </xf>
    <xf numFmtId="4" fontId="4" fillId="0" borderId="15" xfId="49" applyNumberFormat="1" applyFont="1" applyFill="1" applyBorder="1" applyAlignment="1">
      <alignment horizontal="right" vertical="center" wrapText="1"/>
      <protection/>
    </xf>
    <xf numFmtId="4" fontId="5" fillId="32" borderId="0" xfId="0" applyNumberFormat="1" applyFont="1" applyFill="1" applyAlignment="1">
      <alignment vertical="center" wrapText="1"/>
    </xf>
    <xf numFmtId="4" fontId="8" fillId="0" borderId="10" xfId="0" applyNumberFormat="1" applyFont="1" applyFill="1" applyBorder="1" applyAlignment="1">
      <alignment horizontal="right" vertical="center" wrapText="1"/>
    </xf>
    <xf numFmtId="3" fontId="4" fillId="4" borderId="10" xfId="0" applyNumberFormat="1" applyFont="1" applyFill="1" applyBorder="1" applyAlignment="1" applyProtection="1">
      <alignment horizontal="center" vertical="center" wrapText="1"/>
      <protection/>
    </xf>
    <xf numFmtId="0" fontId="35" fillId="0" borderId="0" xfId="0" applyFont="1" applyAlignment="1">
      <alignment vertical="center" wrapText="1"/>
    </xf>
    <xf numFmtId="49" fontId="4" fillId="32" borderId="10" xfId="0" applyNumberFormat="1" applyFont="1" applyFill="1" applyBorder="1" applyAlignment="1" applyProtection="1">
      <alignment horizontal="center" vertical="center" wrapText="1"/>
      <protection/>
    </xf>
    <xf numFmtId="49" fontId="4" fillId="0" borderId="10" xfId="0" applyNumberFormat="1" applyFont="1" applyFill="1" applyBorder="1" applyAlignment="1" applyProtection="1">
      <alignment horizontal="center" vertical="center" wrapText="1"/>
      <protection/>
    </xf>
    <xf numFmtId="2" fontId="4" fillId="0" borderId="15" xfId="0" applyNumberFormat="1" applyFont="1" applyFill="1" applyBorder="1" applyAlignment="1">
      <alignment horizontal="center" vertical="center" wrapText="1"/>
    </xf>
    <xf numFmtId="4" fontId="8" fillId="0" borderId="15" xfId="0" applyNumberFormat="1" applyFont="1" applyFill="1" applyBorder="1" applyAlignment="1" quotePrefix="1">
      <alignment horizontal="right" vertical="center" wrapText="1"/>
    </xf>
    <xf numFmtId="4" fontId="4" fillId="0" borderId="15" xfId="0" applyNumberFormat="1" applyFont="1" applyFill="1" applyBorder="1" applyAlignment="1" quotePrefix="1">
      <alignment horizontal="right" vertical="center" wrapText="1"/>
    </xf>
    <xf numFmtId="3" fontId="4" fillId="34" borderId="10" xfId="49" applyNumberFormat="1" applyFont="1" applyFill="1" applyBorder="1" applyAlignment="1">
      <alignment horizontal="center" vertical="center" wrapText="1"/>
      <protection/>
    </xf>
    <xf numFmtId="4" fontId="8" fillId="4" borderId="10" xfId="0" applyNumberFormat="1" applyFont="1" applyFill="1" applyBorder="1" applyAlignment="1">
      <alignment horizontal="right" vertical="center" wrapText="1"/>
    </xf>
    <xf numFmtId="4" fontId="15" fillId="32" borderId="16" xfId="0" applyNumberFormat="1" applyFont="1" applyFill="1" applyBorder="1" applyAlignment="1">
      <alignment horizontal="right" vertical="center" wrapText="1"/>
    </xf>
    <xf numFmtId="4" fontId="15" fillId="0" borderId="17" xfId="0" applyNumberFormat="1" applyFont="1" applyBorder="1" applyAlignment="1">
      <alignment horizontal="right" vertical="center" wrapText="1"/>
    </xf>
    <xf numFmtId="4" fontId="4" fillId="0" borderId="0" xfId="0" applyNumberFormat="1" applyFont="1" applyFill="1" applyBorder="1" applyAlignment="1">
      <alignment vertical="center" wrapText="1"/>
    </xf>
    <xf numFmtId="0" fontId="0" fillId="0" borderId="11" xfId="0" applyBorder="1" applyAlignment="1">
      <alignment horizontal="left" vertical="center" wrapText="1"/>
    </xf>
    <xf numFmtId="4" fontId="16" fillId="0" borderId="11" xfId="49" applyNumberFormat="1" applyFont="1" applyFill="1" applyBorder="1" applyAlignment="1">
      <alignment horizontal="right" vertical="center" wrapText="1"/>
      <protection/>
    </xf>
    <xf numFmtId="4" fontId="8" fillId="0" borderId="11" xfId="49" applyNumberFormat="1" applyFont="1" applyFill="1" applyBorder="1" applyAlignment="1">
      <alignment horizontal="right" vertical="center" wrapText="1"/>
      <protection/>
    </xf>
    <xf numFmtId="4" fontId="15" fillId="0" borderId="11" xfId="49" applyNumberFormat="1" applyFont="1" applyFill="1" applyBorder="1" applyAlignment="1">
      <alignment horizontal="right" vertical="center" wrapText="1"/>
      <protection/>
    </xf>
    <xf numFmtId="4" fontId="16" fillId="4" borderId="10" xfId="49" applyNumberFormat="1" applyFont="1" applyFill="1" applyBorder="1" applyAlignment="1">
      <alignment horizontal="right" vertical="center" wrapText="1"/>
      <protection/>
    </xf>
    <xf numFmtId="4" fontId="4" fillId="0" borderId="10" xfId="0" applyNumberFormat="1" applyFont="1" applyBorder="1" applyAlignment="1">
      <alignment vertical="center" wrapText="1"/>
    </xf>
    <xf numFmtId="0" fontId="4" fillId="32" borderId="10" xfId="0" applyFont="1" applyFill="1" applyBorder="1" applyAlignment="1" quotePrefix="1">
      <alignment horizontal="center" vertical="center" wrapText="1"/>
    </xf>
    <xf numFmtId="4" fontId="16" fillId="32" borderId="10" xfId="49" applyNumberFormat="1" applyFont="1" applyFill="1" applyBorder="1" applyAlignment="1">
      <alignment horizontal="right" vertical="center" wrapText="1"/>
      <protection/>
    </xf>
    <xf numFmtId="49" fontId="4" fillId="32" borderId="12" xfId="0" applyNumberFormat="1" applyFont="1" applyFill="1" applyBorder="1" applyAlignment="1" quotePrefix="1">
      <alignment horizontal="center" vertical="center" wrapText="1"/>
    </xf>
    <xf numFmtId="49" fontId="4" fillId="32" borderId="12" xfId="0" applyNumberFormat="1" applyFont="1" applyFill="1" applyBorder="1" applyAlignment="1">
      <alignment horizontal="center" vertical="center" wrapText="1"/>
    </xf>
    <xf numFmtId="3" fontId="4" fillId="32" borderId="12" xfId="49" applyNumberFormat="1" applyFont="1" applyFill="1" applyBorder="1" applyAlignment="1">
      <alignment horizontal="center" vertical="center" wrapText="1"/>
      <protection/>
    </xf>
    <xf numFmtId="4" fontId="16" fillId="36" borderId="15" xfId="0" applyNumberFormat="1" applyFont="1" applyFill="1" applyBorder="1" applyAlignment="1" quotePrefix="1">
      <alignment horizontal="right" vertical="center" wrapText="1"/>
    </xf>
    <xf numFmtId="0" fontId="4" fillId="0" borderId="10" xfId="0" applyFont="1" applyFill="1" applyBorder="1" applyAlignment="1">
      <alignment horizontal="center" vertical="center" wrapText="1"/>
    </xf>
    <xf numFmtId="4" fontId="4" fillId="34" borderId="10" xfId="0" applyNumberFormat="1" applyFont="1" applyFill="1" applyBorder="1" applyAlignment="1">
      <alignment horizontal="center" vertical="center" wrapText="1"/>
    </xf>
    <xf numFmtId="4" fontId="8" fillId="0" borderId="10" xfId="0" applyNumberFormat="1" applyFont="1" applyFill="1" applyBorder="1" applyAlignment="1">
      <alignment vertical="center" wrapText="1"/>
    </xf>
    <xf numFmtId="2" fontId="4" fillId="32" borderId="10" xfId="0" applyNumberFormat="1" applyFont="1" applyFill="1" applyBorder="1" applyAlignment="1">
      <alignment horizontal="left" vertical="center" wrapText="1"/>
    </xf>
    <xf numFmtId="4" fontId="4" fillId="33" borderId="0" xfId="0" applyNumberFormat="1" applyFont="1" applyFill="1" applyBorder="1" applyAlignment="1">
      <alignment vertical="center" wrapText="1"/>
    </xf>
    <xf numFmtId="4" fontId="36" fillId="36" borderId="10" xfId="0" applyNumberFormat="1" applyFont="1" applyFill="1" applyBorder="1" applyAlignment="1">
      <alignment horizontal="right" vertical="center" wrapText="1"/>
    </xf>
    <xf numFmtId="2" fontId="4" fillId="32" borderId="10" xfId="0" applyNumberFormat="1" applyFont="1" applyFill="1" applyBorder="1" applyAlignment="1" quotePrefix="1">
      <alignment horizontal="left" vertical="center" wrapText="1"/>
    </xf>
    <xf numFmtId="4" fontId="4" fillId="32" borderId="10" xfId="0" applyNumberFormat="1" applyFont="1" applyFill="1" applyBorder="1" applyAlignment="1">
      <alignment vertical="center" wrapText="1"/>
    </xf>
    <xf numFmtId="3" fontId="4" fillId="34" borderId="10" xfId="0" applyNumberFormat="1" applyFont="1" applyFill="1" applyBorder="1" applyAlignment="1" applyProtection="1">
      <alignment horizontal="center" vertical="center" wrapText="1"/>
      <protection/>
    </xf>
    <xf numFmtId="2" fontId="4" fillId="34" borderId="10" xfId="0" applyNumberFormat="1" applyFont="1" applyFill="1" applyBorder="1" applyAlignment="1">
      <alignment horizontal="center" vertical="center" wrapText="1"/>
    </xf>
    <xf numFmtId="2" fontId="15" fillId="0" borderId="16" xfId="0" applyNumberFormat="1" applyFont="1" applyBorder="1" applyAlignment="1">
      <alignment horizontal="left" vertical="center" wrapText="1"/>
    </xf>
    <xf numFmtId="0" fontId="15" fillId="32" borderId="12" xfId="0" applyFont="1" applyFill="1" applyBorder="1" applyAlignment="1">
      <alignment horizontal="center" vertical="center" wrapText="1"/>
    </xf>
    <xf numFmtId="49" fontId="15" fillId="0" borderId="12" xfId="0" applyNumberFormat="1" applyFont="1" applyFill="1" applyBorder="1" applyAlignment="1">
      <alignment horizontal="center" vertical="center" wrapText="1"/>
    </xf>
    <xf numFmtId="4" fontId="4" fillId="0" borderId="11" xfId="0" applyNumberFormat="1" applyFont="1" applyFill="1" applyBorder="1" applyAlignment="1">
      <alignment horizontal="right" vertical="center" wrapText="1"/>
    </xf>
    <xf numFmtId="2" fontId="4" fillId="0" borderId="12" xfId="0" applyNumberFormat="1" applyFont="1" applyFill="1" applyBorder="1" applyAlignment="1">
      <alignment horizontal="center" vertical="center" wrapText="1"/>
    </xf>
    <xf numFmtId="4" fontId="4" fillId="0" borderId="15" xfId="0" applyNumberFormat="1" applyFont="1" applyBorder="1" applyAlignment="1">
      <alignment horizontal="right" vertical="center" wrapText="1"/>
    </xf>
    <xf numFmtId="49" fontId="14" fillId="0" borderId="0" xfId="0" applyNumberFormat="1" applyFont="1" applyAlignment="1">
      <alignment horizontal="center" vertical="center" wrapText="1"/>
    </xf>
    <xf numFmtId="49" fontId="15" fillId="0" borderId="13" xfId="0" applyNumberFormat="1" applyFont="1" applyBorder="1" applyAlignment="1">
      <alignment horizontal="center" vertical="center" wrapText="1"/>
    </xf>
    <xf numFmtId="49" fontId="4" fillId="0" borderId="0" xfId="0" applyNumberFormat="1" applyFont="1" applyAlignment="1">
      <alignment horizontal="center" vertical="center" wrapText="1"/>
    </xf>
    <xf numFmtId="49" fontId="15" fillId="0" borderId="0" xfId="0" applyNumberFormat="1" applyFont="1" applyAlignment="1">
      <alignment horizontal="center" vertical="center" wrapText="1"/>
    </xf>
    <xf numFmtId="49" fontId="17" fillId="0" borderId="0" xfId="0" applyNumberFormat="1" applyFont="1" applyAlignment="1">
      <alignment horizontal="center" vertical="center" wrapText="1"/>
    </xf>
    <xf numFmtId="2" fontId="4" fillId="0" borderId="10" xfId="0" applyNumberFormat="1" applyFont="1" applyFill="1" applyBorder="1" applyAlignment="1">
      <alignment vertical="center" wrapText="1"/>
    </xf>
    <xf numFmtId="2" fontId="8" fillId="0" borderId="10" xfId="0" applyNumberFormat="1" applyFont="1" applyFill="1" applyBorder="1" applyAlignment="1" applyProtection="1">
      <alignment horizontal="right" vertical="center" wrapText="1"/>
      <protection/>
    </xf>
    <xf numFmtId="2" fontId="4" fillId="0" borderId="10" xfId="0" applyNumberFormat="1" applyFont="1" applyFill="1" applyBorder="1" applyAlignment="1" applyProtection="1">
      <alignment horizontal="right" vertical="center" wrapText="1"/>
      <protection/>
    </xf>
    <xf numFmtId="2" fontId="8" fillId="0" borderId="10" xfId="0" applyNumberFormat="1" applyFont="1" applyFill="1" applyBorder="1" applyAlignment="1" quotePrefix="1">
      <alignment horizontal="right" vertical="center" wrapText="1"/>
    </xf>
    <xf numFmtId="2" fontId="4" fillId="0" borderId="10" xfId="0" applyNumberFormat="1" applyFont="1" applyFill="1" applyBorder="1" applyAlignment="1" quotePrefix="1">
      <alignment horizontal="right" vertical="center" wrapText="1"/>
    </xf>
    <xf numFmtId="2" fontId="4" fillId="0" borderId="0" xfId="0" applyNumberFormat="1" applyFont="1" applyAlignment="1">
      <alignment vertical="center" wrapText="1"/>
    </xf>
    <xf numFmtId="0" fontId="4" fillId="0" borderId="10" xfId="0" applyFont="1" applyFill="1" applyBorder="1" applyAlignment="1">
      <alignment vertical="center" wrapText="1"/>
    </xf>
    <xf numFmtId="4" fontId="4" fillId="35" borderId="0" xfId="0" applyNumberFormat="1" applyFont="1" applyFill="1" applyAlignment="1">
      <alignment vertical="center" wrapText="1"/>
    </xf>
    <xf numFmtId="3" fontId="4" fillId="0" borderId="14" xfId="0" applyNumberFormat="1" applyFont="1" applyFill="1" applyBorder="1" applyAlignment="1" applyProtection="1">
      <alignment horizontal="center" vertical="center" wrapText="1"/>
      <protection/>
    </xf>
    <xf numFmtId="3" fontId="15" fillId="0" borderId="10" xfId="0" applyNumberFormat="1" applyFont="1" applyFill="1" applyBorder="1" applyAlignment="1" applyProtection="1">
      <alignment horizontal="center" vertical="center" wrapText="1"/>
      <protection/>
    </xf>
    <xf numFmtId="0" fontId="40" fillId="0" borderId="0" xfId="0" applyFont="1" applyAlignment="1">
      <alignment vertical="center" wrapText="1"/>
    </xf>
    <xf numFmtId="2" fontId="11" fillId="0" borderId="10" xfId="0" applyNumberFormat="1" applyFont="1" applyBorder="1" applyAlignment="1">
      <alignment horizontal="left" vertical="center" wrapText="1"/>
    </xf>
    <xf numFmtId="0" fontId="14" fillId="0" borderId="0" xfId="0" applyFont="1" applyAlignment="1">
      <alignment horizontal="left" vertical="center" wrapText="1"/>
    </xf>
    <xf numFmtId="0" fontId="15" fillId="0" borderId="13" xfId="0" applyFont="1" applyBorder="1" applyAlignment="1">
      <alignment horizontal="left" vertical="center" wrapText="1"/>
    </xf>
    <xf numFmtId="0" fontId="15" fillId="0" borderId="10" xfId="0" applyFont="1" applyBorder="1" applyAlignment="1">
      <alignment horizontal="left" vertical="center" wrapText="1"/>
    </xf>
    <xf numFmtId="2" fontId="19" fillId="0" borderId="10" xfId="0" applyNumberFormat="1" applyFont="1" applyBorder="1" applyAlignment="1">
      <alignment horizontal="left" vertical="center" wrapText="1"/>
    </xf>
    <xf numFmtId="2" fontId="5" fillId="32" borderId="10" xfId="0" applyNumberFormat="1" applyFont="1" applyFill="1" applyBorder="1" applyAlignment="1" quotePrefix="1">
      <alignment horizontal="left" vertical="center" wrapText="1"/>
    </xf>
    <xf numFmtId="2" fontId="15" fillId="32" borderId="10" xfId="0" applyNumberFormat="1" applyFont="1" applyFill="1" applyBorder="1" applyAlignment="1" quotePrefix="1">
      <alignment horizontal="left" vertical="center" wrapText="1"/>
    </xf>
    <xf numFmtId="2" fontId="15" fillId="32" borderId="12" xfId="0" applyNumberFormat="1" applyFont="1" applyFill="1" applyBorder="1" applyAlignment="1" quotePrefix="1">
      <alignment horizontal="left" vertical="center" wrapText="1"/>
    </xf>
    <xf numFmtId="2" fontId="4" fillId="32" borderId="12" xfId="0" applyNumberFormat="1" applyFont="1" applyFill="1" applyBorder="1" applyAlignment="1" quotePrefix="1">
      <alignment horizontal="left" vertical="center" wrapText="1"/>
    </xf>
    <xf numFmtId="2" fontId="15" fillId="32" borderId="10" xfId="0" applyNumberFormat="1" applyFont="1" applyFill="1" applyBorder="1" applyAlignment="1">
      <alignment horizontal="left" vertical="center" wrapText="1"/>
    </xf>
    <xf numFmtId="2" fontId="15" fillId="32" borderId="16" xfId="0" applyNumberFormat="1" applyFont="1" applyFill="1" applyBorder="1" applyAlignment="1" quotePrefix="1">
      <alignment horizontal="left" vertical="center" wrapText="1"/>
    </xf>
    <xf numFmtId="49" fontId="4" fillId="0" borderId="0" xfId="0" applyNumberFormat="1" applyFont="1" applyAlignment="1">
      <alignment horizontal="left" wrapText="1"/>
    </xf>
    <xf numFmtId="0" fontId="15" fillId="32" borderId="10" xfId="0" applyFont="1" applyFill="1" applyBorder="1" applyAlignment="1">
      <alignment horizontal="left" vertical="center" wrapText="1"/>
    </xf>
    <xf numFmtId="0" fontId="15" fillId="0" borderId="10" xfId="0" applyFont="1" applyFill="1" applyBorder="1" applyAlignment="1">
      <alignment horizontal="left" vertical="center" wrapText="1"/>
    </xf>
    <xf numFmtId="2" fontId="15" fillId="0" borderId="12" xfId="0" applyNumberFormat="1" applyFont="1" applyBorder="1" applyAlignment="1" quotePrefix="1">
      <alignment horizontal="left" vertical="center" wrapText="1"/>
    </xf>
    <xf numFmtId="2" fontId="15" fillId="0" borderId="12" xfId="0" applyNumberFormat="1" applyFont="1" applyFill="1" applyBorder="1" applyAlignment="1" quotePrefix="1">
      <alignment horizontal="left" vertical="center" wrapText="1"/>
    </xf>
    <xf numFmtId="2" fontId="4" fillId="0" borderId="12" xfId="0" applyNumberFormat="1" applyFont="1" applyBorder="1" applyAlignment="1" quotePrefix="1">
      <alignment horizontal="left" vertical="center" wrapText="1"/>
    </xf>
    <xf numFmtId="2" fontId="4" fillId="0" borderId="10" xfId="0" applyNumberFormat="1" applyFont="1" applyFill="1" applyBorder="1" applyAlignment="1" quotePrefix="1">
      <alignment horizontal="left" vertical="center" wrapText="1"/>
    </xf>
    <xf numFmtId="0" fontId="4" fillId="32" borderId="10" xfId="0" applyFont="1" applyFill="1" applyBorder="1" applyAlignment="1">
      <alignment horizontal="left" vertical="center" wrapText="1"/>
    </xf>
    <xf numFmtId="3" fontId="11" fillId="0" borderId="10" xfId="49" applyNumberFormat="1" applyFont="1" applyFill="1" applyBorder="1" applyAlignment="1">
      <alignment horizontal="left" vertical="center" wrapText="1"/>
      <protection/>
    </xf>
    <xf numFmtId="0" fontId="4" fillId="0" borderId="0" xfId="0" applyFont="1" applyAlignment="1">
      <alignment horizontal="left" vertical="center" wrapText="1"/>
    </xf>
    <xf numFmtId="49" fontId="4" fillId="32" borderId="10" xfId="0" applyNumberFormat="1" applyFont="1" applyFill="1" applyBorder="1" applyAlignment="1">
      <alignment horizontal="left" vertical="center" wrapText="1"/>
    </xf>
    <xf numFmtId="3" fontId="4" fillId="32" borderId="10" xfId="0" applyNumberFormat="1" applyFont="1" applyFill="1" applyBorder="1" applyAlignment="1" applyProtection="1">
      <alignment horizontal="left" vertical="center" wrapText="1"/>
      <protection/>
    </xf>
    <xf numFmtId="2" fontId="23" fillId="33" borderId="10" xfId="0" applyNumberFormat="1" applyFont="1" applyFill="1" applyBorder="1" applyAlignment="1">
      <alignment horizontal="left" vertical="center" wrapText="1"/>
    </xf>
    <xf numFmtId="0" fontId="15" fillId="0" borderId="0" xfId="0" applyFont="1" applyAlignment="1">
      <alignment horizontal="left" vertical="center" wrapText="1"/>
    </xf>
    <xf numFmtId="0" fontId="17" fillId="0" borderId="0" xfId="0" applyFont="1" applyAlignment="1">
      <alignment horizontal="left" vertical="center" wrapText="1"/>
    </xf>
    <xf numFmtId="0" fontId="4" fillId="34" borderId="10" xfId="0" applyFont="1" applyFill="1" applyBorder="1" applyAlignment="1">
      <alignment horizontal="center" vertical="center" wrapText="1"/>
    </xf>
    <xf numFmtId="4" fontId="9" fillId="0" borderId="0" xfId="0" applyNumberFormat="1" applyFont="1" applyFill="1" applyAlignment="1">
      <alignment vertical="center" wrapText="1"/>
    </xf>
    <xf numFmtId="0" fontId="9" fillId="0" borderId="0" xfId="0" applyFont="1" applyFill="1" applyAlignment="1">
      <alignment vertical="center" wrapText="1"/>
    </xf>
    <xf numFmtId="49" fontId="40" fillId="0" borderId="10" xfId="0" applyNumberFormat="1" applyFont="1" applyFill="1" applyBorder="1" applyAlignment="1" quotePrefix="1">
      <alignment horizontal="center" vertical="center" wrapText="1"/>
    </xf>
    <xf numFmtId="49" fontId="40" fillId="0" borderId="10" xfId="0" applyNumberFormat="1" applyFont="1" applyFill="1" applyBorder="1" applyAlignment="1">
      <alignment horizontal="center" vertical="center" wrapText="1"/>
    </xf>
    <xf numFmtId="3" fontId="40" fillId="0" borderId="10" xfId="0" applyNumberFormat="1" applyFont="1" applyFill="1" applyBorder="1" applyAlignment="1" applyProtection="1">
      <alignment horizontal="center" vertical="center" wrapText="1"/>
      <protection/>
    </xf>
    <xf numFmtId="3" fontId="4" fillId="34" borderId="12" xfId="49" applyNumberFormat="1" applyFont="1" applyFill="1" applyBorder="1" applyAlignment="1">
      <alignment horizontal="center" vertical="center" wrapText="1"/>
      <protection/>
    </xf>
    <xf numFmtId="0" fontId="0" fillId="0" borderId="14" xfId="0" applyBorder="1" applyAlignment="1">
      <alignment horizontal="center" vertical="center"/>
    </xf>
    <xf numFmtId="4" fontId="8" fillId="32" borderId="12" xfId="0" applyNumberFormat="1" applyFont="1" applyFill="1" applyBorder="1" applyAlignment="1">
      <alignment horizontal="right" vertical="center" wrapText="1"/>
    </xf>
    <xf numFmtId="4" fontId="4" fillId="32" borderId="12" xfId="0" applyNumberFormat="1" applyFont="1" applyFill="1" applyBorder="1" applyAlignment="1">
      <alignment horizontal="right" vertical="center" wrapText="1"/>
    </xf>
    <xf numFmtId="4" fontId="4" fillId="0" borderId="12" xfId="0" applyNumberFormat="1" applyFont="1" applyFill="1" applyBorder="1" applyAlignment="1" applyProtection="1">
      <alignment horizontal="right" vertical="center" wrapText="1"/>
      <protection/>
    </xf>
    <xf numFmtId="4" fontId="28" fillId="0" borderId="10" xfId="0" applyNumberFormat="1" applyFont="1" applyBorder="1" applyAlignment="1">
      <alignment vertical="center" wrapText="1"/>
    </xf>
    <xf numFmtId="0" fontId="28" fillId="0" borderId="10" xfId="0" applyFont="1" applyFill="1" applyBorder="1" applyAlignment="1">
      <alignment horizontal="center" vertical="center" wrapText="1"/>
    </xf>
    <xf numFmtId="0" fontId="28" fillId="0" borderId="10" xfId="0" applyFont="1" applyBorder="1" applyAlignment="1">
      <alignment horizontal="center" vertical="center" wrapText="1"/>
    </xf>
    <xf numFmtId="4" fontId="14" fillId="0" borderId="10" xfId="0" applyNumberFormat="1" applyFont="1" applyBorder="1" applyAlignment="1">
      <alignment horizontal="right" vertical="center" wrapText="1"/>
    </xf>
    <xf numFmtId="0" fontId="41" fillId="0" borderId="10" xfId="0" applyFont="1" applyBorder="1" applyAlignment="1">
      <alignment horizontal="center" vertical="center" wrapText="1"/>
    </xf>
    <xf numFmtId="4" fontId="41" fillId="0" borderId="10" xfId="0" applyNumberFormat="1" applyFont="1" applyBorder="1" applyAlignment="1">
      <alignment vertical="center" wrapText="1"/>
    </xf>
    <xf numFmtId="0" fontId="42" fillId="34" borderId="0" xfId="0" applyFont="1" applyFill="1" applyAlignment="1">
      <alignment horizontal="center" vertical="center" wrapText="1"/>
    </xf>
    <xf numFmtId="4" fontId="43" fillId="34" borderId="0" xfId="0" applyNumberFormat="1" applyFont="1" applyFill="1" applyAlignment="1">
      <alignment horizontal="right" vertical="center" wrapText="1"/>
    </xf>
    <xf numFmtId="3" fontId="4" fillId="0" borderId="14" xfId="49" applyNumberFormat="1" applyFont="1" applyFill="1" applyBorder="1" applyAlignment="1">
      <alignment horizontal="center" vertical="center" wrapText="1"/>
      <protection/>
    </xf>
    <xf numFmtId="203" fontId="16" fillId="33" borderId="15" xfId="0" applyNumberFormat="1" applyFont="1" applyFill="1" applyBorder="1" applyAlignment="1" quotePrefix="1">
      <alignment horizontal="right" vertical="center" wrapText="1"/>
    </xf>
    <xf numFmtId="3" fontId="15" fillId="0" borderId="10" xfId="0" applyNumberFormat="1" applyFont="1" applyFill="1" applyBorder="1" applyAlignment="1">
      <alignment horizontal="center" vertical="center" wrapText="1"/>
    </xf>
    <xf numFmtId="4" fontId="78" fillId="0" borderId="10" xfId="0" applyNumberFormat="1" applyFont="1" applyFill="1" applyBorder="1" applyAlignment="1" applyProtection="1">
      <alignment horizontal="right" vertical="center" wrapText="1"/>
      <protection/>
    </xf>
    <xf numFmtId="4" fontId="79" fillId="0" borderId="10" xfId="0" applyNumberFormat="1" applyFont="1" applyFill="1" applyBorder="1" applyAlignment="1">
      <alignment vertical="center" wrapText="1"/>
    </xf>
    <xf numFmtId="4" fontId="79" fillId="0" borderId="10" xfId="0" applyNumberFormat="1" applyFont="1" applyBorder="1" applyAlignment="1">
      <alignment vertical="center" wrapText="1"/>
    </xf>
    <xf numFmtId="4" fontId="79" fillId="0" borderId="10" xfId="0" applyNumberFormat="1" applyFont="1" applyFill="1" applyBorder="1" applyAlignment="1">
      <alignment horizontal="right" vertical="center" wrapText="1"/>
    </xf>
    <xf numFmtId="0" fontId="79" fillId="0" borderId="0" xfId="0" applyFont="1" applyAlignment="1">
      <alignment vertical="center" wrapText="1"/>
    </xf>
    <xf numFmtId="3" fontId="79" fillId="37" borderId="10" xfId="0" applyNumberFormat="1" applyFont="1" applyFill="1" applyBorder="1" applyAlignment="1" applyProtection="1">
      <alignment horizontal="center" vertical="center" wrapText="1"/>
      <protection/>
    </xf>
    <xf numFmtId="4" fontId="79" fillId="37" borderId="10" xfId="0" applyNumberFormat="1" applyFont="1" applyFill="1" applyBorder="1" applyAlignment="1">
      <alignment horizontal="center" vertical="center" wrapText="1"/>
    </xf>
    <xf numFmtId="49" fontId="15" fillId="38" borderId="10" xfId="0" applyNumberFormat="1" applyFont="1" applyFill="1" applyBorder="1" applyAlignment="1">
      <alignment horizontal="center" vertical="center" wrapText="1"/>
    </xf>
    <xf numFmtId="4" fontId="15" fillId="38" borderId="12" xfId="0" applyNumberFormat="1" applyFont="1" applyFill="1" applyBorder="1" applyAlignment="1" quotePrefix="1">
      <alignment horizontal="right" vertical="center" wrapText="1"/>
    </xf>
    <xf numFmtId="4" fontId="15" fillId="38" borderId="10" xfId="0" applyNumberFormat="1" applyFont="1" applyFill="1" applyBorder="1" applyAlignment="1">
      <alignment horizontal="right" vertical="center" wrapText="1"/>
    </xf>
    <xf numFmtId="0" fontId="4" fillId="38" borderId="0" xfId="0" applyFont="1" applyFill="1" applyAlignment="1">
      <alignment vertical="center" wrapText="1"/>
    </xf>
    <xf numFmtId="2" fontId="5" fillId="0" borderId="10" xfId="0" applyNumberFormat="1" applyFont="1" applyBorder="1" applyAlignment="1" quotePrefix="1">
      <alignment vertical="center" wrapText="1"/>
    </xf>
    <xf numFmtId="0" fontId="4" fillId="38" borderId="10" xfId="0" applyFont="1" applyFill="1" applyBorder="1" applyAlignment="1">
      <alignment horizontal="center" vertical="center" wrapText="1"/>
    </xf>
    <xf numFmtId="4" fontId="4" fillId="38" borderId="10" xfId="0" applyNumberFormat="1" applyFont="1" applyFill="1" applyBorder="1" applyAlignment="1">
      <alignment vertical="center" wrapText="1"/>
    </xf>
    <xf numFmtId="49" fontId="4" fillId="38" borderId="10" xfId="0" applyNumberFormat="1" applyFont="1" applyFill="1" applyBorder="1" applyAlignment="1">
      <alignment horizontal="center" vertical="center" wrapText="1"/>
    </xf>
    <xf numFmtId="0" fontId="4" fillId="38" borderId="10" xfId="0" applyNumberFormat="1" applyFont="1" applyFill="1" applyBorder="1" applyAlignment="1" quotePrefix="1">
      <alignment horizontal="center" vertical="center" wrapText="1"/>
    </xf>
    <xf numFmtId="49" fontId="15" fillId="38" borderId="10" xfId="0" applyNumberFormat="1" applyFont="1" applyFill="1" applyBorder="1" applyAlignment="1" quotePrefix="1">
      <alignment horizontal="center" vertical="center" wrapText="1"/>
    </xf>
    <xf numFmtId="49" fontId="4" fillId="38" borderId="10" xfId="0" applyNumberFormat="1" applyFont="1" applyFill="1" applyBorder="1" applyAlignment="1" quotePrefix="1">
      <alignment horizontal="center" vertical="center" wrapText="1"/>
    </xf>
    <xf numFmtId="49" fontId="4" fillId="0" borderId="12" xfId="0" applyNumberFormat="1" applyFont="1" applyBorder="1" applyAlignment="1" quotePrefix="1">
      <alignment horizontal="center" vertical="center" wrapText="1"/>
    </xf>
    <xf numFmtId="49" fontId="4" fillId="0" borderId="11" xfId="0" applyNumberFormat="1" applyFont="1" applyBorder="1" applyAlignment="1" quotePrefix="1">
      <alignment horizontal="center" vertical="center" wrapText="1"/>
    </xf>
    <xf numFmtId="3" fontId="4" fillId="0" borderId="12" xfId="0" applyNumberFormat="1" applyFont="1" applyFill="1" applyBorder="1" applyAlignment="1" applyProtection="1">
      <alignment horizontal="center" vertical="center" wrapText="1"/>
      <protection/>
    </xf>
    <xf numFmtId="3" fontId="4" fillId="0" borderId="11" xfId="0" applyNumberFormat="1" applyFont="1" applyFill="1" applyBorder="1" applyAlignment="1" applyProtection="1">
      <alignment horizontal="center" vertical="center" wrapText="1"/>
      <protection/>
    </xf>
    <xf numFmtId="2" fontId="4" fillId="4" borderId="16" xfId="0" applyNumberFormat="1" applyFont="1" applyFill="1" applyBorder="1" applyAlignment="1" quotePrefix="1">
      <alignment horizontal="left" vertical="center" wrapText="1"/>
    </xf>
    <xf numFmtId="2" fontId="4" fillId="4" borderId="15" xfId="0" applyNumberFormat="1" applyFont="1" applyFill="1" applyBorder="1" applyAlignment="1" quotePrefix="1">
      <alignment horizontal="left" vertical="center" wrapText="1"/>
    </xf>
    <xf numFmtId="2" fontId="8" fillId="33" borderId="16" xfId="0" applyNumberFormat="1" applyFont="1" applyFill="1" applyBorder="1" applyAlignment="1" quotePrefix="1">
      <alignment horizontal="left" vertical="center" wrapText="1"/>
    </xf>
    <xf numFmtId="2" fontId="8" fillId="33" borderId="15" xfId="0" applyNumberFormat="1" applyFont="1" applyFill="1" applyBorder="1" applyAlignment="1" quotePrefix="1">
      <alignment horizontal="left" vertical="center" wrapText="1"/>
    </xf>
    <xf numFmtId="2" fontId="4" fillId="4" borderId="16" xfId="0" applyNumberFormat="1" applyFont="1" applyFill="1" applyBorder="1" applyAlignment="1">
      <alignment horizontal="left" vertical="center" wrapText="1"/>
    </xf>
    <xf numFmtId="2" fontId="4" fillId="4" borderId="15" xfId="0" applyNumberFormat="1" applyFont="1" applyFill="1" applyBorder="1" applyAlignment="1">
      <alignment horizontal="left" vertical="center" wrapText="1"/>
    </xf>
    <xf numFmtId="2" fontId="4" fillId="0" borderId="17" xfId="0" applyNumberFormat="1" applyFont="1" applyBorder="1" applyAlignment="1">
      <alignment horizontal="left" vertical="center" wrapText="1"/>
    </xf>
    <xf numFmtId="2" fontId="4" fillId="0" borderId="18" xfId="0" applyNumberFormat="1" applyFont="1" applyBorder="1" applyAlignment="1">
      <alignment horizontal="left" vertical="center" wrapText="1"/>
    </xf>
    <xf numFmtId="49" fontId="4" fillId="0" borderId="10" xfId="0" applyNumberFormat="1" applyFont="1" applyBorder="1" applyAlignment="1" quotePrefix="1">
      <alignment horizontal="center" vertical="center" wrapText="1"/>
    </xf>
    <xf numFmtId="2" fontId="4" fillId="0" borderId="12" xfId="0" applyNumberFormat="1" applyFont="1" applyFill="1" applyBorder="1" applyAlignment="1" quotePrefix="1">
      <alignment horizontal="left" vertical="center" wrapText="1"/>
    </xf>
    <xf numFmtId="0" fontId="0" fillId="0" borderId="11" xfId="0" applyBorder="1" applyAlignment="1">
      <alignment horizontal="left"/>
    </xf>
    <xf numFmtId="2" fontId="4" fillId="0" borderId="12" xfId="0" applyNumberFormat="1" applyFont="1" applyBorder="1" applyAlignment="1" quotePrefix="1">
      <alignment horizontal="left" vertical="center" wrapText="1"/>
    </xf>
    <xf numFmtId="2" fontId="4" fillId="0" borderId="11" xfId="0" applyNumberFormat="1" applyFont="1" applyBorder="1" applyAlignment="1" quotePrefix="1">
      <alignment horizontal="left" vertical="center" wrapText="1"/>
    </xf>
    <xf numFmtId="49" fontId="4" fillId="0" borderId="12" xfId="0" applyNumberFormat="1" applyFont="1" applyFill="1" applyBorder="1" applyAlignment="1" quotePrefix="1">
      <alignment horizontal="center" vertical="center" wrapText="1"/>
    </xf>
    <xf numFmtId="0" fontId="0" fillId="0" borderId="11" xfId="0" applyBorder="1" applyAlignment="1">
      <alignment/>
    </xf>
    <xf numFmtId="49" fontId="15" fillId="0" borderId="12" xfId="0" applyNumberFormat="1" applyFont="1" applyBorder="1" applyAlignment="1" quotePrefix="1">
      <alignment horizontal="center" vertical="center" wrapText="1"/>
    </xf>
    <xf numFmtId="49" fontId="15" fillId="0" borderId="14" xfId="0" applyNumberFormat="1" applyFont="1" applyBorder="1" applyAlignment="1" quotePrefix="1">
      <alignment horizontal="center" vertical="center" wrapText="1"/>
    </xf>
    <xf numFmtId="49" fontId="15" fillId="0" borderId="11" xfId="0" applyNumberFormat="1" applyFont="1" applyBorder="1" applyAlignment="1" quotePrefix="1">
      <alignment horizontal="center" vertical="center" wrapText="1"/>
    </xf>
    <xf numFmtId="49" fontId="15" fillId="0" borderId="12" xfId="0" applyNumberFormat="1" applyFont="1" applyBorder="1" applyAlignment="1">
      <alignment horizontal="center" vertical="center" wrapText="1"/>
    </xf>
    <xf numFmtId="49" fontId="15" fillId="0" borderId="14" xfId="0" applyNumberFormat="1" applyFont="1" applyBorder="1" applyAlignment="1">
      <alignment horizontal="center" vertical="center" wrapText="1"/>
    </xf>
    <xf numFmtId="49" fontId="15" fillId="0" borderId="11" xfId="0" applyNumberFormat="1" applyFont="1" applyBorder="1" applyAlignment="1">
      <alignment horizontal="center" vertical="center" wrapText="1"/>
    </xf>
    <xf numFmtId="49" fontId="4" fillId="0" borderId="12" xfId="0" applyNumberFormat="1" applyFont="1" applyBorder="1" applyAlignment="1">
      <alignment horizontal="center" vertical="center" wrapText="1"/>
    </xf>
    <xf numFmtId="49" fontId="4" fillId="0" borderId="11" xfId="0" applyNumberFormat="1" applyFont="1" applyBorder="1" applyAlignment="1">
      <alignment horizontal="center" vertical="center" wrapText="1"/>
    </xf>
    <xf numFmtId="2" fontId="16" fillId="33" borderId="16" xfId="0" applyNumberFormat="1" applyFont="1" applyFill="1" applyBorder="1" applyAlignment="1" quotePrefix="1">
      <alignment horizontal="left" vertical="center" wrapText="1"/>
    </xf>
    <xf numFmtId="2" fontId="16" fillId="33" borderId="15" xfId="0" applyNumberFormat="1" applyFont="1" applyFill="1" applyBorder="1" applyAlignment="1" quotePrefix="1">
      <alignment horizontal="left" vertical="center" wrapText="1"/>
    </xf>
    <xf numFmtId="2" fontId="4" fillId="0" borderId="10" xfId="0" applyNumberFormat="1" applyFont="1" applyBorder="1" applyAlignment="1">
      <alignment horizontal="left" vertical="center" wrapText="1"/>
    </xf>
    <xf numFmtId="3" fontId="4" fillId="34" borderId="12" xfId="0" applyNumberFormat="1" applyFont="1" applyFill="1" applyBorder="1" applyAlignment="1">
      <alignment horizontal="center" vertical="center" wrapText="1"/>
    </xf>
    <xf numFmtId="3" fontId="4" fillId="34" borderId="14" xfId="0" applyNumberFormat="1" applyFont="1" applyFill="1" applyBorder="1" applyAlignment="1">
      <alignment horizontal="center" vertical="center" wrapText="1"/>
    </xf>
    <xf numFmtId="3" fontId="4" fillId="34" borderId="11" xfId="0" applyNumberFormat="1" applyFont="1" applyFill="1" applyBorder="1" applyAlignment="1">
      <alignment horizontal="center" vertical="center" wrapText="1"/>
    </xf>
    <xf numFmtId="0" fontId="0" fillId="0" borderId="11" xfId="0" applyBorder="1" applyAlignment="1">
      <alignment horizontal="center" vertical="center" wrapText="1"/>
    </xf>
    <xf numFmtId="49" fontId="18" fillId="0" borderId="14" xfId="0" applyNumberFormat="1" applyFont="1" applyBorder="1" applyAlignment="1">
      <alignment horizontal="center" vertical="center" wrapText="1"/>
    </xf>
    <xf numFmtId="2" fontId="8" fillId="33" borderId="16" xfId="0" applyNumberFormat="1" applyFont="1" applyFill="1" applyBorder="1" applyAlignment="1">
      <alignment horizontal="left" vertical="center" wrapText="1"/>
    </xf>
    <xf numFmtId="2" fontId="8" fillId="33" borderId="15" xfId="0" applyNumberFormat="1" applyFont="1" applyFill="1" applyBorder="1" applyAlignment="1">
      <alignment horizontal="left" vertical="center" wrapText="1"/>
    </xf>
    <xf numFmtId="2" fontId="4" fillId="0" borderId="12" xfId="0" applyNumberFormat="1" applyFont="1" applyBorder="1" applyAlignment="1">
      <alignment horizontal="left" vertical="center" wrapText="1"/>
    </xf>
    <xf numFmtId="2" fontId="4" fillId="0" borderId="11" xfId="0" applyNumberFormat="1" applyFont="1" applyBorder="1" applyAlignment="1">
      <alignment horizontal="left" vertical="center" wrapText="1"/>
    </xf>
    <xf numFmtId="4" fontId="31" fillId="0" borderId="19" xfId="0" applyNumberFormat="1" applyFont="1" applyBorder="1" applyAlignment="1">
      <alignment horizontal="left" vertical="center" wrapText="1"/>
    </xf>
    <xf numFmtId="4" fontId="31" fillId="0" borderId="0" xfId="0" applyNumberFormat="1" applyFont="1" applyAlignment="1">
      <alignment horizontal="left" vertical="center" wrapText="1"/>
    </xf>
    <xf numFmtId="0" fontId="4" fillId="0" borderId="12"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1" xfId="0" applyFont="1" applyBorder="1" applyAlignment="1">
      <alignment horizontal="center" vertical="center" wrapText="1"/>
    </xf>
    <xf numFmtId="3" fontId="4" fillId="34" borderId="12" xfId="0" applyNumberFormat="1" applyFont="1" applyFill="1" applyBorder="1" applyAlignment="1" applyProtection="1">
      <alignment horizontal="center" vertical="center" wrapText="1"/>
      <protection/>
    </xf>
    <xf numFmtId="3" fontId="4" fillId="34" borderId="11" xfId="0" applyNumberFormat="1" applyFont="1" applyFill="1" applyBorder="1" applyAlignment="1" applyProtection="1">
      <alignment horizontal="center" vertical="center" wrapText="1"/>
      <protection/>
    </xf>
    <xf numFmtId="4" fontId="4" fillId="0" borderId="19" xfId="0" applyNumberFormat="1" applyFont="1" applyBorder="1" applyAlignment="1">
      <alignment horizontal="center" vertical="center" wrapText="1"/>
    </xf>
    <xf numFmtId="0" fontId="4" fillId="0" borderId="19" xfId="0" applyFont="1" applyBorder="1" applyAlignment="1">
      <alignment horizontal="center" vertical="center" wrapText="1"/>
    </xf>
    <xf numFmtId="3" fontId="4" fillId="0" borderId="12" xfId="49" applyNumberFormat="1" applyFont="1" applyFill="1" applyBorder="1" applyAlignment="1">
      <alignment horizontal="center" vertical="center" wrapText="1"/>
      <protection/>
    </xf>
    <xf numFmtId="3" fontId="4" fillId="0" borderId="11" xfId="49" applyNumberFormat="1" applyFont="1" applyFill="1" applyBorder="1" applyAlignment="1">
      <alignment horizontal="center" vertical="center" wrapText="1"/>
      <protection/>
    </xf>
    <xf numFmtId="4" fontId="20" fillId="0" borderId="0" xfId="0" applyNumberFormat="1" applyFont="1" applyAlignment="1">
      <alignment horizontal="right" vertical="center" wrapText="1"/>
    </xf>
    <xf numFmtId="0" fontId="21" fillId="0" borderId="0" xfId="0" applyFont="1" applyAlignment="1">
      <alignment horizontal="center" vertical="center" wrapText="1"/>
    </xf>
    <xf numFmtId="49" fontId="22" fillId="0" borderId="11" xfId="0" applyNumberFormat="1" applyFont="1" applyBorder="1" applyAlignment="1">
      <alignment horizontal="center" vertical="center" wrapText="1"/>
    </xf>
    <xf numFmtId="49" fontId="22" fillId="0" borderId="10" xfId="0" applyNumberFormat="1" applyFont="1" applyBorder="1" applyAlignment="1">
      <alignment horizontal="center" vertical="center" wrapText="1"/>
    </xf>
    <xf numFmtId="4" fontId="22" fillId="0" borderId="12" xfId="0" applyNumberFormat="1" applyFont="1" applyBorder="1" applyAlignment="1">
      <alignment horizontal="center" vertical="center" wrapText="1"/>
    </xf>
    <xf numFmtId="4" fontId="22" fillId="0" borderId="14" xfId="0" applyNumberFormat="1" applyFont="1" applyBorder="1" applyAlignment="1">
      <alignment horizontal="center" vertical="center" wrapText="1"/>
    </xf>
    <xf numFmtId="4" fontId="22" fillId="0" borderId="11" xfId="0" applyNumberFormat="1" applyFont="1" applyBorder="1" applyAlignment="1">
      <alignment horizontal="center" vertical="center" wrapText="1"/>
    </xf>
    <xf numFmtId="4" fontId="37" fillId="0" borderId="0" xfId="0" applyNumberFormat="1" applyFont="1" applyAlignment="1">
      <alignment horizontal="left" vertical="center" wrapText="1"/>
    </xf>
    <xf numFmtId="4" fontId="20" fillId="0" borderId="0" xfId="0" applyNumberFormat="1" applyFont="1" applyAlignment="1">
      <alignment horizontal="left" vertical="center" wrapText="1"/>
    </xf>
    <xf numFmtId="4" fontId="14" fillId="0" borderId="0" xfId="0" applyNumberFormat="1" applyFont="1" applyAlignment="1">
      <alignment horizontal="right" vertical="center" wrapText="1"/>
    </xf>
    <xf numFmtId="0" fontId="16" fillId="33" borderId="16" xfId="0" applyFont="1" applyFill="1" applyBorder="1" applyAlignment="1">
      <alignment horizontal="left" vertical="center" wrapText="1"/>
    </xf>
    <xf numFmtId="0" fontId="16" fillId="33" borderId="15" xfId="0" applyFont="1" applyFill="1" applyBorder="1" applyAlignment="1">
      <alignment horizontal="left" vertical="center" wrapText="1"/>
    </xf>
    <xf numFmtId="2" fontId="4" fillId="34" borderId="10" xfId="0" applyNumberFormat="1" applyFont="1" applyFill="1" applyBorder="1" applyAlignment="1">
      <alignment horizontal="center" vertical="center" wrapText="1"/>
    </xf>
    <xf numFmtId="2" fontId="4" fillId="34" borderId="10" xfId="0" applyNumberFormat="1" applyFont="1" applyFill="1" applyBorder="1" applyAlignment="1" quotePrefix="1">
      <alignment horizontal="center" vertical="center" wrapText="1"/>
    </xf>
    <xf numFmtId="2" fontId="15" fillId="0" borderId="12" xfId="0" applyNumberFormat="1" applyFont="1" applyFill="1" applyBorder="1" applyAlignment="1">
      <alignment horizontal="center" vertical="center" wrapText="1"/>
    </xf>
    <xf numFmtId="2" fontId="15" fillId="0" borderId="14" xfId="0" applyNumberFormat="1" applyFont="1" applyFill="1" applyBorder="1" applyAlignment="1">
      <alignment horizontal="center" vertical="center" wrapText="1"/>
    </xf>
    <xf numFmtId="2" fontId="15" fillId="0" borderId="11" xfId="0" applyNumberFormat="1" applyFont="1" applyFill="1" applyBorder="1" applyAlignment="1">
      <alignment horizontal="center" vertical="center" wrapText="1"/>
    </xf>
    <xf numFmtId="2" fontId="4" fillId="34" borderId="12" xfId="0" applyNumberFormat="1" applyFont="1" applyFill="1" applyBorder="1" applyAlignment="1">
      <alignment horizontal="center" vertical="center" wrapText="1"/>
    </xf>
    <xf numFmtId="2" fontId="4" fillId="34" borderId="11" xfId="0" applyNumberFormat="1" applyFont="1" applyFill="1" applyBorder="1" applyAlignment="1">
      <alignment horizontal="center" vertical="center" wrapText="1"/>
    </xf>
    <xf numFmtId="2" fontId="15" fillId="0" borderId="12" xfId="0" applyNumberFormat="1" applyFont="1" applyBorder="1" applyAlignment="1">
      <alignment horizontal="left" vertical="center" wrapText="1"/>
    </xf>
    <xf numFmtId="2" fontId="15" fillId="0" borderId="14" xfId="0" applyNumberFormat="1" applyFont="1" applyBorder="1" applyAlignment="1">
      <alignment horizontal="left" vertical="center" wrapText="1"/>
    </xf>
    <xf numFmtId="2" fontId="15" fillId="0" borderId="11" xfId="0" applyNumberFormat="1" applyFont="1" applyBorder="1" applyAlignment="1">
      <alignment horizontal="left" vertical="center" wrapText="1"/>
    </xf>
    <xf numFmtId="2" fontId="15" fillId="4" borderId="16" xfId="0" applyNumberFormat="1" applyFont="1" applyFill="1" applyBorder="1" applyAlignment="1">
      <alignment horizontal="left" vertical="center" wrapText="1"/>
    </xf>
    <xf numFmtId="2" fontId="15" fillId="4" borderId="15" xfId="0" applyNumberFormat="1" applyFont="1" applyFill="1" applyBorder="1" applyAlignment="1">
      <alignment horizontal="left" vertical="center" wrapText="1"/>
    </xf>
    <xf numFmtId="3" fontId="15" fillId="0" borderId="12" xfId="49" applyNumberFormat="1" applyFont="1" applyFill="1" applyBorder="1" applyAlignment="1">
      <alignment horizontal="center" vertical="center" wrapText="1"/>
      <protection/>
    </xf>
    <xf numFmtId="3" fontId="15" fillId="0" borderId="11" xfId="49" applyNumberFormat="1" applyFont="1" applyFill="1" applyBorder="1" applyAlignment="1">
      <alignment horizontal="center" vertical="center" wrapText="1"/>
      <protection/>
    </xf>
    <xf numFmtId="4" fontId="22" fillId="0" borderId="17" xfId="0" applyNumberFormat="1" applyFont="1" applyBorder="1" applyAlignment="1">
      <alignment horizontal="center" vertical="center" wrapText="1"/>
    </xf>
    <xf numFmtId="4" fontId="22" fillId="0" borderId="20" xfId="0" applyNumberFormat="1" applyFont="1" applyBorder="1" applyAlignment="1">
      <alignment horizontal="center" vertical="center" wrapText="1"/>
    </xf>
    <xf numFmtId="4" fontId="22" fillId="0" borderId="19" xfId="0" applyNumberFormat="1" applyFont="1" applyBorder="1" applyAlignment="1">
      <alignment horizontal="center" vertical="center" wrapText="1"/>
    </xf>
    <xf numFmtId="4" fontId="22" fillId="0" borderId="21" xfId="0" applyNumberFormat="1" applyFont="1" applyBorder="1" applyAlignment="1">
      <alignment horizontal="center" vertical="center" wrapText="1"/>
    </xf>
    <xf numFmtId="4" fontId="22" fillId="0" borderId="18" xfId="0" applyNumberFormat="1" applyFont="1" applyBorder="1" applyAlignment="1">
      <alignment horizontal="center" vertical="center" wrapText="1"/>
    </xf>
    <xf numFmtId="4" fontId="22" fillId="0" borderId="22" xfId="0" applyNumberFormat="1" applyFont="1" applyBorder="1" applyAlignment="1">
      <alignment horizontal="center" vertical="center" wrapText="1"/>
    </xf>
    <xf numFmtId="0" fontId="22" fillId="0" borderId="11"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4" xfId="0" applyFont="1" applyBorder="1" applyAlignment="1">
      <alignment horizontal="center" vertical="center" wrapText="1"/>
    </xf>
    <xf numFmtId="3" fontId="15" fillId="0" borderId="12" xfId="0" applyNumberFormat="1" applyFont="1" applyFill="1" applyBorder="1" applyAlignment="1">
      <alignment horizontal="center" vertical="center" wrapText="1"/>
    </xf>
    <xf numFmtId="3" fontId="15" fillId="0" borderId="14" xfId="0" applyNumberFormat="1" applyFont="1" applyFill="1" applyBorder="1" applyAlignment="1">
      <alignment horizontal="center" vertical="center" wrapText="1"/>
    </xf>
    <xf numFmtId="3" fontId="15" fillId="0" borderId="11" xfId="0" applyNumberFormat="1" applyFont="1" applyFill="1" applyBorder="1" applyAlignment="1">
      <alignment horizontal="center" vertical="center" wrapText="1"/>
    </xf>
    <xf numFmtId="2" fontId="15" fillId="0" borderId="12" xfId="0" applyNumberFormat="1" applyFont="1" applyBorder="1" applyAlignment="1">
      <alignment horizontal="center" vertical="center" wrapText="1"/>
    </xf>
    <xf numFmtId="2" fontId="15" fillId="0" borderId="14" xfId="0" applyNumberFormat="1" applyFont="1" applyBorder="1" applyAlignment="1">
      <alignment horizontal="center" vertical="center" wrapText="1"/>
    </xf>
    <xf numFmtId="2" fontId="15" fillId="0" borderId="11" xfId="0" applyNumberFormat="1" applyFont="1" applyBorder="1" applyAlignment="1">
      <alignment horizontal="center" vertical="center" wrapText="1"/>
    </xf>
    <xf numFmtId="2" fontId="15" fillId="4" borderId="16" xfId="0" applyNumberFormat="1" applyFont="1" applyFill="1" applyBorder="1" applyAlignment="1" quotePrefix="1">
      <alignment horizontal="left" vertical="center" wrapText="1"/>
    </xf>
    <xf numFmtId="2" fontId="15" fillId="4" borderId="15" xfId="0" applyNumberFormat="1" applyFont="1" applyFill="1" applyBorder="1" applyAlignment="1" quotePrefix="1">
      <alignment horizontal="left" vertical="center" wrapText="1"/>
    </xf>
    <xf numFmtId="2" fontId="16" fillId="33" borderId="16" xfId="0" applyNumberFormat="1" applyFont="1" applyFill="1" applyBorder="1" applyAlignment="1">
      <alignment horizontal="left" vertical="center" wrapText="1"/>
    </xf>
    <xf numFmtId="2" fontId="16" fillId="33" borderId="15" xfId="0" applyNumberFormat="1" applyFont="1" applyFill="1" applyBorder="1" applyAlignment="1">
      <alignment horizontal="left" vertical="center" wrapText="1"/>
    </xf>
    <xf numFmtId="0" fontId="14" fillId="0" borderId="0" xfId="0" applyFont="1" applyAlignment="1">
      <alignment horizontal="center" vertical="center" wrapText="1"/>
    </xf>
    <xf numFmtId="0" fontId="25" fillId="0" borderId="0" xfId="0" applyNumberFormat="1" applyFont="1" applyFill="1" applyAlignment="1" applyProtection="1">
      <alignment horizontal="left" vertical="center" wrapText="1"/>
      <protection/>
    </xf>
    <xf numFmtId="4" fontId="25" fillId="0" borderId="0" xfId="0" applyNumberFormat="1" applyFont="1" applyFill="1" applyAlignment="1" applyProtection="1">
      <alignment horizontal="right" vertical="center" wrapText="1"/>
      <protection/>
    </xf>
    <xf numFmtId="4" fontId="0" fillId="0" borderId="0" xfId="0" applyNumberFormat="1" applyAlignment="1">
      <alignment horizontal="right" vertical="center" wrapText="1"/>
    </xf>
    <xf numFmtId="3" fontId="4" fillId="0" borderId="14" xfId="0" applyNumberFormat="1" applyFont="1" applyFill="1" applyBorder="1" applyAlignment="1" applyProtection="1">
      <alignment horizontal="center" vertical="center" wrapText="1"/>
      <protection/>
    </xf>
    <xf numFmtId="49" fontId="4" fillId="0" borderId="12"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0" fontId="0" fillId="0" borderId="14" xfId="0" applyBorder="1" applyAlignment="1">
      <alignment horizontal="center" vertical="center" wrapText="1"/>
    </xf>
    <xf numFmtId="2" fontId="15" fillId="0" borderId="10" xfId="0" applyNumberFormat="1" applyFont="1" applyBorder="1" applyAlignment="1">
      <alignment horizontal="center" vertical="center" wrapText="1"/>
    </xf>
    <xf numFmtId="2" fontId="15" fillId="0" borderId="10" xfId="0" applyNumberFormat="1" applyFont="1" applyFill="1" applyBorder="1" applyAlignment="1">
      <alignment horizontal="center" vertical="center" wrapText="1"/>
    </xf>
    <xf numFmtId="2" fontId="15" fillId="0" borderId="10" xfId="0" applyNumberFormat="1" applyFont="1" applyFill="1" applyBorder="1" applyAlignment="1" quotePrefix="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_Додаток _ 3 зм_ни 4575"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66"/>
  <sheetViews>
    <sheetView tabSelected="1" view="pageBreakPreview" zoomScale="66" zoomScaleNormal="75" zoomScaleSheetLayoutView="66" zoomScalePageLayoutView="0" workbookViewId="0" topLeftCell="A209">
      <selection activeCell="D78" sqref="D78"/>
    </sheetView>
  </sheetViews>
  <sheetFormatPr defaultColWidth="8.875" defaultRowHeight="12.75"/>
  <cols>
    <col min="1" max="1" width="14.375" style="288" customWidth="1"/>
    <col min="2" max="2" width="11.75390625" style="91" customWidth="1"/>
    <col min="3" max="3" width="12.25390625" style="91" customWidth="1"/>
    <col min="4" max="4" width="42.875" style="325" customWidth="1"/>
    <col min="5" max="5" width="48.25390625" style="27" customWidth="1"/>
    <col min="6" max="6" width="19.875" style="27" customWidth="1"/>
    <col min="7" max="7" width="20.375" style="172" customWidth="1"/>
    <col min="8" max="8" width="21.125" style="140" customWidth="1"/>
    <col min="9" max="10" width="19.375" style="140" customWidth="1"/>
    <col min="11" max="11" width="23.75390625" style="61" customWidth="1"/>
    <col min="12" max="12" width="26.25390625" style="61" customWidth="1"/>
    <col min="13" max="13" width="17.375" style="61" customWidth="1"/>
    <col min="14" max="14" width="16.25390625" style="61" customWidth="1"/>
    <col min="15" max="15" width="8.875" style="61" customWidth="1"/>
    <col min="16" max="16" width="16.375" style="61" bestFit="1" customWidth="1"/>
    <col min="17" max="16384" width="8.875" style="61" customWidth="1"/>
  </cols>
  <sheetData>
    <row r="1" spans="1:10" s="45" customFormat="1" ht="21" customHeight="1">
      <c r="A1" s="284"/>
      <c r="B1" s="87"/>
      <c r="C1" s="87"/>
      <c r="D1" s="301"/>
      <c r="E1" s="2"/>
      <c r="F1" s="2"/>
      <c r="G1" s="144"/>
      <c r="H1" s="102"/>
      <c r="I1" s="416"/>
      <c r="J1" s="416"/>
    </row>
    <row r="2" spans="1:10" s="45" customFormat="1" ht="36" customHeight="1">
      <c r="A2" s="284"/>
      <c r="B2" s="87"/>
      <c r="C2" s="87"/>
      <c r="D2" s="301"/>
      <c r="E2" s="2"/>
      <c r="F2" s="2"/>
      <c r="G2" s="424" t="s">
        <v>385</v>
      </c>
      <c r="H2" s="424"/>
      <c r="I2" s="424"/>
      <c r="J2" s="424"/>
    </row>
    <row r="3" spans="1:10" s="45" customFormat="1" ht="39.75" customHeight="1">
      <c r="A3" s="284"/>
      <c r="B3" s="87"/>
      <c r="C3" s="87"/>
      <c r="D3" s="301"/>
      <c r="E3" s="2"/>
      <c r="F3" s="2"/>
      <c r="G3" s="424" t="s">
        <v>386</v>
      </c>
      <c r="H3" s="424"/>
      <c r="I3" s="424"/>
      <c r="J3" s="424"/>
    </row>
    <row r="4" spans="1:10" s="45" customFormat="1" ht="55.5" customHeight="1">
      <c r="A4" s="284"/>
      <c r="B4" s="87"/>
      <c r="C4" s="87"/>
      <c r="D4" s="301"/>
      <c r="E4" s="2"/>
      <c r="F4" s="2"/>
      <c r="G4" s="423" t="s">
        <v>167</v>
      </c>
      <c r="H4" s="423"/>
      <c r="I4" s="423"/>
      <c r="J4" s="423"/>
    </row>
    <row r="5" spans="1:10" s="45" customFormat="1" ht="53.25" customHeight="1">
      <c r="A5" s="284"/>
      <c r="B5" s="87"/>
      <c r="C5" s="87"/>
      <c r="D5" s="301"/>
      <c r="E5" s="2"/>
      <c r="F5" s="2"/>
      <c r="G5" s="423" t="s">
        <v>115</v>
      </c>
      <c r="H5" s="423"/>
      <c r="I5" s="423"/>
      <c r="J5" s="423"/>
    </row>
    <row r="6" spans="1:10" s="45" customFormat="1" ht="39" customHeight="1">
      <c r="A6" s="284"/>
      <c r="B6" s="87"/>
      <c r="C6" s="87"/>
      <c r="D6" s="301"/>
      <c r="E6" s="3"/>
      <c r="F6" s="3"/>
      <c r="G6" s="423" t="s">
        <v>116</v>
      </c>
      <c r="H6" s="423"/>
      <c r="I6" s="423"/>
      <c r="J6" s="423"/>
    </row>
    <row r="7" spans="1:10" s="45" customFormat="1" ht="21" customHeight="1">
      <c r="A7" s="284"/>
      <c r="B7" s="87"/>
      <c r="C7" s="87"/>
      <c r="D7" s="301"/>
      <c r="E7" s="2"/>
      <c r="F7" s="2"/>
      <c r="G7" s="144"/>
      <c r="H7" s="102"/>
      <c r="I7" s="102"/>
      <c r="J7" s="102"/>
    </row>
    <row r="8" spans="1:10" s="45" customFormat="1" ht="51.75" customHeight="1">
      <c r="A8" s="417" t="s">
        <v>348</v>
      </c>
      <c r="B8" s="417"/>
      <c r="C8" s="417"/>
      <c r="D8" s="417"/>
      <c r="E8" s="417"/>
      <c r="F8" s="417"/>
      <c r="G8" s="417"/>
      <c r="H8" s="417"/>
      <c r="I8" s="417"/>
      <c r="J8" s="417"/>
    </row>
    <row r="9" spans="1:13" s="45" customFormat="1" ht="25.5" customHeight="1">
      <c r="A9" s="285"/>
      <c r="B9" s="88"/>
      <c r="C9" s="88"/>
      <c r="D9" s="302"/>
      <c r="E9" s="33"/>
      <c r="F9" s="33"/>
      <c r="G9" s="145"/>
      <c r="H9" s="103"/>
      <c r="I9" s="103"/>
      <c r="J9" s="103" t="s">
        <v>347</v>
      </c>
      <c r="M9" s="52"/>
    </row>
    <row r="10" spans="1:10" s="46" customFormat="1" ht="15" customHeight="1">
      <c r="A10" s="418" t="s">
        <v>387</v>
      </c>
      <c r="B10" s="418" t="s">
        <v>388</v>
      </c>
      <c r="C10" s="418" t="s">
        <v>389</v>
      </c>
      <c r="D10" s="450" t="s">
        <v>349</v>
      </c>
      <c r="E10" s="448" t="s">
        <v>390</v>
      </c>
      <c r="F10" s="450" t="s">
        <v>427</v>
      </c>
      <c r="G10" s="420" t="s">
        <v>428</v>
      </c>
      <c r="H10" s="420" t="s">
        <v>405</v>
      </c>
      <c r="I10" s="442" t="s">
        <v>406</v>
      </c>
      <c r="J10" s="443"/>
    </row>
    <row r="11" spans="1:10" s="46" customFormat="1" ht="15" customHeight="1">
      <c r="A11" s="419"/>
      <c r="B11" s="419"/>
      <c r="C11" s="419"/>
      <c r="D11" s="451"/>
      <c r="E11" s="449"/>
      <c r="F11" s="451"/>
      <c r="G11" s="421"/>
      <c r="H11" s="421"/>
      <c r="I11" s="444"/>
      <c r="J11" s="445"/>
    </row>
    <row r="12" spans="1:10" s="46" customFormat="1" ht="15" customHeight="1">
      <c r="A12" s="419"/>
      <c r="B12" s="419"/>
      <c r="C12" s="419"/>
      <c r="D12" s="451"/>
      <c r="E12" s="449"/>
      <c r="F12" s="451"/>
      <c r="G12" s="421"/>
      <c r="H12" s="421"/>
      <c r="I12" s="446"/>
      <c r="J12" s="447"/>
    </row>
    <row r="13" spans="1:10" s="46" customFormat="1" ht="70.5" customHeight="1">
      <c r="A13" s="419"/>
      <c r="B13" s="419"/>
      <c r="C13" s="419"/>
      <c r="D13" s="448"/>
      <c r="E13" s="449"/>
      <c r="F13" s="448"/>
      <c r="G13" s="422"/>
      <c r="H13" s="422"/>
      <c r="I13" s="101" t="s">
        <v>429</v>
      </c>
      <c r="J13" s="101" t="s">
        <v>430</v>
      </c>
    </row>
    <row r="14" spans="1:10" s="47" customFormat="1" ht="20.25" customHeight="1">
      <c r="A14" s="8">
        <v>1</v>
      </c>
      <c r="B14" s="8">
        <v>2</v>
      </c>
      <c r="C14" s="8">
        <v>3</v>
      </c>
      <c r="D14" s="303">
        <v>4</v>
      </c>
      <c r="E14" s="5">
        <v>5</v>
      </c>
      <c r="F14" s="5">
        <v>6</v>
      </c>
      <c r="G14" s="5">
        <v>7</v>
      </c>
      <c r="H14" s="5">
        <v>8</v>
      </c>
      <c r="I14" s="5">
        <v>9</v>
      </c>
      <c r="J14" s="5">
        <v>10</v>
      </c>
    </row>
    <row r="15" spans="1:10" s="45" customFormat="1" ht="73.5" customHeight="1">
      <c r="A15" s="89" t="s">
        <v>407</v>
      </c>
      <c r="B15" s="92"/>
      <c r="C15" s="92"/>
      <c r="D15" s="438" t="s">
        <v>313</v>
      </c>
      <c r="E15" s="439"/>
      <c r="F15" s="194" t="s">
        <v>621</v>
      </c>
      <c r="G15" s="105">
        <f>G16</f>
        <v>6582696</v>
      </c>
      <c r="H15" s="105">
        <f>H16</f>
        <v>6582696</v>
      </c>
      <c r="I15" s="105">
        <f>I16</f>
        <v>0</v>
      </c>
      <c r="J15" s="105">
        <f>J16</f>
        <v>0</v>
      </c>
    </row>
    <row r="16" spans="1:11" s="45" customFormat="1" ht="30" customHeight="1">
      <c r="A16" s="14" t="s">
        <v>408</v>
      </c>
      <c r="B16" s="13"/>
      <c r="C16" s="13"/>
      <c r="D16" s="460" t="s">
        <v>235</v>
      </c>
      <c r="E16" s="461"/>
      <c r="F16" s="98" t="s">
        <v>621</v>
      </c>
      <c r="G16" s="106">
        <f>G17+G18+G19+G20</f>
        <v>6582696</v>
      </c>
      <c r="H16" s="106">
        <f>H17+H18+H19+H20</f>
        <v>6582696</v>
      </c>
      <c r="I16" s="106">
        <f>I17+I18+I19+I20</f>
        <v>0</v>
      </c>
      <c r="J16" s="106">
        <f>J17+J18+J19+J20</f>
        <v>0</v>
      </c>
      <c r="K16" s="48"/>
    </row>
    <row r="17" spans="1:10" s="45" customFormat="1" ht="58.5" customHeight="1" hidden="1">
      <c r="A17" s="19" t="s">
        <v>603</v>
      </c>
      <c r="B17" s="8" t="s">
        <v>467</v>
      </c>
      <c r="C17" s="19" t="s">
        <v>410</v>
      </c>
      <c r="D17" s="183" t="s">
        <v>512</v>
      </c>
      <c r="E17" s="38" t="s">
        <v>303</v>
      </c>
      <c r="F17" s="38" t="s">
        <v>10</v>
      </c>
      <c r="G17" s="257">
        <f>SUM(H17+I17)</f>
        <v>0</v>
      </c>
      <c r="H17" s="26">
        <v>0</v>
      </c>
      <c r="I17" s="104"/>
      <c r="J17" s="104"/>
    </row>
    <row r="18" spans="1:11" s="174" customFormat="1" ht="57.75" customHeight="1">
      <c r="A18" s="44" t="s">
        <v>525</v>
      </c>
      <c r="B18" s="44">
        <v>8410</v>
      </c>
      <c r="C18" s="44" t="s">
        <v>409</v>
      </c>
      <c r="D18" s="178" t="s">
        <v>526</v>
      </c>
      <c r="E18" s="94" t="s">
        <v>154</v>
      </c>
      <c r="F18" s="94" t="s">
        <v>53</v>
      </c>
      <c r="G18" s="258">
        <f>SUM(H18+I18)</f>
        <v>5610300</v>
      </c>
      <c r="H18" s="113">
        <v>5610300</v>
      </c>
      <c r="I18" s="173"/>
      <c r="J18" s="173"/>
      <c r="K18" s="143"/>
    </row>
    <row r="19" spans="1:10" s="45" customFormat="1" ht="51.75" customHeight="1">
      <c r="A19" s="19" t="s">
        <v>603</v>
      </c>
      <c r="B19" s="8" t="s">
        <v>467</v>
      </c>
      <c r="C19" s="19" t="s">
        <v>410</v>
      </c>
      <c r="D19" s="183" t="s">
        <v>510</v>
      </c>
      <c r="E19" s="440" t="s">
        <v>604</v>
      </c>
      <c r="F19" s="440" t="s">
        <v>11</v>
      </c>
      <c r="G19" s="257">
        <f>SUM(H19+I19)</f>
        <v>744600</v>
      </c>
      <c r="H19" s="26">
        <f>368600+95000+281000</f>
        <v>744600</v>
      </c>
      <c r="I19" s="104"/>
      <c r="J19" s="104"/>
    </row>
    <row r="20" spans="1:10" s="45" customFormat="1" ht="51.75" customHeight="1">
      <c r="A20" s="8" t="s">
        <v>309</v>
      </c>
      <c r="B20" s="8" t="s">
        <v>308</v>
      </c>
      <c r="C20" s="8" t="s">
        <v>438</v>
      </c>
      <c r="D20" s="178" t="s">
        <v>310</v>
      </c>
      <c r="E20" s="441"/>
      <c r="F20" s="441"/>
      <c r="G20" s="257">
        <f>SUM(H20+I20)</f>
        <v>227796</v>
      </c>
      <c r="H20" s="259">
        <f>156000+71796</f>
        <v>227796</v>
      </c>
      <c r="I20" s="104"/>
      <c r="J20" s="104"/>
    </row>
    <row r="21" spans="1:10" s="45" customFormat="1" ht="63" customHeight="1">
      <c r="A21" s="10" t="s">
        <v>616</v>
      </c>
      <c r="B21" s="11"/>
      <c r="C21" s="11"/>
      <c r="D21" s="438" t="s">
        <v>302</v>
      </c>
      <c r="E21" s="439"/>
      <c r="F21" s="12" t="s">
        <v>621</v>
      </c>
      <c r="G21" s="260">
        <f aca="true" t="shared" si="0" ref="G21:J22">G22</f>
        <v>80000</v>
      </c>
      <c r="H21" s="260">
        <f t="shared" si="0"/>
        <v>80000</v>
      </c>
      <c r="I21" s="260">
        <f t="shared" si="0"/>
        <v>0</v>
      </c>
      <c r="J21" s="260">
        <f t="shared" si="0"/>
        <v>0</v>
      </c>
    </row>
    <row r="22" spans="1:10" s="51" customFormat="1" ht="41.25" customHeight="1">
      <c r="A22" s="13" t="s">
        <v>617</v>
      </c>
      <c r="B22" s="14"/>
      <c r="C22" s="14"/>
      <c r="D22" s="460" t="s">
        <v>301</v>
      </c>
      <c r="E22" s="461"/>
      <c r="F22" s="98" t="s">
        <v>621</v>
      </c>
      <c r="G22" s="106">
        <f>G23</f>
        <v>80000</v>
      </c>
      <c r="H22" s="106">
        <f t="shared" si="0"/>
        <v>80000</v>
      </c>
      <c r="I22" s="106">
        <f t="shared" si="0"/>
        <v>0</v>
      </c>
      <c r="J22" s="106">
        <f t="shared" si="0"/>
        <v>0</v>
      </c>
    </row>
    <row r="23" spans="1:12" s="45" customFormat="1" ht="62.25" customHeight="1">
      <c r="A23" s="8" t="s">
        <v>214</v>
      </c>
      <c r="B23" s="8" t="s">
        <v>467</v>
      </c>
      <c r="C23" s="8" t="s">
        <v>410</v>
      </c>
      <c r="D23" s="183" t="s">
        <v>510</v>
      </c>
      <c r="E23" s="9" t="s">
        <v>304</v>
      </c>
      <c r="F23" s="9" t="s">
        <v>12</v>
      </c>
      <c r="G23" s="147">
        <f>SUM(H23+I23)</f>
        <v>80000</v>
      </c>
      <c r="H23" s="26">
        <v>80000</v>
      </c>
      <c r="I23" s="104"/>
      <c r="J23" s="104"/>
      <c r="L23" s="52"/>
    </row>
    <row r="24" spans="1:12" s="45" customFormat="1" ht="30" customHeight="1">
      <c r="A24" s="11" t="s">
        <v>527</v>
      </c>
      <c r="B24" s="10"/>
      <c r="C24" s="10"/>
      <c r="D24" s="458" t="s">
        <v>528</v>
      </c>
      <c r="E24" s="459"/>
      <c r="F24" s="193" t="s">
        <v>621</v>
      </c>
      <c r="G24" s="148">
        <f>G25</f>
        <v>116148819.11999999</v>
      </c>
      <c r="H24" s="148">
        <f>H25</f>
        <v>84564313.32</v>
      </c>
      <c r="I24" s="148">
        <f>I25</f>
        <v>31584505.8</v>
      </c>
      <c r="J24" s="148">
        <f>J25</f>
        <v>30884505.8</v>
      </c>
      <c r="K24" s="48"/>
      <c r="L24" s="52"/>
    </row>
    <row r="25" spans="1:13" s="51" customFormat="1" ht="30" customHeight="1">
      <c r="A25" s="14" t="s">
        <v>529</v>
      </c>
      <c r="B25" s="13"/>
      <c r="C25" s="13"/>
      <c r="D25" s="393" t="s">
        <v>414</v>
      </c>
      <c r="E25" s="394"/>
      <c r="F25" s="98" t="s">
        <v>621</v>
      </c>
      <c r="G25" s="267">
        <f>H25+I25</f>
        <v>116148819.11999999</v>
      </c>
      <c r="H25" s="267">
        <f>H26+H27+H28+H37+H39+H42+H44+H45+H46+H47+H48+H49+H50+H51+H52+H53+H58+H60+H61+H64+H73+H75+H76+H78+H79+H83+H88+H89+H90+H92+H93+H98+H99+H94+H95+H67+H68+H69+H70+H71</f>
        <v>84564313.32</v>
      </c>
      <c r="I25" s="267">
        <f>I26+I27+I28+I37+I39+I42+I44+I45+I46+I47+I48+I49+I50+I51+I52+I53+I58+I60+I61+I64+I73+I75+I76+I78+I79+I83+I88+I89+I90+I92+I93+I98+I99+I94+I95+I67+I68+I69+I70+I71</f>
        <v>31584505.8</v>
      </c>
      <c r="J25" s="267">
        <f>J26+J27+J28+J37+J39+J42+J44+J45+J46+J47+J48+J49+J50+J51+J52+J53+J58+J60+J61+J64+J73+J75+J76+J78+J79+J83+J88+J89+J90+J92+J93+J98+J99+J94+J95+J67+J68+J69+J70+J71</f>
        <v>30884505.8</v>
      </c>
      <c r="K25" s="186"/>
      <c r="L25" s="186"/>
      <c r="M25" s="186"/>
    </row>
    <row r="26" spans="1:11" s="45" customFormat="1" ht="58.5" customHeight="1">
      <c r="A26" s="39" t="s">
        <v>612</v>
      </c>
      <c r="B26" s="39" t="s">
        <v>467</v>
      </c>
      <c r="C26" s="39" t="s">
        <v>410</v>
      </c>
      <c r="D26" s="178" t="s">
        <v>510</v>
      </c>
      <c r="E26" s="38" t="s">
        <v>604</v>
      </c>
      <c r="F26" s="38" t="s">
        <v>12</v>
      </c>
      <c r="G26" s="156">
        <f>SUM(H26+I26)</f>
        <v>271900</v>
      </c>
      <c r="H26" s="110">
        <v>271900</v>
      </c>
      <c r="I26" s="113"/>
      <c r="J26" s="113"/>
      <c r="K26" s="52"/>
    </row>
    <row r="27" spans="1:11" s="45" customFormat="1" ht="33.75" customHeight="1">
      <c r="A27" s="8" t="s">
        <v>579</v>
      </c>
      <c r="B27" s="19">
        <v>1010</v>
      </c>
      <c r="C27" s="19" t="s">
        <v>415</v>
      </c>
      <c r="D27" s="183" t="s">
        <v>582</v>
      </c>
      <c r="E27" s="470" t="s">
        <v>38</v>
      </c>
      <c r="F27" s="24"/>
      <c r="G27" s="147">
        <f>SUM(H27+I27)</f>
        <v>4374236.92</v>
      </c>
      <c r="H27" s="104">
        <f>17236.92</f>
        <v>17236.92</v>
      </c>
      <c r="I27" s="113">
        <f>4350000+7000</f>
        <v>4357000</v>
      </c>
      <c r="J27" s="113">
        <f>4350000+7000</f>
        <v>4357000</v>
      </c>
      <c r="K27" s="52"/>
    </row>
    <row r="28" spans="1:11" s="45" customFormat="1" ht="102.75" customHeight="1">
      <c r="A28" s="19" t="s">
        <v>580</v>
      </c>
      <c r="B28" s="19">
        <v>1020</v>
      </c>
      <c r="C28" s="19" t="s">
        <v>417</v>
      </c>
      <c r="D28" s="183" t="s">
        <v>583</v>
      </c>
      <c r="E28" s="470"/>
      <c r="F28" s="24" t="s">
        <v>106</v>
      </c>
      <c r="G28" s="147">
        <f aca="true" t="shared" si="1" ref="G28:G53">SUM(H28+I28)</f>
        <v>15651867.18</v>
      </c>
      <c r="H28" s="104">
        <f>92038.38+1678000</f>
        <v>1770038.38</v>
      </c>
      <c r="I28" s="113">
        <f>13750614+44512+86702.8</f>
        <v>13881828.8</v>
      </c>
      <c r="J28" s="113">
        <f>14070614-320000+44512+86702.8</f>
        <v>13881828.8</v>
      </c>
      <c r="K28" s="52"/>
    </row>
    <row r="29" spans="1:10" s="45" customFormat="1" ht="45.75" customHeight="1">
      <c r="A29" s="19"/>
      <c r="B29" s="19"/>
      <c r="C29" s="19"/>
      <c r="D29" s="304" t="s">
        <v>382</v>
      </c>
      <c r="E29" s="470"/>
      <c r="F29" s="326"/>
      <c r="G29" s="147">
        <f t="shared" si="1"/>
        <v>86702.8</v>
      </c>
      <c r="H29" s="104"/>
      <c r="I29" s="115">
        <v>86702.8</v>
      </c>
      <c r="J29" s="115">
        <f>86702.8</f>
        <v>86702.8</v>
      </c>
    </row>
    <row r="30" spans="1:10" s="45" customFormat="1" ht="1.5" customHeight="1" hidden="1">
      <c r="A30" s="19"/>
      <c r="B30" s="19"/>
      <c r="C30" s="19"/>
      <c r="D30" s="304" t="s">
        <v>358</v>
      </c>
      <c r="E30" s="470"/>
      <c r="F30" s="24"/>
      <c r="G30" s="147">
        <f t="shared" si="1"/>
        <v>0</v>
      </c>
      <c r="H30" s="104"/>
      <c r="I30" s="115"/>
      <c r="J30" s="115"/>
    </row>
    <row r="31" spans="1:10" s="45" customFormat="1" ht="71.25" customHeight="1" hidden="1">
      <c r="A31" s="19"/>
      <c r="B31" s="19"/>
      <c r="C31" s="19"/>
      <c r="D31" s="304" t="s">
        <v>359</v>
      </c>
      <c r="E31" s="470"/>
      <c r="F31" s="24"/>
      <c r="G31" s="147">
        <f t="shared" si="1"/>
        <v>0</v>
      </c>
      <c r="H31" s="104"/>
      <c r="I31" s="115"/>
      <c r="J31" s="115"/>
    </row>
    <row r="32" spans="1:10" s="45" customFormat="1" ht="0.75" customHeight="1" hidden="1">
      <c r="A32" s="19"/>
      <c r="B32" s="19"/>
      <c r="C32" s="19"/>
      <c r="D32" s="304" t="s">
        <v>360</v>
      </c>
      <c r="E32" s="470"/>
      <c r="F32" s="24"/>
      <c r="G32" s="147">
        <f t="shared" si="1"/>
        <v>0</v>
      </c>
      <c r="H32" s="104"/>
      <c r="I32" s="115"/>
      <c r="J32" s="115"/>
    </row>
    <row r="33" spans="1:10" s="45" customFormat="1" ht="0.75" customHeight="1" hidden="1">
      <c r="A33" s="19"/>
      <c r="B33" s="19"/>
      <c r="C33" s="19"/>
      <c r="D33" s="304" t="s">
        <v>361</v>
      </c>
      <c r="E33" s="470"/>
      <c r="F33" s="24"/>
      <c r="G33" s="147">
        <f t="shared" si="1"/>
        <v>0</v>
      </c>
      <c r="H33" s="104"/>
      <c r="I33" s="115"/>
      <c r="J33" s="115"/>
    </row>
    <row r="34" spans="1:10" s="45" customFormat="1" ht="0.75" customHeight="1" hidden="1">
      <c r="A34" s="19"/>
      <c r="B34" s="19"/>
      <c r="C34" s="19"/>
      <c r="D34" s="304" t="s">
        <v>362</v>
      </c>
      <c r="E34" s="470"/>
      <c r="F34" s="24"/>
      <c r="G34" s="147">
        <f t="shared" si="1"/>
        <v>0</v>
      </c>
      <c r="H34" s="104"/>
      <c r="I34" s="115"/>
      <c r="J34" s="115"/>
    </row>
    <row r="35" spans="1:10" s="45" customFormat="1" ht="93" customHeight="1" hidden="1">
      <c r="A35" s="19"/>
      <c r="B35" s="19"/>
      <c r="C35" s="19"/>
      <c r="D35" s="300" t="s">
        <v>363</v>
      </c>
      <c r="E35" s="470"/>
      <c r="F35" s="24" t="s">
        <v>37</v>
      </c>
      <c r="G35" s="147">
        <f t="shared" si="1"/>
        <v>0</v>
      </c>
      <c r="H35" s="104"/>
      <c r="I35" s="115"/>
      <c r="J35" s="115"/>
    </row>
    <row r="36" spans="1:10" s="45" customFormat="1" ht="108.75" customHeight="1" hidden="1">
      <c r="A36" s="19"/>
      <c r="B36" s="19"/>
      <c r="C36" s="19"/>
      <c r="D36" s="300" t="s">
        <v>464</v>
      </c>
      <c r="E36" s="470"/>
      <c r="F36" s="24"/>
      <c r="G36" s="147">
        <f t="shared" si="1"/>
        <v>0</v>
      </c>
      <c r="H36" s="104"/>
      <c r="I36" s="116"/>
      <c r="J36" s="116"/>
    </row>
    <row r="37" spans="1:10" s="45" customFormat="1" ht="75" customHeight="1" hidden="1">
      <c r="A37" s="19" t="s">
        <v>581</v>
      </c>
      <c r="B37" s="19">
        <v>1040</v>
      </c>
      <c r="C37" s="19" t="s">
        <v>419</v>
      </c>
      <c r="D37" s="183" t="s">
        <v>584</v>
      </c>
      <c r="E37" s="470"/>
      <c r="F37" s="24"/>
      <c r="G37" s="147">
        <f t="shared" si="1"/>
        <v>0</v>
      </c>
      <c r="H37" s="104"/>
      <c r="I37" s="104"/>
      <c r="J37" s="104"/>
    </row>
    <row r="38" spans="1:10" s="45" customFormat="1" ht="35.25" customHeight="1" hidden="1">
      <c r="A38" s="19"/>
      <c r="B38" s="19"/>
      <c r="C38" s="19"/>
      <c r="D38" s="183" t="s">
        <v>487</v>
      </c>
      <c r="E38" s="470"/>
      <c r="F38" s="24"/>
      <c r="G38" s="147">
        <f t="shared" si="1"/>
        <v>0</v>
      </c>
      <c r="H38" s="104"/>
      <c r="I38" s="104"/>
      <c r="J38" s="104"/>
    </row>
    <row r="39" spans="1:10" s="45" customFormat="1" ht="66" customHeight="1">
      <c r="A39" s="19" t="s">
        <v>585</v>
      </c>
      <c r="B39" s="19">
        <v>1090</v>
      </c>
      <c r="C39" s="19" t="s">
        <v>420</v>
      </c>
      <c r="D39" s="183" t="s">
        <v>586</v>
      </c>
      <c r="E39" s="470"/>
      <c r="F39" s="24" t="s">
        <v>107</v>
      </c>
      <c r="G39" s="147">
        <f t="shared" si="1"/>
        <v>37725.020000000004</v>
      </c>
      <c r="H39" s="104">
        <f>27818.02</f>
        <v>27818.02</v>
      </c>
      <c r="I39" s="113">
        <f>9907</f>
        <v>9907</v>
      </c>
      <c r="J39" s="113">
        <f>9907</f>
        <v>9907</v>
      </c>
    </row>
    <row r="40" spans="1:10" s="45" customFormat="1" ht="0.75" customHeight="1" hidden="1">
      <c r="A40" s="19"/>
      <c r="B40" s="19"/>
      <c r="C40" s="19"/>
      <c r="D40" s="304" t="s">
        <v>357</v>
      </c>
      <c r="E40" s="470"/>
      <c r="F40" s="24" t="s">
        <v>72</v>
      </c>
      <c r="G40" s="147">
        <f t="shared" si="1"/>
        <v>0</v>
      </c>
      <c r="H40" s="104"/>
      <c r="I40" s="117"/>
      <c r="J40" s="117"/>
    </row>
    <row r="41" spans="1:10" s="50" customFormat="1" ht="33" customHeight="1" hidden="1">
      <c r="A41" s="43" t="s">
        <v>67</v>
      </c>
      <c r="B41" s="262" t="s">
        <v>68</v>
      </c>
      <c r="C41" s="43" t="s">
        <v>421</v>
      </c>
      <c r="D41" s="305" t="s">
        <v>69</v>
      </c>
      <c r="E41" s="470"/>
      <c r="F41" s="24"/>
      <c r="G41" s="263">
        <f>G42+G44</f>
        <v>1635170</v>
      </c>
      <c r="H41" s="118">
        <f>H42+H44</f>
        <v>476700</v>
      </c>
      <c r="I41" s="118">
        <f>I42+I44</f>
        <v>1158470</v>
      </c>
      <c r="J41" s="118">
        <f>J42+J44</f>
        <v>1158470</v>
      </c>
    </row>
    <row r="42" spans="1:10" s="45" customFormat="1" ht="43.5" customHeight="1">
      <c r="A42" s="8" t="s">
        <v>461</v>
      </c>
      <c r="B42" s="19">
        <v>1161</v>
      </c>
      <c r="C42" s="8" t="s">
        <v>421</v>
      </c>
      <c r="D42" s="183" t="s">
        <v>462</v>
      </c>
      <c r="E42" s="470"/>
      <c r="F42" s="24"/>
      <c r="G42" s="147">
        <f t="shared" si="1"/>
        <v>1158470</v>
      </c>
      <c r="H42" s="104"/>
      <c r="I42" s="104">
        <f>1158470</f>
        <v>1158470</v>
      </c>
      <c r="J42" s="104">
        <v>1158470</v>
      </c>
    </row>
    <row r="43" spans="1:10" s="45" customFormat="1" ht="0.75" customHeight="1">
      <c r="A43" s="8"/>
      <c r="B43" s="19"/>
      <c r="C43" s="8"/>
      <c r="D43" s="304" t="s">
        <v>463</v>
      </c>
      <c r="E43" s="470"/>
      <c r="F43" s="24"/>
      <c r="G43" s="147">
        <f t="shared" si="1"/>
        <v>0</v>
      </c>
      <c r="H43" s="104"/>
      <c r="I43" s="115"/>
      <c r="J43" s="115"/>
    </row>
    <row r="44" spans="1:10" s="45" customFormat="1" ht="36.75" customHeight="1">
      <c r="A44" s="8" t="s">
        <v>333</v>
      </c>
      <c r="B44" s="8" t="s">
        <v>334</v>
      </c>
      <c r="C44" s="8" t="s">
        <v>421</v>
      </c>
      <c r="D44" s="183" t="s">
        <v>335</v>
      </c>
      <c r="E44" s="470"/>
      <c r="F44" s="24"/>
      <c r="G44" s="147">
        <f t="shared" si="1"/>
        <v>476700</v>
      </c>
      <c r="H44" s="104">
        <v>476700</v>
      </c>
      <c r="I44" s="104"/>
      <c r="J44" s="104"/>
    </row>
    <row r="45" spans="1:11" s="45" customFormat="1" ht="103.5" customHeight="1">
      <c r="A45" s="19" t="s">
        <v>580</v>
      </c>
      <c r="B45" s="19">
        <v>1020</v>
      </c>
      <c r="C45" s="19" t="s">
        <v>417</v>
      </c>
      <c r="D45" s="183" t="s">
        <v>583</v>
      </c>
      <c r="E45" s="7" t="s">
        <v>39</v>
      </c>
      <c r="F45" s="7" t="s">
        <v>49</v>
      </c>
      <c r="G45" s="147">
        <f t="shared" si="1"/>
        <v>271100</v>
      </c>
      <c r="H45" s="104">
        <v>271100</v>
      </c>
      <c r="I45" s="104"/>
      <c r="J45" s="104"/>
      <c r="K45" s="52">
        <f>G45</f>
        <v>271100</v>
      </c>
    </row>
    <row r="46" spans="1:12" s="45" customFormat="1" ht="103.5" customHeight="1">
      <c r="A46" s="19" t="s">
        <v>580</v>
      </c>
      <c r="B46" s="19">
        <v>1020</v>
      </c>
      <c r="C46" s="19" t="s">
        <v>417</v>
      </c>
      <c r="D46" s="183" t="s">
        <v>583</v>
      </c>
      <c r="E46" s="455" t="s">
        <v>41</v>
      </c>
      <c r="F46" s="455" t="s">
        <v>40</v>
      </c>
      <c r="G46" s="147">
        <f t="shared" si="1"/>
        <v>1083485</v>
      </c>
      <c r="H46" s="104">
        <v>1000000</v>
      </c>
      <c r="I46" s="104">
        <v>83485</v>
      </c>
      <c r="J46" s="104">
        <v>83485</v>
      </c>
      <c r="K46" s="52">
        <f>G46+G48+G47</f>
        <v>2716300</v>
      </c>
      <c r="L46" s="52"/>
    </row>
    <row r="47" spans="1:10" s="45" customFormat="1" ht="48" customHeight="1">
      <c r="A47" s="8" t="s">
        <v>579</v>
      </c>
      <c r="B47" s="19">
        <v>1010</v>
      </c>
      <c r="C47" s="19" t="s">
        <v>415</v>
      </c>
      <c r="D47" s="183" t="s">
        <v>582</v>
      </c>
      <c r="E47" s="456"/>
      <c r="F47" s="456"/>
      <c r="G47" s="155">
        <f t="shared" si="1"/>
        <v>1032815</v>
      </c>
      <c r="H47" s="114">
        <v>1000000</v>
      </c>
      <c r="I47" s="104">
        <v>32815</v>
      </c>
      <c r="J47" s="104">
        <v>32815</v>
      </c>
    </row>
    <row r="48" spans="1:10" s="45" customFormat="1" ht="78.75" customHeight="1">
      <c r="A48" s="19" t="s">
        <v>581</v>
      </c>
      <c r="B48" s="19">
        <v>1040</v>
      </c>
      <c r="C48" s="19" t="s">
        <v>419</v>
      </c>
      <c r="D48" s="183" t="s">
        <v>584</v>
      </c>
      <c r="E48" s="456"/>
      <c r="F48" s="456"/>
      <c r="G48" s="147">
        <f t="shared" si="1"/>
        <v>600000</v>
      </c>
      <c r="H48" s="104">
        <v>600000</v>
      </c>
      <c r="I48" s="104"/>
      <c r="J48" s="104"/>
    </row>
    <row r="49" spans="1:10" s="45" customFormat="1" ht="68.25" customHeight="1" hidden="1">
      <c r="A49" s="19" t="s">
        <v>585</v>
      </c>
      <c r="B49" s="19">
        <v>1090</v>
      </c>
      <c r="C49" s="19" t="s">
        <v>420</v>
      </c>
      <c r="D49" s="183" t="s">
        <v>586</v>
      </c>
      <c r="E49" s="457"/>
      <c r="F49" s="457"/>
      <c r="G49" s="147">
        <f t="shared" si="1"/>
        <v>0</v>
      </c>
      <c r="H49" s="104"/>
      <c r="I49" s="104"/>
      <c r="J49" s="104"/>
    </row>
    <row r="50" spans="1:10" s="45" customFormat="1" ht="95.25" customHeight="1" hidden="1">
      <c r="A50" s="19" t="s">
        <v>580</v>
      </c>
      <c r="B50" s="19">
        <v>1020</v>
      </c>
      <c r="C50" s="19" t="s">
        <v>417</v>
      </c>
      <c r="D50" s="183" t="s">
        <v>583</v>
      </c>
      <c r="E50" s="455" t="s">
        <v>365</v>
      </c>
      <c r="F50" s="7"/>
      <c r="G50" s="147">
        <f t="shared" si="1"/>
        <v>0</v>
      </c>
      <c r="H50" s="104"/>
      <c r="I50" s="104"/>
      <c r="J50" s="104"/>
    </row>
    <row r="51" spans="1:10" s="45" customFormat="1" ht="33" customHeight="1" hidden="1">
      <c r="A51" s="8" t="s">
        <v>366</v>
      </c>
      <c r="B51" s="19">
        <v>4030</v>
      </c>
      <c r="C51" s="19">
        <v>824</v>
      </c>
      <c r="D51" s="183" t="s">
        <v>367</v>
      </c>
      <c r="E51" s="456"/>
      <c r="F51" s="7"/>
      <c r="G51" s="147">
        <f t="shared" si="1"/>
        <v>0</v>
      </c>
      <c r="H51" s="104"/>
      <c r="I51" s="104"/>
      <c r="J51" s="104"/>
    </row>
    <row r="52" spans="1:10" s="45" customFormat="1" ht="29.25" customHeight="1" hidden="1">
      <c r="A52" s="44" t="s">
        <v>368</v>
      </c>
      <c r="B52" s="44" t="s">
        <v>369</v>
      </c>
      <c r="C52" s="44" t="s">
        <v>370</v>
      </c>
      <c r="D52" s="188" t="s">
        <v>371</v>
      </c>
      <c r="E52" s="456"/>
      <c r="F52" s="7"/>
      <c r="G52" s="147">
        <f t="shared" si="1"/>
        <v>0</v>
      </c>
      <c r="H52" s="104"/>
      <c r="I52" s="104"/>
      <c r="J52" s="104"/>
    </row>
    <row r="53" spans="1:10" s="45" customFormat="1" ht="0.75" customHeight="1">
      <c r="A53" s="44" t="s">
        <v>372</v>
      </c>
      <c r="B53" s="44" t="s">
        <v>380</v>
      </c>
      <c r="C53" s="44" t="s">
        <v>424</v>
      </c>
      <c r="D53" s="188" t="s">
        <v>381</v>
      </c>
      <c r="E53" s="457"/>
      <c r="F53" s="7"/>
      <c r="G53" s="147">
        <f t="shared" si="1"/>
        <v>0</v>
      </c>
      <c r="H53" s="104"/>
      <c r="I53" s="104"/>
      <c r="J53" s="104"/>
    </row>
    <row r="54" spans="1:10" s="45" customFormat="1" ht="65.25" customHeight="1" hidden="1">
      <c r="A54" s="19">
        <v>1011020</v>
      </c>
      <c r="B54" s="19">
        <v>1020</v>
      </c>
      <c r="C54" s="19" t="s">
        <v>417</v>
      </c>
      <c r="D54" s="183" t="s">
        <v>418</v>
      </c>
      <c r="E54" s="7" t="s">
        <v>514</v>
      </c>
      <c r="F54" s="7"/>
      <c r="G54" s="146"/>
      <c r="H54" s="104"/>
      <c r="I54" s="104"/>
      <c r="J54" s="104"/>
    </row>
    <row r="55" spans="1:10" s="45" customFormat="1" ht="85.5" customHeight="1" hidden="1">
      <c r="A55" s="19"/>
      <c r="B55" s="19"/>
      <c r="C55" s="19"/>
      <c r="D55" s="183" t="s">
        <v>515</v>
      </c>
      <c r="E55" s="7"/>
      <c r="F55" s="7"/>
      <c r="G55" s="146"/>
      <c r="H55" s="104"/>
      <c r="I55" s="104"/>
      <c r="J55" s="104"/>
    </row>
    <row r="56" spans="1:10" s="45" customFormat="1" ht="46.5" customHeight="1" hidden="1">
      <c r="A56" s="19">
        <v>1011010</v>
      </c>
      <c r="B56" s="19">
        <v>1010</v>
      </c>
      <c r="C56" s="19" t="s">
        <v>415</v>
      </c>
      <c r="D56" s="183" t="s">
        <v>416</v>
      </c>
      <c r="E56" s="7" t="s">
        <v>514</v>
      </c>
      <c r="F56" s="7"/>
      <c r="G56" s="146"/>
      <c r="H56" s="104"/>
      <c r="I56" s="104"/>
      <c r="J56" s="104"/>
    </row>
    <row r="57" spans="1:10" s="45" customFormat="1" ht="85.5" customHeight="1" hidden="1">
      <c r="A57" s="19"/>
      <c r="B57" s="19"/>
      <c r="C57" s="19"/>
      <c r="D57" s="183" t="s">
        <v>515</v>
      </c>
      <c r="E57" s="7"/>
      <c r="F57" s="7"/>
      <c r="G57" s="146"/>
      <c r="H57" s="104"/>
      <c r="I57" s="104"/>
      <c r="J57" s="104"/>
    </row>
    <row r="58" spans="1:10" s="45" customFormat="1" ht="40.5" customHeight="1" hidden="1">
      <c r="A58" s="17" t="s">
        <v>530</v>
      </c>
      <c r="B58" s="17" t="s">
        <v>255</v>
      </c>
      <c r="C58" s="17"/>
      <c r="D58" s="306" t="s">
        <v>504</v>
      </c>
      <c r="E58" s="16" t="s">
        <v>621</v>
      </c>
      <c r="F58" s="82" t="s">
        <v>621</v>
      </c>
      <c r="G58" s="149">
        <f>H58+I58</f>
        <v>216150</v>
      </c>
      <c r="H58" s="118">
        <f>H59</f>
        <v>216150</v>
      </c>
      <c r="I58" s="118">
        <f>I59</f>
        <v>0</v>
      </c>
      <c r="J58" s="118">
        <f>J59</f>
        <v>0</v>
      </c>
    </row>
    <row r="59" spans="1:11" s="81" customFormat="1" ht="76.5" customHeight="1">
      <c r="A59" s="8" t="s">
        <v>531</v>
      </c>
      <c r="B59" s="8" t="s">
        <v>532</v>
      </c>
      <c r="C59" s="19" t="s">
        <v>422</v>
      </c>
      <c r="D59" s="192" t="s">
        <v>495</v>
      </c>
      <c r="E59" s="31" t="s">
        <v>135</v>
      </c>
      <c r="F59" s="31" t="s">
        <v>108</v>
      </c>
      <c r="G59" s="150">
        <f>H59+I59</f>
        <v>216150</v>
      </c>
      <c r="H59" s="119">
        <f>251150-35000</f>
        <v>216150</v>
      </c>
      <c r="I59" s="104"/>
      <c r="J59" s="104"/>
      <c r="K59" s="199">
        <f>H59+H62</f>
        <v>626150</v>
      </c>
    </row>
    <row r="60" spans="1:11" s="45" customFormat="1" ht="93" customHeight="1">
      <c r="A60" s="8" t="s">
        <v>533</v>
      </c>
      <c r="B60" s="8" t="s">
        <v>534</v>
      </c>
      <c r="C60" s="19" t="s">
        <v>422</v>
      </c>
      <c r="D60" s="192" t="s">
        <v>496</v>
      </c>
      <c r="E60" s="9" t="s">
        <v>38</v>
      </c>
      <c r="F60" s="9" t="s">
        <v>109</v>
      </c>
      <c r="G60" s="150">
        <f>H60+I60</f>
        <v>5422600</v>
      </c>
      <c r="H60" s="26">
        <v>4722600</v>
      </c>
      <c r="I60" s="104">
        <v>700000</v>
      </c>
      <c r="J60" s="104"/>
      <c r="K60" s="52">
        <f>H60+I60</f>
        <v>5422600</v>
      </c>
    </row>
    <row r="61" spans="1:10" s="50" customFormat="1" ht="31.5" customHeight="1" hidden="1">
      <c r="A61" s="62" t="s">
        <v>320</v>
      </c>
      <c r="B61" s="63" t="s">
        <v>321</v>
      </c>
      <c r="C61" s="62"/>
      <c r="D61" s="307" t="s">
        <v>322</v>
      </c>
      <c r="E61" s="97" t="s">
        <v>621</v>
      </c>
      <c r="F61" s="97" t="s">
        <v>621</v>
      </c>
      <c r="G61" s="149">
        <f>G62</f>
        <v>410000</v>
      </c>
      <c r="H61" s="118">
        <f>H62</f>
        <v>410000</v>
      </c>
      <c r="I61" s="118">
        <f>I62</f>
        <v>0</v>
      </c>
      <c r="J61" s="118">
        <f>J62</f>
        <v>0</v>
      </c>
    </row>
    <row r="62" spans="1:10" s="83" customFormat="1" ht="63" customHeight="1">
      <c r="A62" s="19" t="s">
        <v>319</v>
      </c>
      <c r="B62" s="8" t="s">
        <v>317</v>
      </c>
      <c r="C62" s="19">
        <v>1090</v>
      </c>
      <c r="D62" s="192" t="s">
        <v>318</v>
      </c>
      <c r="E62" s="31" t="s">
        <v>136</v>
      </c>
      <c r="F62" s="31" t="s">
        <v>110</v>
      </c>
      <c r="G62" s="150">
        <f>H62+I62</f>
        <v>410000</v>
      </c>
      <c r="H62" s="120">
        <f>375000+35000</f>
        <v>410000</v>
      </c>
      <c r="I62" s="112"/>
      <c r="J62" s="112"/>
    </row>
    <row r="63" spans="1:10" s="50" customFormat="1" ht="31.5" customHeight="1" hidden="1">
      <c r="A63" s="264" t="s">
        <v>70</v>
      </c>
      <c r="B63" s="265">
        <v>4080</v>
      </c>
      <c r="C63" s="264"/>
      <c r="D63" s="308" t="s">
        <v>71</v>
      </c>
      <c r="E63" s="266" t="s">
        <v>621</v>
      </c>
      <c r="F63" s="266" t="s">
        <v>621</v>
      </c>
      <c r="G63" s="166">
        <f>G64</f>
        <v>4048100</v>
      </c>
      <c r="H63" s="109">
        <f>H64</f>
        <v>4048100</v>
      </c>
      <c r="I63" s="109">
        <f>I64</f>
        <v>0</v>
      </c>
      <c r="J63" s="109">
        <f>J64</f>
        <v>0</v>
      </c>
    </row>
    <row r="64" spans="1:10" s="45" customFormat="1" ht="49.5" customHeight="1">
      <c r="A64" s="385" t="s">
        <v>344</v>
      </c>
      <c r="B64" s="385">
        <v>4082</v>
      </c>
      <c r="C64" s="385" t="s">
        <v>345</v>
      </c>
      <c r="D64" s="183" t="s">
        <v>346</v>
      </c>
      <c r="E64" s="452" t="s">
        <v>137</v>
      </c>
      <c r="F64" s="452" t="s">
        <v>205</v>
      </c>
      <c r="G64" s="150">
        <f>H64+I64</f>
        <v>4048100</v>
      </c>
      <c r="H64" s="108">
        <f>4048100</f>
        <v>4048100</v>
      </c>
      <c r="I64" s="104">
        <v>0</v>
      </c>
      <c r="J64" s="104">
        <v>0</v>
      </c>
    </row>
    <row r="65" spans="1:10" s="45" customFormat="1" ht="45" customHeight="1" hidden="1">
      <c r="A65" s="400"/>
      <c r="B65" s="386"/>
      <c r="C65" s="386"/>
      <c r="D65" s="183"/>
      <c r="E65" s="453"/>
      <c r="F65" s="469"/>
      <c r="G65" s="150">
        <f aca="true" t="shared" si="2" ref="G65:G73">H65+I65</f>
        <v>0</v>
      </c>
      <c r="H65" s="261"/>
      <c r="I65" s="104">
        <v>0</v>
      </c>
      <c r="J65" s="104">
        <v>0</v>
      </c>
    </row>
    <row r="66" spans="1:10" s="45" customFormat="1" ht="45" customHeight="1" hidden="1">
      <c r="A66" s="399"/>
      <c r="B66" s="399"/>
      <c r="C66" s="399"/>
      <c r="D66" s="256"/>
      <c r="E66" s="453"/>
      <c r="F66" s="469"/>
      <c r="G66" s="150">
        <f t="shared" si="2"/>
        <v>0</v>
      </c>
      <c r="H66" s="261"/>
      <c r="I66" s="104"/>
      <c r="J66" s="104"/>
    </row>
    <row r="67" spans="1:10" s="45" customFormat="1" ht="78" customHeight="1">
      <c r="A67" s="44" t="s">
        <v>55</v>
      </c>
      <c r="B67" s="8" t="s">
        <v>56</v>
      </c>
      <c r="C67" s="8" t="s">
        <v>420</v>
      </c>
      <c r="D67" s="188" t="s">
        <v>54</v>
      </c>
      <c r="E67" s="453"/>
      <c r="F67" s="469"/>
      <c r="G67" s="150">
        <f t="shared" si="2"/>
        <v>1950000</v>
      </c>
      <c r="H67" s="108">
        <v>0</v>
      </c>
      <c r="I67" s="104">
        <v>1950000</v>
      </c>
      <c r="J67" s="104">
        <v>1950000</v>
      </c>
    </row>
    <row r="68" spans="1:10" s="45" customFormat="1" ht="45" customHeight="1">
      <c r="A68" s="8" t="s">
        <v>57</v>
      </c>
      <c r="B68" s="8" t="s">
        <v>58</v>
      </c>
      <c r="C68" s="8" t="s">
        <v>59</v>
      </c>
      <c r="D68" s="188" t="s">
        <v>65</v>
      </c>
      <c r="E68" s="453"/>
      <c r="F68" s="469"/>
      <c r="G68" s="150">
        <f t="shared" si="2"/>
        <v>29614600</v>
      </c>
      <c r="H68" s="108">
        <v>28114600</v>
      </c>
      <c r="I68" s="104">
        <v>1500000</v>
      </c>
      <c r="J68" s="104">
        <v>1500000</v>
      </c>
    </row>
    <row r="69" spans="1:10" s="45" customFormat="1" ht="45" customHeight="1">
      <c r="A69" s="8" t="s">
        <v>366</v>
      </c>
      <c r="B69" s="8" t="s">
        <v>60</v>
      </c>
      <c r="C69" s="8" t="s">
        <v>370</v>
      </c>
      <c r="D69" s="188" t="s">
        <v>367</v>
      </c>
      <c r="E69" s="453"/>
      <c r="F69" s="469"/>
      <c r="G69" s="150">
        <f t="shared" si="2"/>
        <v>5794000</v>
      </c>
      <c r="H69" s="108">
        <v>5794000</v>
      </c>
      <c r="I69" s="104">
        <v>0</v>
      </c>
      <c r="J69" s="104">
        <v>0</v>
      </c>
    </row>
    <row r="70" spans="1:10" s="45" customFormat="1" ht="45" customHeight="1">
      <c r="A70" s="8" t="s">
        <v>368</v>
      </c>
      <c r="B70" s="8" t="s">
        <v>369</v>
      </c>
      <c r="C70" s="8" t="s">
        <v>370</v>
      </c>
      <c r="D70" s="188" t="s">
        <v>371</v>
      </c>
      <c r="E70" s="453"/>
      <c r="F70" s="469"/>
      <c r="G70" s="150">
        <f t="shared" si="2"/>
        <v>4087700</v>
      </c>
      <c r="H70" s="108">
        <f>3827700+190000+50000</f>
        <v>4067700</v>
      </c>
      <c r="I70" s="104">
        <f>20000</f>
        <v>20000</v>
      </c>
      <c r="J70" s="104">
        <f>20000</f>
        <v>20000</v>
      </c>
    </row>
    <row r="71" spans="1:10" s="45" customFormat="1" ht="45" customHeight="1">
      <c r="A71" s="8" t="s">
        <v>61</v>
      </c>
      <c r="B71" s="8" t="s">
        <v>62</v>
      </c>
      <c r="C71" s="8" t="s">
        <v>63</v>
      </c>
      <c r="D71" s="178" t="s">
        <v>66</v>
      </c>
      <c r="E71" s="454"/>
      <c r="F71" s="469"/>
      <c r="G71" s="150">
        <f t="shared" si="2"/>
        <v>4522900</v>
      </c>
      <c r="H71" s="108">
        <v>2022900</v>
      </c>
      <c r="I71" s="104">
        <v>2500000</v>
      </c>
      <c r="J71" s="104">
        <v>2500000</v>
      </c>
    </row>
    <row r="72" spans="1:10" s="50" customFormat="1" ht="31.5" customHeight="1" hidden="1">
      <c r="A72" s="264" t="s">
        <v>70</v>
      </c>
      <c r="B72" s="265">
        <v>4080</v>
      </c>
      <c r="C72" s="264"/>
      <c r="D72" s="308" t="s">
        <v>71</v>
      </c>
      <c r="E72" s="266" t="s">
        <v>621</v>
      </c>
      <c r="F72" s="333"/>
      <c r="G72" s="334">
        <f>G73</f>
        <v>61000</v>
      </c>
      <c r="H72" s="335">
        <f>H73</f>
        <v>61000</v>
      </c>
      <c r="I72" s="335">
        <f>I73</f>
        <v>0</v>
      </c>
      <c r="J72" s="335">
        <f>J73</f>
        <v>0</v>
      </c>
    </row>
    <row r="73" spans="1:10" s="45" customFormat="1" ht="45" customHeight="1">
      <c r="A73" s="8" t="s">
        <v>344</v>
      </c>
      <c r="B73" s="8" t="s">
        <v>64</v>
      </c>
      <c r="C73" s="8" t="s">
        <v>345</v>
      </c>
      <c r="D73" s="183" t="s">
        <v>346</v>
      </c>
      <c r="E73" s="347" t="s">
        <v>202</v>
      </c>
      <c r="F73" s="32" t="s">
        <v>203</v>
      </c>
      <c r="G73" s="150">
        <f t="shared" si="2"/>
        <v>61000</v>
      </c>
      <c r="H73" s="108">
        <v>61000</v>
      </c>
      <c r="I73" s="104">
        <v>0</v>
      </c>
      <c r="J73" s="104">
        <v>0</v>
      </c>
    </row>
    <row r="74" spans="1:10" s="45" customFormat="1" ht="31.5" customHeight="1" hidden="1">
      <c r="A74" s="17" t="s">
        <v>590</v>
      </c>
      <c r="B74" s="17"/>
      <c r="C74" s="17"/>
      <c r="D74" s="309" t="s">
        <v>423</v>
      </c>
      <c r="E74" s="279" t="s">
        <v>621</v>
      </c>
      <c r="F74" s="16" t="s">
        <v>621</v>
      </c>
      <c r="G74" s="149">
        <f>G75+G76</f>
        <v>240000</v>
      </c>
      <c r="H74" s="118">
        <f>H75+H76</f>
        <v>240000</v>
      </c>
      <c r="I74" s="118">
        <f>I75+I76</f>
        <v>0</v>
      </c>
      <c r="J74" s="118">
        <f>J75+J76</f>
        <v>0</v>
      </c>
    </row>
    <row r="75" spans="1:10" s="45" customFormat="1" ht="55.5" customHeight="1">
      <c r="A75" s="19" t="s">
        <v>591</v>
      </c>
      <c r="B75" s="19">
        <v>5011</v>
      </c>
      <c r="C75" s="19" t="s">
        <v>424</v>
      </c>
      <c r="D75" s="278" t="s">
        <v>501</v>
      </c>
      <c r="E75" s="452" t="s">
        <v>155</v>
      </c>
      <c r="F75" s="452" t="s">
        <v>36</v>
      </c>
      <c r="G75" s="150">
        <f>H75+I75</f>
        <v>165000</v>
      </c>
      <c r="H75" s="108">
        <v>165000</v>
      </c>
      <c r="I75" s="104"/>
      <c r="J75" s="104"/>
    </row>
    <row r="76" spans="1:10" s="45" customFormat="1" ht="49.5" customHeight="1">
      <c r="A76" s="19" t="s">
        <v>592</v>
      </c>
      <c r="B76" s="19">
        <v>5012</v>
      </c>
      <c r="C76" s="19" t="s">
        <v>424</v>
      </c>
      <c r="D76" s="278" t="s">
        <v>425</v>
      </c>
      <c r="E76" s="453"/>
      <c r="F76" s="453"/>
      <c r="G76" s="150">
        <f>H76+I76</f>
        <v>75000</v>
      </c>
      <c r="H76" s="108">
        <v>75000</v>
      </c>
      <c r="I76" s="104"/>
      <c r="J76" s="104"/>
    </row>
    <row r="77" spans="1:10" s="45" customFormat="1" ht="31.5" customHeight="1" hidden="1">
      <c r="A77" s="20" t="s">
        <v>593</v>
      </c>
      <c r="B77" s="17"/>
      <c r="C77" s="17"/>
      <c r="D77" s="310" t="s">
        <v>426</v>
      </c>
      <c r="E77" s="453"/>
      <c r="F77" s="453"/>
      <c r="G77" s="150">
        <f>H77+I77</f>
        <v>55300</v>
      </c>
      <c r="H77" s="121">
        <f>H79</f>
        <v>55300</v>
      </c>
      <c r="I77" s="118"/>
      <c r="J77" s="118"/>
    </row>
    <row r="78" spans="1:10" s="45" customFormat="1" ht="31.5" customHeight="1">
      <c r="A78" s="355" t="s">
        <v>647</v>
      </c>
      <c r="B78" s="355" t="s">
        <v>648</v>
      </c>
      <c r="C78" s="355" t="s">
        <v>424</v>
      </c>
      <c r="D78" s="359" t="s">
        <v>650</v>
      </c>
      <c r="E78" s="453"/>
      <c r="F78" s="453"/>
      <c r="G78" s="150">
        <f>H78+I78</f>
        <v>824300</v>
      </c>
      <c r="H78" s="356">
        <v>504300</v>
      </c>
      <c r="I78" s="357">
        <v>320000</v>
      </c>
      <c r="J78" s="357">
        <v>320000</v>
      </c>
    </row>
    <row r="79" spans="1:10" s="45" customFormat="1" ht="47.25">
      <c r="A79" s="19" t="s">
        <v>594</v>
      </c>
      <c r="B79" s="19">
        <v>5022</v>
      </c>
      <c r="C79" s="19" t="s">
        <v>424</v>
      </c>
      <c r="D79" s="278" t="s">
        <v>311</v>
      </c>
      <c r="E79" s="453"/>
      <c r="F79" s="453"/>
      <c r="G79" s="152">
        <f>H79+I79</f>
        <v>55300</v>
      </c>
      <c r="H79" s="122">
        <v>55300</v>
      </c>
      <c r="I79" s="104"/>
      <c r="J79" s="104"/>
    </row>
    <row r="80" spans="1:10" s="45" customFormat="1" ht="78.75" customHeight="1" hidden="1">
      <c r="A80" s="19" t="s">
        <v>595</v>
      </c>
      <c r="B80" s="19">
        <v>5023</v>
      </c>
      <c r="C80" s="19" t="s">
        <v>424</v>
      </c>
      <c r="D80" s="183" t="s">
        <v>431</v>
      </c>
      <c r="E80" s="453"/>
      <c r="F80" s="453"/>
      <c r="G80" s="146"/>
      <c r="H80" s="104"/>
      <c r="I80" s="104"/>
      <c r="J80" s="104"/>
    </row>
    <row r="81" spans="1:10" s="45" customFormat="1" ht="28.5" customHeight="1" hidden="1">
      <c r="A81" s="19" t="s">
        <v>596</v>
      </c>
      <c r="B81" s="19">
        <v>5024</v>
      </c>
      <c r="C81" s="19" t="s">
        <v>424</v>
      </c>
      <c r="D81" s="183" t="s">
        <v>432</v>
      </c>
      <c r="E81" s="453"/>
      <c r="F81" s="453"/>
      <c r="G81" s="146"/>
      <c r="H81" s="104"/>
      <c r="I81" s="104"/>
      <c r="J81" s="104"/>
    </row>
    <row r="82" spans="1:10" s="45" customFormat="1" ht="31.5" customHeight="1" hidden="1">
      <c r="A82" s="20" t="s">
        <v>597</v>
      </c>
      <c r="B82" s="17"/>
      <c r="C82" s="17"/>
      <c r="D82" s="306" t="s">
        <v>433</v>
      </c>
      <c r="E82" s="453"/>
      <c r="F82" s="453"/>
      <c r="G82" s="151">
        <f>G83</f>
        <v>22549700</v>
      </c>
      <c r="H82" s="121">
        <f>H83</f>
        <v>21549700</v>
      </c>
      <c r="I82" s="118"/>
      <c r="J82" s="118"/>
    </row>
    <row r="83" spans="1:10" s="45" customFormat="1" ht="51.75" customHeight="1">
      <c r="A83" s="355" t="s">
        <v>372</v>
      </c>
      <c r="B83" s="355" t="s">
        <v>380</v>
      </c>
      <c r="C83" s="21" t="s">
        <v>424</v>
      </c>
      <c r="D83" s="311" t="s">
        <v>381</v>
      </c>
      <c r="E83" s="453"/>
      <c r="F83" s="453"/>
      <c r="G83" s="195">
        <f>H83+I83</f>
        <v>22549700</v>
      </c>
      <c r="H83" s="107">
        <f>20999900+549800</f>
        <v>21549700</v>
      </c>
      <c r="I83" s="108">
        <v>1000000</v>
      </c>
      <c r="J83" s="108">
        <v>1000000</v>
      </c>
    </row>
    <row r="84" spans="1:10" s="45" customFormat="1" ht="47.25" customHeight="1" hidden="1">
      <c r="A84" s="364" t="s">
        <v>598</v>
      </c>
      <c r="B84" s="364">
        <v>5033</v>
      </c>
      <c r="C84" s="19" t="s">
        <v>424</v>
      </c>
      <c r="D84" s="183" t="s">
        <v>434</v>
      </c>
      <c r="E84" s="453"/>
      <c r="F84" s="453"/>
      <c r="G84" s="195">
        <f aca="true" t="shared" si="3" ref="G84:G89">H84+I84</f>
        <v>0</v>
      </c>
      <c r="H84" s="104"/>
      <c r="I84" s="104"/>
      <c r="J84" s="104"/>
    </row>
    <row r="85" spans="1:10" s="45" customFormat="1" ht="31.5" customHeight="1" hidden="1">
      <c r="A85" s="364" t="s">
        <v>599</v>
      </c>
      <c r="B85" s="355"/>
      <c r="C85" s="17"/>
      <c r="D85" s="306" t="s">
        <v>436</v>
      </c>
      <c r="E85" s="453"/>
      <c r="F85" s="453"/>
      <c r="G85" s="195">
        <f t="shared" si="3"/>
        <v>0</v>
      </c>
      <c r="H85" s="121"/>
      <c r="I85" s="118"/>
      <c r="J85" s="118"/>
    </row>
    <row r="86" spans="1:10" s="45" customFormat="1" ht="31.5" customHeight="1" hidden="1">
      <c r="A86" s="364" t="s">
        <v>600</v>
      </c>
      <c r="B86" s="364">
        <v>5041</v>
      </c>
      <c r="C86" s="19" t="s">
        <v>424</v>
      </c>
      <c r="D86" s="183" t="s">
        <v>437</v>
      </c>
      <c r="E86" s="453"/>
      <c r="F86" s="453"/>
      <c r="G86" s="195">
        <f t="shared" si="3"/>
        <v>0</v>
      </c>
      <c r="H86" s="104"/>
      <c r="I86" s="104"/>
      <c r="J86" s="104"/>
    </row>
    <row r="87" spans="1:10" s="45" customFormat="1" ht="31.5" customHeight="1" hidden="1">
      <c r="A87" s="364" t="s">
        <v>601</v>
      </c>
      <c r="B87" s="355"/>
      <c r="C87" s="17"/>
      <c r="D87" s="306" t="s">
        <v>518</v>
      </c>
      <c r="E87" s="453"/>
      <c r="F87" s="453"/>
      <c r="G87" s="195">
        <f t="shared" si="3"/>
        <v>1994600</v>
      </c>
      <c r="H87" s="121">
        <f>H90</f>
        <v>1994600</v>
      </c>
      <c r="I87" s="118"/>
      <c r="J87" s="118"/>
    </row>
    <row r="88" spans="1:10" s="358" customFormat="1" ht="53.25" customHeight="1">
      <c r="A88" s="355" t="s">
        <v>654</v>
      </c>
      <c r="B88" s="355" t="s">
        <v>655</v>
      </c>
      <c r="C88" s="355" t="s">
        <v>424</v>
      </c>
      <c r="D88" s="359" t="s">
        <v>656</v>
      </c>
      <c r="E88" s="453"/>
      <c r="F88" s="453"/>
      <c r="G88" s="195">
        <f t="shared" si="3"/>
        <v>4043670</v>
      </c>
      <c r="H88" s="356">
        <v>4043670</v>
      </c>
      <c r="I88" s="357"/>
      <c r="J88" s="357"/>
    </row>
    <row r="89" spans="1:10" s="358" customFormat="1" ht="25.5" customHeight="1">
      <c r="A89" s="355" t="s">
        <v>600</v>
      </c>
      <c r="B89" s="355" t="s">
        <v>649</v>
      </c>
      <c r="C89" s="355" t="s">
        <v>424</v>
      </c>
      <c r="D89" s="359" t="s">
        <v>651</v>
      </c>
      <c r="E89" s="453"/>
      <c r="F89" s="453"/>
      <c r="G89" s="195">
        <f t="shared" si="3"/>
        <v>0</v>
      </c>
      <c r="H89" s="356">
        <f>7462530-549800-6912730</f>
        <v>0</v>
      </c>
      <c r="I89" s="357"/>
      <c r="J89" s="357"/>
    </row>
    <row r="90" spans="1:10" s="45" customFormat="1" ht="83.25" customHeight="1">
      <c r="A90" s="364" t="s">
        <v>602</v>
      </c>
      <c r="B90" s="364">
        <v>5061</v>
      </c>
      <c r="C90" s="19" t="s">
        <v>424</v>
      </c>
      <c r="D90" s="183" t="s">
        <v>503</v>
      </c>
      <c r="E90" s="453"/>
      <c r="F90" s="453"/>
      <c r="G90" s="152">
        <f>H90+I90</f>
        <v>1994600</v>
      </c>
      <c r="H90" s="122">
        <v>1994600</v>
      </c>
      <c r="I90" s="104"/>
      <c r="J90" s="104"/>
    </row>
    <row r="91" spans="1:10" s="50" customFormat="1" ht="40.5" customHeight="1" hidden="1">
      <c r="A91" s="365" t="s">
        <v>256</v>
      </c>
      <c r="B91" s="360">
        <v>7320</v>
      </c>
      <c r="C91" s="37"/>
      <c r="D91" s="274" t="s">
        <v>257</v>
      </c>
      <c r="E91" s="453"/>
      <c r="F91" s="453"/>
      <c r="G91" s="152">
        <f>H91+I91</f>
        <v>600000</v>
      </c>
      <c r="H91" s="275">
        <f>H93</f>
        <v>0</v>
      </c>
      <c r="I91" s="275">
        <f>I93</f>
        <v>600000</v>
      </c>
      <c r="J91" s="275">
        <f>J93</f>
        <v>600000</v>
      </c>
    </row>
    <row r="92" spans="1:10" s="358" customFormat="1" ht="40.5" customHeight="1">
      <c r="A92" s="362" t="s">
        <v>652</v>
      </c>
      <c r="B92" s="360">
        <v>5062</v>
      </c>
      <c r="C92" s="363">
        <v>810</v>
      </c>
      <c r="D92" s="359" t="s">
        <v>653</v>
      </c>
      <c r="E92" s="454"/>
      <c r="F92" s="454"/>
      <c r="G92" s="152">
        <f>H92+I92</f>
        <v>1064900</v>
      </c>
      <c r="H92" s="361">
        <v>1064900</v>
      </c>
      <c r="I92" s="361"/>
      <c r="J92" s="361"/>
    </row>
    <row r="93" spans="1:10" s="49" customFormat="1" ht="63" customHeight="1">
      <c r="A93" s="66" t="s">
        <v>258</v>
      </c>
      <c r="B93" s="268">
        <v>7321</v>
      </c>
      <c r="C93" s="67" t="s">
        <v>470</v>
      </c>
      <c r="D93" s="203" t="s">
        <v>259</v>
      </c>
      <c r="E93" s="38" t="s">
        <v>620</v>
      </c>
      <c r="F93" s="269" t="s">
        <v>111</v>
      </c>
      <c r="G93" s="270">
        <f aca="true" t="shared" si="4" ref="G93:G99">H93+I93</f>
        <v>600000</v>
      </c>
      <c r="H93" s="227"/>
      <c r="I93" s="227">
        <v>600000</v>
      </c>
      <c r="J93" s="227">
        <f>I93</f>
        <v>600000</v>
      </c>
    </row>
    <row r="94" spans="1:11" s="49" customFormat="1" ht="64.5" customHeight="1">
      <c r="A94" s="66" t="s">
        <v>44</v>
      </c>
      <c r="B94" s="268">
        <v>7340</v>
      </c>
      <c r="C94" s="67" t="s">
        <v>470</v>
      </c>
      <c r="D94" s="203" t="s">
        <v>45</v>
      </c>
      <c r="E94" s="38" t="s">
        <v>46</v>
      </c>
      <c r="F94" s="269" t="s">
        <v>195</v>
      </c>
      <c r="G94" s="270">
        <f t="shared" si="4"/>
        <v>220000</v>
      </c>
      <c r="H94" s="227">
        <v>220000</v>
      </c>
      <c r="I94" s="227"/>
      <c r="J94" s="227"/>
      <c r="K94" s="74"/>
    </row>
    <row r="95" spans="1:11" s="49" customFormat="1" ht="62.25" customHeight="1">
      <c r="A95" s="66" t="s">
        <v>196</v>
      </c>
      <c r="B95" s="268">
        <v>7363</v>
      </c>
      <c r="C95" s="67" t="s">
        <v>438</v>
      </c>
      <c r="D95" s="203" t="s">
        <v>197</v>
      </c>
      <c r="E95" s="38" t="s">
        <v>199</v>
      </c>
      <c r="F95" s="269" t="s">
        <v>200</v>
      </c>
      <c r="G95" s="270">
        <f t="shared" si="4"/>
        <v>306000</v>
      </c>
      <c r="H95" s="227"/>
      <c r="I95" s="227">
        <f>0+206000+100000</f>
        <v>306000</v>
      </c>
      <c r="J95" s="227">
        <f>I95</f>
        <v>306000</v>
      </c>
      <c r="K95" s="74"/>
    </row>
    <row r="96" spans="1:10" s="58" customFormat="1" ht="62.25" customHeight="1">
      <c r="A96" s="204"/>
      <c r="B96" s="205"/>
      <c r="C96" s="205"/>
      <c r="D96" s="96" t="s">
        <v>198</v>
      </c>
      <c r="E96" s="206"/>
      <c r="F96" s="206"/>
      <c r="G96" s="207">
        <f t="shared" si="4"/>
        <v>200000</v>
      </c>
      <c r="H96" s="208"/>
      <c r="I96" s="209">
        <v>200000</v>
      </c>
      <c r="J96" s="209">
        <f>I96</f>
        <v>200000</v>
      </c>
    </row>
    <row r="97" spans="1:10" s="58" customFormat="1" ht="62.25" customHeight="1">
      <c r="A97" s="204"/>
      <c r="B97" s="205"/>
      <c r="C97" s="205"/>
      <c r="D97" s="96" t="s">
        <v>99</v>
      </c>
      <c r="E97" s="206"/>
      <c r="F97" s="206"/>
      <c r="G97" s="207">
        <f t="shared" si="4"/>
        <v>100000</v>
      </c>
      <c r="H97" s="208"/>
      <c r="I97" s="209">
        <v>100000</v>
      </c>
      <c r="J97" s="209">
        <f>I97</f>
        <v>100000</v>
      </c>
    </row>
    <row r="98" spans="1:14" s="45" customFormat="1" ht="60.75" customHeight="1">
      <c r="A98" s="391" t="s">
        <v>566</v>
      </c>
      <c r="B98" s="366">
        <v>7670</v>
      </c>
      <c r="C98" s="391" t="s">
        <v>438</v>
      </c>
      <c r="D98" s="403" t="s">
        <v>508</v>
      </c>
      <c r="E98" s="64" t="s">
        <v>618</v>
      </c>
      <c r="F98" s="38" t="s">
        <v>194</v>
      </c>
      <c r="G98" s="156">
        <f t="shared" si="4"/>
        <v>3000000</v>
      </c>
      <c r="H98" s="110"/>
      <c r="I98" s="113">
        <f>3000000-165000+165000</f>
        <v>3000000</v>
      </c>
      <c r="J98" s="113">
        <v>3000000</v>
      </c>
      <c r="K98" s="52"/>
      <c r="N98" s="52"/>
    </row>
    <row r="99" spans="1:10" s="174" customFormat="1" ht="56.25" customHeight="1">
      <c r="A99" s="392"/>
      <c r="B99" s="367"/>
      <c r="C99" s="392"/>
      <c r="D99" s="404"/>
      <c r="E99" s="38" t="s">
        <v>168</v>
      </c>
      <c r="F99" s="38" t="s">
        <v>193</v>
      </c>
      <c r="G99" s="156">
        <f t="shared" si="4"/>
        <v>165000</v>
      </c>
      <c r="H99" s="142"/>
      <c r="I99" s="113">
        <v>165000</v>
      </c>
      <c r="J99" s="113">
        <v>165000</v>
      </c>
    </row>
    <row r="100" spans="1:11" s="45" customFormat="1" ht="33.75" customHeight="1">
      <c r="A100" s="11" t="s">
        <v>536</v>
      </c>
      <c r="B100" s="10"/>
      <c r="C100" s="10"/>
      <c r="D100" s="458" t="s">
        <v>537</v>
      </c>
      <c r="E100" s="459"/>
      <c r="F100" s="15" t="s">
        <v>621</v>
      </c>
      <c r="G100" s="148">
        <f>G101</f>
        <v>47482726</v>
      </c>
      <c r="H100" s="148">
        <f>H101</f>
        <v>36142558</v>
      </c>
      <c r="I100" s="148">
        <f>I101</f>
        <v>11340168</v>
      </c>
      <c r="J100" s="148">
        <f>J101</f>
        <v>11340168</v>
      </c>
      <c r="K100" s="48"/>
    </row>
    <row r="101" spans="1:10" s="51" customFormat="1" ht="36" customHeight="1">
      <c r="A101" s="14" t="s">
        <v>519</v>
      </c>
      <c r="B101" s="13"/>
      <c r="C101" s="13"/>
      <c r="D101" s="393" t="s">
        <v>517</v>
      </c>
      <c r="E101" s="394"/>
      <c r="F101" s="98" t="s">
        <v>621</v>
      </c>
      <c r="G101" s="111">
        <f>G102+G103+G105+G107+G108+G109+G112+G114+G115+G116+G117+G118+G123+G122</f>
        <v>47482726</v>
      </c>
      <c r="H101" s="111">
        <f>H102+H103+H105+H107+H108+H109+H112+H114+H115+H116+H117+H118+H123+H122</f>
        <v>36142558</v>
      </c>
      <c r="I101" s="111">
        <f>I102+I103+I105+I107+I108+I109+I112+I114+I115+I116+I117+I118+I123+I122</f>
        <v>11340168</v>
      </c>
      <c r="J101" s="346">
        <f>J102+J103+J105+J107+J108+J109+J112+J114+J115+J116+J117+J118+J123+J122</f>
        <v>11340168</v>
      </c>
    </row>
    <row r="102" spans="1:11" s="45" customFormat="1" ht="64.5" customHeight="1">
      <c r="A102" s="39" t="s">
        <v>613</v>
      </c>
      <c r="B102" s="39" t="s">
        <v>467</v>
      </c>
      <c r="C102" s="39" t="s">
        <v>410</v>
      </c>
      <c r="D102" s="178" t="s">
        <v>510</v>
      </c>
      <c r="E102" s="38" t="s">
        <v>304</v>
      </c>
      <c r="F102" s="38" t="s">
        <v>12</v>
      </c>
      <c r="G102" s="156">
        <f>SUM(H102+I102)</f>
        <v>230000</v>
      </c>
      <c r="H102" s="110">
        <v>230000</v>
      </c>
      <c r="I102" s="113"/>
      <c r="J102" s="113"/>
      <c r="K102" s="52"/>
    </row>
    <row r="103" spans="1:10" s="45" customFormat="1" ht="33" customHeight="1">
      <c r="A103" s="378" t="s">
        <v>520</v>
      </c>
      <c r="B103" s="378">
        <v>2010</v>
      </c>
      <c r="C103" s="378" t="s">
        <v>439</v>
      </c>
      <c r="D103" s="395" t="s">
        <v>499</v>
      </c>
      <c r="E103" s="396" t="s">
        <v>138</v>
      </c>
      <c r="F103" s="396" t="s">
        <v>163</v>
      </c>
      <c r="G103" s="156">
        <f aca="true" t="shared" si="5" ref="G103:G123">SUM(H103+I103)</f>
        <v>7723546</v>
      </c>
      <c r="H103" s="127">
        <f>1529052+144494</f>
        <v>1673546</v>
      </c>
      <c r="I103" s="119">
        <f>2000000+3950000+100000</f>
        <v>6050000</v>
      </c>
      <c r="J103" s="119">
        <f>2000000+3950000+100000</f>
        <v>6050000</v>
      </c>
    </row>
    <row r="104" spans="1:10" s="45" customFormat="1" ht="34.5" customHeight="1" hidden="1">
      <c r="A104" s="378"/>
      <c r="B104" s="378"/>
      <c r="C104" s="378"/>
      <c r="D104" s="395"/>
      <c r="E104" s="397"/>
      <c r="F104" s="397"/>
      <c r="G104" s="156">
        <f t="shared" si="5"/>
        <v>0</v>
      </c>
      <c r="H104" s="127"/>
      <c r="I104" s="119"/>
      <c r="J104" s="119"/>
    </row>
    <row r="105" spans="1:10" s="45" customFormat="1" ht="36" customHeight="1">
      <c r="A105" s="44" t="s">
        <v>521</v>
      </c>
      <c r="B105" s="44">
        <v>2020</v>
      </c>
      <c r="C105" s="44" t="s">
        <v>440</v>
      </c>
      <c r="D105" s="178" t="s">
        <v>500</v>
      </c>
      <c r="E105" s="397"/>
      <c r="F105" s="397"/>
      <c r="G105" s="156">
        <f t="shared" si="5"/>
        <v>68425</v>
      </c>
      <c r="H105" s="127">
        <v>48937</v>
      </c>
      <c r="I105" s="113">
        <f>19488</f>
        <v>19488</v>
      </c>
      <c r="J105" s="113">
        <v>19488</v>
      </c>
    </row>
    <row r="106" spans="1:10" s="45" customFormat="1" ht="15.75" customHeight="1" hidden="1">
      <c r="A106" s="44" t="s">
        <v>522</v>
      </c>
      <c r="B106" s="44">
        <v>2100</v>
      </c>
      <c r="C106" s="44" t="s">
        <v>441</v>
      </c>
      <c r="D106" s="178" t="s">
        <v>523</v>
      </c>
      <c r="E106" s="397"/>
      <c r="F106" s="397"/>
      <c r="G106" s="156">
        <f t="shared" si="5"/>
        <v>0</v>
      </c>
      <c r="H106" s="127"/>
      <c r="I106" s="113"/>
      <c r="J106" s="113"/>
    </row>
    <row r="107" spans="1:10" s="45" customFormat="1" ht="24.75" customHeight="1">
      <c r="A107" s="44" t="s">
        <v>522</v>
      </c>
      <c r="B107" s="44">
        <v>2100</v>
      </c>
      <c r="C107" s="44" t="s">
        <v>441</v>
      </c>
      <c r="D107" s="178" t="s">
        <v>523</v>
      </c>
      <c r="E107" s="397"/>
      <c r="F107" s="397"/>
      <c r="G107" s="156">
        <f t="shared" si="5"/>
        <v>600000</v>
      </c>
      <c r="H107" s="127">
        <v>600000</v>
      </c>
      <c r="I107" s="113"/>
      <c r="J107" s="113"/>
    </row>
    <row r="108" spans="1:10" s="45" customFormat="1" ht="36" customHeight="1">
      <c r="A108" s="44" t="s">
        <v>524</v>
      </c>
      <c r="B108" s="44">
        <v>2110</v>
      </c>
      <c r="C108" s="44" t="s">
        <v>297</v>
      </c>
      <c r="D108" s="178" t="s">
        <v>342</v>
      </c>
      <c r="E108" s="397"/>
      <c r="F108" s="397"/>
      <c r="G108" s="156">
        <f t="shared" si="5"/>
        <v>4081523</v>
      </c>
      <c r="H108" s="127">
        <v>2611523</v>
      </c>
      <c r="I108" s="113">
        <f>1420000+50000</f>
        <v>1470000</v>
      </c>
      <c r="J108" s="113">
        <f>1420000+50000</f>
        <v>1470000</v>
      </c>
    </row>
    <row r="109" spans="1:10" s="50" customFormat="1" ht="36" customHeight="1" hidden="1">
      <c r="A109" s="43" t="s">
        <v>75</v>
      </c>
      <c r="B109" s="43" t="s">
        <v>76</v>
      </c>
      <c r="C109" s="43"/>
      <c r="D109" s="271" t="s">
        <v>77</v>
      </c>
      <c r="E109" s="397"/>
      <c r="F109" s="397"/>
      <c r="G109" s="218">
        <f>G110+G111</f>
        <v>32637539</v>
      </c>
      <c r="H109" s="219">
        <f>H110+H111</f>
        <v>29082539</v>
      </c>
      <c r="I109" s="219">
        <f>I110+I111</f>
        <v>3555000</v>
      </c>
      <c r="J109" s="219">
        <f>J110+J111</f>
        <v>3555000</v>
      </c>
    </row>
    <row r="110" spans="1:10" s="45" customFormat="1" ht="36" customHeight="1">
      <c r="A110" s="39" t="s">
        <v>275</v>
      </c>
      <c r="B110" s="44">
        <v>2151</v>
      </c>
      <c r="C110" s="39" t="s">
        <v>404</v>
      </c>
      <c r="D110" s="178" t="s">
        <v>364</v>
      </c>
      <c r="E110" s="397"/>
      <c r="F110" s="397"/>
      <c r="G110" s="156">
        <f t="shared" si="5"/>
        <v>0</v>
      </c>
      <c r="H110" s="127">
        <v>0</v>
      </c>
      <c r="I110" s="113"/>
      <c r="J110" s="113"/>
    </row>
    <row r="111" spans="1:10" s="45" customFormat="1" ht="34.5" customHeight="1">
      <c r="A111" s="44" t="s">
        <v>312</v>
      </c>
      <c r="B111" s="44">
        <v>2152</v>
      </c>
      <c r="C111" s="44" t="s">
        <v>442</v>
      </c>
      <c r="D111" s="178" t="s">
        <v>343</v>
      </c>
      <c r="E111" s="398"/>
      <c r="F111" s="398"/>
      <c r="G111" s="156">
        <f t="shared" si="5"/>
        <v>32637539</v>
      </c>
      <c r="H111" s="127">
        <f>29231033-148494</f>
        <v>29082539</v>
      </c>
      <c r="I111" s="113">
        <f>3000000-100000+705000-50000</f>
        <v>3555000</v>
      </c>
      <c r="J111" s="113">
        <f>3000000-100000+705000-50000</f>
        <v>3555000</v>
      </c>
    </row>
    <row r="112" spans="1:10" s="45" customFormat="1" ht="37.5" customHeight="1">
      <c r="A112" s="378" t="s">
        <v>520</v>
      </c>
      <c r="B112" s="378">
        <v>2010</v>
      </c>
      <c r="C112" s="378" t="s">
        <v>439</v>
      </c>
      <c r="D112" s="395" t="s">
        <v>499</v>
      </c>
      <c r="E112" s="396" t="s">
        <v>139</v>
      </c>
      <c r="F112" s="396" t="s">
        <v>29</v>
      </c>
      <c r="G112" s="156">
        <f t="shared" si="5"/>
        <v>820420</v>
      </c>
      <c r="H112" s="127">
        <v>820420</v>
      </c>
      <c r="I112" s="113"/>
      <c r="J112" s="113"/>
    </row>
    <row r="113" spans="1:10" s="45" customFormat="1" ht="16.5" customHeight="1" hidden="1">
      <c r="A113" s="378"/>
      <c r="B113" s="378"/>
      <c r="C113" s="378"/>
      <c r="D113" s="395"/>
      <c r="E113" s="397"/>
      <c r="F113" s="397"/>
      <c r="G113" s="156">
        <f t="shared" si="5"/>
        <v>0</v>
      </c>
      <c r="H113" s="127"/>
      <c r="I113" s="113"/>
      <c r="J113" s="113"/>
    </row>
    <row r="114" spans="1:10" s="45" customFormat="1" ht="36.75" customHeight="1" hidden="1">
      <c r="A114" s="44" t="s">
        <v>521</v>
      </c>
      <c r="B114" s="44">
        <v>2020</v>
      </c>
      <c r="C114" s="44" t="s">
        <v>440</v>
      </c>
      <c r="D114" s="178" t="s">
        <v>500</v>
      </c>
      <c r="E114" s="397"/>
      <c r="F114" s="397"/>
      <c r="G114" s="156">
        <f t="shared" si="5"/>
        <v>0</v>
      </c>
      <c r="H114" s="127"/>
      <c r="I114" s="113"/>
      <c r="J114" s="113"/>
    </row>
    <row r="115" spans="1:10" s="45" customFormat="1" ht="40.5" customHeight="1">
      <c r="A115" s="44" t="s">
        <v>522</v>
      </c>
      <c r="B115" s="44">
        <v>2100</v>
      </c>
      <c r="C115" s="44" t="s">
        <v>441</v>
      </c>
      <c r="D115" s="178" t="s">
        <v>523</v>
      </c>
      <c r="E115" s="397"/>
      <c r="F115" s="397"/>
      <c r="G115" s="156">
        <f t="shared" si="5"/>
        <v>600000</v>
      </c>
      <c r="H115" s="127">
        <v>600000</v>
      </c>
      <c r="I115" s="113"/>
      <c r="J115" s="113"/>
    </row>
    <row r="116" spans="1:10" s="45" customFormat="1" ht="37.5" customHeight="1">
      <c r="A116" s="44" t="s">
        <v>524</v>
      </c>
      <c r="B116" s="44">
        <v>2110</v>
      </c>
      <c r="C116" s="44" t="s">
        <v>297</v>
      </c>
      <c r="D116" s="178" t="s">
        <v>342</v>
      </c>
      <c r="E116" s="398"/>
      <c r="F116" s="398"/>
      <c r="G116" s="156">
        <f t="shared" si="5"/>
        <v>415593</v>
      </c>
      <c r="H116" s="127">
        <v>415593</v>
      </c>
      <c r="I116" s="113"/>
      <c r="J116" s="113"/>
    </row>
    <row r="117" spans="1:10" s="45" customFormat="1" ht="37.5" customHeight="1" hidden="1">
      <c r="A117" s="39" t="s">
        <v>520</v>
      </c>
      <c r="B117" s="44">
        <v>2010</v>
      </c>
      <c r="C117" s="39" t="s">
        <v>439</v>
      </c>
      <c r="D117" s="178" t="s">
        <v>499</v>
      </c>
      <c r="E117" s="396" t="s">
        <v>73</v>
      </c>
      <c r="F117" s="396" t="s">
        <v>74</v>
      </c>
      <c r="G117" s="156">
        <f t="shared" si="5"/>
        <v>0</v>
      </c>
      <c r="H117" s="127"/>
      <c r="I117" s="113"/>
      <c r="J117" s="113"/>
    </row>
    <row r="118" spans="1:10" s="45" customFormat="1" ht="35.25" customHeight="1" hidden="1">
      <c r="A118" s="44" t="s">
        <v>524</v>
      </c>
      <c r="B118" s="44">
        <v>2110</v>
      </c>
      <c r="C118" s="44" t="s">
        <v>297</v>
      </c>
      <c r="D118" s="178" t="s">
        <v>342</v>
      </c>
      <c r="E118" s="398"/>
      <c r="F118" s="398"/>
      <c r="G118" s="156">
        <f t="shared" si="5"/>
        <v>0</v>
      </c>
      <c r="H118" s="127"/>
      <c r="I118" s="113"/>
      <c r="J118" s="113"/>
    </row>
    <row r="119" spans="1:10" s="45" customFormat="1" ht="54" customHeight="1" hidden="1">
      <c r="A119" s="44">
        <v>712150</v>
      </c>
      <c r="B119" s="44">
        <v>2150</v>
      </c>
      <c r="C119" s="39" t="s">
        <v>442</v>
      </c>
      <c r="D119" s="191" t="s">
        <v>249</v>
      </c>
      <c r="E119" s="64" t="s">
        <v>250</v>
      </c>
      <c r="F119" s="38"/>
      <c r="G119" s="156">
        <f t="shared" si="5"/>
        <v>0</v>
      </c>
      <c r="H119" s="110"/>
      <c r="I119" s="113"/>
      <c r="J119" s="113"/>
    </row>
    <row r="120" spans="1:10" s="45" customFormat="1" ht="45.75" customHeight="1" hidden="1">
      <c r="A120" s="44" t="s">
        <v>524</v>
      </c>
      <c r="B120" s="44">
        <v>2110</v>
      </c>
      <c r="C120" s="44" t="s">
        <v>297</v>
      </c>
      <c r="D120" s="178" t="s">
        <v>342</v>
      </c>
      <c r="E120" s="414" t="s">
        <v>365</v>
      </c>
      <c r="F120" s="38"/>
      <c r="G120" s="156">
        <f t="shared" si="5"/>
        <v>0</v>
      </c>
      <c r="H120" s="110"/>
      <c r="I120" s="113"/>
      <c r="J120" s="113"/>
    </row>
    <row r="121" spans="1:10" s="45" customFormat="1" ht="48.75" customHeight="1" hidden="1">
      <c r="A121" s="39" t="s">
        <v>520</v>
      </c>
      <c r="B121" s="44">
        <v>2010</v>
      </c>
      <c r="C121" s="39" t="s">
        <v>439</v>
      </c>
      <c r="D121" s="178" t="s">
        <v>499</v>
      </c>
      <c r="E121" s="415"/>
      <c r="F121" s="38"/>
      <c r="G121" s="156">
        <f t="shared" si="5"/>
        <v>0</v>
      </c>
      <c r="H121" s="110"/>
      <c r="I121" s="113"/>
      <c r="J121" s="113"/>
    </row>
    <row r="122" spans="1:10" s="45" customFormat="1" ht="48.75" customHeight="1">
      <c r="A122" s="44" t="s">
        <v>524</v>
      </c>
      <c r="B122" s="44">
        <v>2110</v>
      </c>
      <c r="C122" s="44" t="s">
        <v>297</v>
      </c>
      <c r="D122" s="178" t="s">
        <v>342</v>
      </c>
      <c r="E122" s="345" t="s">
        <v>104</v>
      </c>
      <c r="F122" s="38" t="s">
        <v>105</v>
      </c>
      <c r="G122" s="156">
        <f t="shared" si="5"/>
        <v>300000</v>
      </c>
      <c r="H122" s="110">
        <v>60000</v>
      </c>
      <c r="I122" s="113">
        <v>240000</v>
      </c>
      <c r="J122" s="113">
        <v>240000</v>
      </c>
    </row>
    <row r="123" spans="1:10" s="45" customFormat="1" ht="54" customHeight="1">
      <c r="A123" s="44" t="s">
        <v>172</v>
      </c>
      <c r="B123" s="44" t="s">
        <v>263</v>
      </c>
      <c r="C123" s="39" t="s">
        <v>470</v>
      </c>
      <c r="D123" s="178" t="s">
        <v>264</v>
      </c>
      <c r="E123" s="64" t="s">
        <v>620</v>
      </c>
      <c r="F123" s="269" t="s">
        <v>112</v>
      </c>
      <c r="G123" s="156">
        <f t="shared" si="5"/>
        <v>5680</v>
      </c>
      <c r="H123" s="110"/>
      <c r="I123" s="113">
        <v>5680</v>
      </c>
      <c r="J123" s="113">
        <f>I123</f>
        <v>5680</v>
      </c>
    </row>
    <row r="124" spans="1:11" s="45" customFormat="1" ht="26.25" customHeight="1">
      <c r="A124" s="71" t="s">
        <v>538</v>
      </c>
      <c r="B124" s="72"/>
      <c r="C124" s="72"/>
      <c r="D124" s="370" t="s">
        <v>447</v>
      </c>
      <c r="E124" s="371"/>
      <c r="F124" s="190" t="s">
        <v>621</v>
      </c>
      <c r="G124" s="168">
        <f>G125+G144+G157+G169</f>
        <v>50333129.79</v>
      </c>
      <c r="H124" s="168">
        <f>H125+H144+H157+H169</f>
        <v>51394229.79</v>
      </c>
      <c r="I124" s="168">
        <f>I125+I144+I157+I169</f>
        <v>408100</v>
      </c>
      <c r="J124" s="168">
        <f>J125+J144+J157+J169</f>
        <v>115000</v>
      </c>
      <c r="K124" s="52"/>
    </row>
    <row r="125" spans="1:13" s="53" customFormat="1" ht="28.5" customHeight="1">
      <c r="A125" s="13" t="s">
        <v>539</v>
      </c>
      <c r="B125" s="13"/>
      <c r="C125" s="13"/>
      <c r="D125" s="426" t="s">
        <v>516</v>
      </c>
      <c r="E125" s="427"/>
      <c r="F125" s="99" t="s">
        <v>621</v>
      </c>
      <c r="G125" s="106">
        <f>G126+G127+G132+G135+G136+G137+G139</f>
        <v>25160120</v>
      </c>
      <c r="H125" s="106">
        <f>H126+H127+H132+H135+H136+H137+H139</f>
        <v>25045120</v>
      </c>
      <c r="I125" s="106">
        <f>I126+I127+I132+I135+I136+I137+I139</f>
        <v>115000</v>
      </c>
      <c r="J125" s="106">
        <f>J126+J127+J132+J135+J136+J137+J139</f>
        <v>115000</v>
      </c>
      <c r="K125" s="272"/>
      <c r="L125" s="272"/>
      <c r="M125" s="272"/>
    </row>
    <row r="126" spans="1:10" s="49" customFormat="1" ht="51.75" customHeight="1">
      <c r="A126" s="65" t="s">
        <v>614</v>
      </c>
      <c r="B126" s="65" t="s">
        <v>467</v>
      </c>
      <c r="C126" s="65" t="s">
        <v>410</v>
      </c>
      <c r="D126" s="203" t="s">
        <v>510</v>
      </c>
      <c r="E126" s="38" t="s">
        <v>604</v>
      </c>
      <c r="F126" s="38" t="s">
        <v>12</v>
      </c>
      <c r="G126" s="159">
        <f>H126+I126</f>
        <v>232000</v>
      </c>
      <c r="H126" s="110">
        <v>232000</v>
      </c>
      <c r="I126" s="189"/>
      <c r="J126" s="189"/>
    </row>
    <row r="127" spans="1:10" s="1" customFormat="1" ht="89.25" customHeight="1" hidden="1">
      <c r="A127" s="17" t="s">
        <v>552</v>
      </c>
      <c r="B127" s="17">
        <v>3030</v>
      </c>
      <c r="C127" s="93"/>
      <c r="D127" s="312" t="s">
        <v>540</v>
      </c>
      <c r="E127" s="16" t="s">
        <v>621</v>
      </c>
      <c r="F127" s="16" t="s">
        <v>621</v>
      </c>
      <c r="G127" s="149">
        <f>G128+G129+G130+G131</f>
        <v>5342100</v>
      </c>
      <c r="H127" s="118">
        <f>H128+H129+H130+H131</f>
        <v>5227100</v>
      </c>
      <c r="I127" s="118">
        <f>I128+I129+I130+I131</f>
        <v>115000</v>
      </c>
      <c r="J127" s="118">
        <f>J128+J129+J130+J131</f>
        <v>115000</v>
      </c>
    </row>
    <row r="128" spans="1:11" s="54" customFormat="1" ht="45" customHeight="1">
      <c r="A128" s="8" t="s">
        <v>541</v>
      </c>
      <c r="B128" s="8">
        <v>3031</v>
      </c>
      <c r="C128" s="8">
        <v>1030</v>
      </c>
      <c r="D128" s="303" t="s">
        <v>542</v>
      </c>
      <c r="E128" s="471" t="s">
        <v>140</v>
      </c>
      <c r="F128" s="430" t="s">
        <v>162</v>
      </c>
      <c r="G128" s="150">
        <f>H128+I128</f>
        <v>115000</v>
      </c>
      <c r="H128" s="108"/>
      <c r="I128" s="104">
        <v>115000</v>
      </c>
      <c r="J128" s="104">
        <v>115000</v>
      </c>
      <c r="K128" s="200">
        <f>G128+G129+G130+G131+G136+G137+G139+G146+G148+G150+G151+G153+G159+G161+G163+G164+G166+G171+G173+G175+G176+G178</f>
        <v>45430979.79</v>
      </c>
    </row>
    <row r="129" spans="1:10" s="54" customFormat="1" ht="56.25" customHeight="1">
      <c r="A129" s="21" t="s">
        <v>543</v>
      </c>
      <c r="B129" s="21">
        <v>3033</v>
      </c>
      <c r="C129" s="21">
        <v>1070</v>
      </c>
      <c r="D129" s="313" t="s">
        <v>444</v>
      </c>
      <c r="E129" s="472"/>
      <c r="F129" s="431"/>
      <c r="G129" s="150">
        <f>H129+I129</f>
        <v>1074000</v>
      </c>
      <c r="H129" s="107">
        <v>1074000</v>
      </c>
      <c r="I129" s="22"/>
      <c r="J129" s="22"/>
    </row>
    <row r="130" spans="1:10" s="54" customFormat="1" ht="54.75" customHeight="1">
      <c r="A130" s="21" t="s">
        <v>544</v>
      </c>
      <c r="B130" s="21">
        <v>3035</v>
      </c>
      <c r="C130" s="21">
        <v>1070</v>
      </c>
      <c r="D130" s="313" t="s">
        <v>445</v>
      </c>
      <c r="E130" s="472"/>
      <c r="F130" s="431"/>
      <c r="G130" s="150">
        <f>H130+I130</f>
        <v>931100</v>
      </c>
      <c r="H130" s="107">
        <f>1031100-100000</f>
        <v>931100</v>
      </c>
      <c r="I130" s="22"/>
      <c r="J130" s="22"/>
    </row>
    <row r="131" spans="1:10" s="55" customFormat="1" ht="56.25" customHeight="1">
      <c r="A131" s="21" t="s">
        <v>545</v>
      </c>
      <c r="B131" s="21">
        <v>3036</v>
      </c>
      <c r="C131" s="21">
        <v>1070</v>
      </c>
      <c r="D131" s="313" t="s">
        <v>446</v>
      </c>
      <c r="E131" s="472"/>
      <c r="F131" s="432"/>
      <c r="G131" s="150">
        <f>H131+I131</f>
        <v>3222000</v>
      </c>
      <c r="H131" s="107">
        <v>3222000</v>
      </c>
      <c r="I131" s="22"/>
      <c r="J131" s="22"/>
    </row>
    <row r="132" spans="1:10" s="1" customFormat="1" ht="49.5" customHeight="1" hidden="1">
      <c r="A132" s="17" t="s">
        <v>546</v>
      </c>
      <c r="B132" s="17">
        <v>3120</v>
      </c>
      <c r="C132" s="17"/>
      <c r="D132" s="312" t="s">
        <v>485</v>
      </c>
      <c r="E132" s="18" t="s">
        <v>621</v>
      </c>
      <c r="F132" s="18" t="s">
        <v>621</v>
      </c>
      <c r="G132" s="151">
        <f>G133+G134</f>
        <v>2685550</v>
      </c>
      <c r="H132" s="121">
        <f>H133+H134</f>
        <v>2685550</v>
      </c>
      <c r="I132" s="121">
        <f>I133+I134</f>
        <v>0</v>
      </c>
      <c r="J132" s="121">
        <f>J133+J134</f>
        <v>0</v>
      </c>
    </row>
    <row r="133" spans="1:11" s="56" customFormat="1" ht="61.5" customHeight="1">
      <c r="A133" s="8" t="s">
        <v>547</v>
      </c>
      <c r="B133" s="8">
        <v>3121</v>
      </c>
      <c r="C133" s="8">
        <v>1040</v>
      </c>
      <c r="D133" s="303" t="s">
        <v>548</v>
      </c>
      <c r="E133" s="32" t="s">
        <v>141</v>
      </c>
      <c r="F133" s="32" t="s">
        <v>161</v>
      </c>
      <c r="G133" s="157">
        <f>H133+I133</f>
        <v>2508000</v>
      </c>
      <c r="H133" s="113">
        <v>2508000</v>
      </c>
      <c r="I133" s="23"/>
      <c r="J133" s="23"/>
      <c r="K133" s="201">
        <f>G133+G134+G135</f>
        <v>4189150</v>
      </c>
    </row>
    <row r="134" spans="1:10" s="56" customFormat="1" ht="30.75" customHeight="1">
      <c r="A134" s="8" t="s">
        <v>549</v>
      </c>
      <c r="B134" s="8">
        <v>3123</v>
      </c>
      <c r="C134" s="8">
        <v>1040</v>
      </c>
      <c r="D134" s="303" t="s">
        <v>497</v>
      </c>
      <c r="E134" s="428" t="s">
        <v>141</v>
      </c>
      <c r="F134" s="433" t="s">
        <v>160</v>
      </c>
      <c r="G134" s="157">
        <f>H134+I134</f>
        <v>177550</v>
      </c>
      <c r="H134" s="127">
        <v>177550</v>
      </c>
      <c r="I134" s="23"/>
      <c r="J134" s="23"/>
    </row>
    <row r="135" spans="1:10" s="57" customFormat="1" ht="89.25" customHeight="1">
      <c r="A135" s="21" t="s">
        <v>550</v>
      </c>
      <c r="B135" s="21">
        <v>3140</v>
      </c>
      <c r="C135" s="21">
        <v>1040</v>
      </c>
      <c r="D135" s="313" t="s">
        <v>496</v>
      </c>
      <c r="E135" s="429"/>
      <c r="F135" s="434"/>
      <c r="G135" s="157">
        <f>H135+I135</f>
        <v>1503600</v>
      </c>
      <c r="H135" s="128">
        <v>1503600</v>
      </c>
      <c r="I135" s="35"/>
      <c r="J135" s="35"/>
    </row>
    <row r="136" spans="1:10" s="57" customFormat="1" ht="99" customHeight="1">
      <c r="A136" s="21" t="s">
        <v>551</v>
      </c>
      <c r="B136" s="21">
        <v>3180</v>
      </c>
      <c r="C136" s="21">
        <v>1060</v>
      </c>
      <c r="D136" s="313" t="s">
        <v>341</v>
      </c>
      <c r="E136" s="6" t="s">
        <v>140</v>
      </c>
      <c r="F136" s="6" t="s">
        <v>16</v>
      </c>
      <c r="G136" s="157">
        <f>H136+I136</f>
        <v>30000</v>
      </c>
      <c r="H136" s="108">
        <v>30000</v>
      </c>
      <c r="I136" s="35"/>
      <c r="J136" s="35"/>
    </row>
    <row r="137" spans="1:10" s="1" customFormat="1" ht="32.25" customHeight="1" hidden="1">
      <c r="A137" s="17" t="s">
        <v>323</v>
      </c>
      <c r="B137" s="17">
        <v>3190</v>
      </c>
      <c r="C137" s="17"/>
      <c r="D137" s="312" t="s">
        <v>450</v>
      </c>
      <c r="E137" s="16" t="s">
        <v>621</v>
      </c>
      <c r="F137" s="16" t="s">
        <v>621</v>
      </c>
      <c r="G137" s="149">
        <f>G138</f>
        <v>556100</v>
      </c>
      <c r="H137" s="118">
        <f>H138</f>
        <v>556100</v>
      </c>
      <c r="I137" s="118">
        <f>I138</f>
        <v>0</v>
      </c>
      <c r="J137" s="118">
        <f>J138</f>
        <v>0</v>
      </c>
    </row>
    <row r="138" spans="1:10" s="45" customFormat="1" ht="68.25" customHeight="1">
      <c r="A138" s="8" t="s">
        <v>324</v>
      </c>
      <c r="B138" s="8">
        <v>3192</v>
      </c>
      <c r="C138" s="8">
        <v>1030</v>
      </c>
      <c r="D138" s="303" t="s">
        <v>325</v>
      </c>
      <c r="E138" s="24" t="s">
        <v>142</v>
      </c>
      <c r="F138" s="76" t="s">
        <v>17</v>
      </c>
      <c r="G138" s="154">
        <f>H138+I138</f>
        <v>556100</v>
      </c>
      <c r="H138" s="126">
        <v>556100</v>
      </c>
      <c r="I138" s="25"/>
      <c r="J138" s="25"/>
    </row>
    <row r="139" spans="1:10" s="50" customFormat="1" ht="30" customHeight="1" hidden="1">
      <c r="A139" s="17" t="s">
        <v>326</v>
      </c>
      <c r="B139" s="17">
        <v>3240</v>
      </c>
      <c r="C139" s="17"/>
      <c r="D139" s="306" t="s">
        <v>535</v>
      </c>
      <c r="E139" s="18" t="s">
        <v>621</v>
      </c>
      <c r="F139" s="77" t="s">
        <v>621</v>
      </c>
      <c r="G139" s="158">
        <f>G140+G141+G142+G143</f>
        <v>14810770</v>
      </c>
      <c r="H139" s="158">
        <f>H140+H141+H142+H143</f>
        <v>14810770</v>
      </c>
      <c r="I139" s="158">
        <f>I140+I141+I142+I143</f>
        <v>0</v>
      </c>
      <c r="J139" s="158">
        <f>J140+J141+J142+J143</f>
        <v>0</v>
      </c>
    </row>
    <row r="140" spans="1:10" s="45" customFormat="1" ht="55.5" customHeight="1">
      <c r="A140" s="8" t="s">
        <v>327</v>
      </c>
      <c r="B140" s="8">
        <v>3241</v>
      </c>
      <c r="C140" s="8">
        <v>1090</v>
      </c>
      <c r="D140" s="183" t="s">
        <v>329</v>
      </c>
      <c r="E140" s="30" t="s">
        <v>142</v>
      </c>
      <c r="F140" s="78" t="s">
        <v>18</v>
      </c>
      <c r="G140" s="159">
        <f>H140+I140</f>
        <v>2638470</v>
      </c>
      <c r="H140" s="129">
        <v>2638470</v>
      </c>
      <c r="I140" s="28"/>
      <c r="J140" s="28"/>
    </row>
    <row r="141" spans="1:11" s="45" customFormat="1" ht="49.5" customHeight="1">
      <c r="A141" s="388" t="s">
        <v>328</v>
      </c>
      <c r="B141" s="388" t="s">
        <v>317</v>
      </c>
      <c r="C141" s="385">
        <v>1090</v>
      </c>
      <c r="D141" s="435" t="s">
        <v>318</v>
      </c>
      <c r="E141" s="30" t="s">
        <v>142</v>
      </c>
      <c r="F141" s="30" t="s">
        <v>19</v>
      </c>
      <c r="G141" s="160">
        <f>H141+I141</f>
        <v>7843300</v>
      </c>
      <c r="H141" s="141">
        <f>7135800+100000+607500</f>
        <v>7843300</v>
      </c>
      <c r="I141" s="29"/>
      <c r="J141" s="29"/>
      <c r="K141" s="52">
        <f>H141+H142+H143</f>
        <v>12172300</v>
      </c>
    </row>
    <row r="142" spans="1:10" s="45" customFormat="1" ht="54.75" customHeight="1">
      <c r="A142" s="389"/>
      <c r="B142" s="389"/>
      <c r="C142" s="386"/>
      <c r="D142" s="436"/>
      <c r="E142" s="30" t="s">
        <v>144</v>
      </c>
      <c r="F142" s="30" t="s">
        <v>20</v>
      </c>
      <c r="G142" s="159">
        <f>H142+I142</f>
        <v>2240000</v>
      </c>
      <c r="H142" s="141">
        <v>2240000</v>
      </c>
      <c r="I142" s="29"/>
      <c r="J142" s="29"/>
    </row>
    <row r="143" spans="1:10" s="45" customFormat="1" ht="52.5" customHeight="1">
      <c r="A143" s="390"/>
      <c r="B143" s="390"/>
      <c r="C143" s="387"/>
      <c r="D143" s="437"/>
      <c r="E143" s="30" t="s">
        <v>143</v>
      </c>
      <c r="F143" s="30" t="s">
        <v>21</v>
      </c>
      <c r="G143" s="159">
        <f>H143+I143</f>
        <v>2089000</v>
      </c>
      <c r="H143" s="141">
        <v>2089000</v>
      </c>
      <c r="I143" s="29"/>
      <c r="J143" s="29"/>
    </row>
    <row r="144" spans="1:12" s="45" customFormat="1" ht="39.75" customHeight="1">
      <c r="A144" s="14" t="s">
        <v>539</v>
      </c>
      <c r="B144" s="13"/>
      <c r="C144" s="13"/>
      <c r="D144" s="393" t="s">
        <v>488</v>
      </c>
      <c r="E144" s="394"/>
      <c r="F144" s="98" t="s">
        <v>621</v>
      </c>
      <c r="G144" s="111">
        <f>G145+G146+G148+G150+G151+G153</f>
        <v>9148780</v>
      </c>
      <c r="H144" s="111">
        <f>H145+H147+H148+H149+H150+H152+H155+H156</f>
        <v>9510380</v>
      </c>
      <c r="I144" s="111">
        <f>I145+I146+I148+I150+I151+I153</f>
        <v>114000</v>
      </c>
      <c r="J144" s="111">
        <f>J145+J146+J148+J150+J151+J153</f>
        <v>0</v>
      </c>
      <c r="K144" s="52"/>
      <c r="L144" s="52"/>
    </row>
    <row r="145" spans="1:10" s="49" customFormat="1" ht="62.25" customHeight="1">
      <c r="A145" s="65" t="s">
        <v>614</v>
      </c>
      <c r="B145" s="65" t="s">
        <v>467</v>
      </c>
      <c r="C145" s="65" t="s">
        <v>410</v>
      </c>
      <c r="D145" s="203" t="s">
        <v>510</v>
      </c>
      <c r="E145" s="38" t="s">
        <v>305</v>
      </c>
      <c r="F145" s="38" t="s">
        <v>12</v>
      </c>
      <c r="G145" s="164">
        <f>H145+I145</f>
        <v>182000</v>
      </c>
      <c r="H145" s="110">
        <v>182000</v>
      </c>
      <c r="I145" s="123"/>
      <c r="J145" s="123"/>
    </row>
    <row r="146" spans="1:10" s="1" customFormat="1" ht="70.5" customHeight="1" hidden="1">
      <c r="A146" s="17" t="s">
        <v>553</v>
      </c>
      <c r="B146" s="17" t="s">
        <v>251</v>
      </c>
      <c r="C146" s="17"/>
      <c r="D146" s="306" t="s">
        <v>330</v>
      </c>
      <c r="E146" s="18" t="s">
        <v>621</v>
      </c>
      <c r="F146" s="18" t="s">
        <v>621</v>
      </c>
      <c r="G146" s="149">
        <f>G147</f>
        <v>8055130</v>
      </c>
      <c r="H146" s="118">
        <f>H147</f>
        <v>7941130</v>
      </c>
      <c r="I146" s="118">
        <f>I147</f>
        <v>114000</v>
      </c>
      <c r="J146" s="253">
        <f>J147</f>
        <v>0</v>
      </c>
    </row>
    <row r="147" spans="1:13" s="56" customFormat="1" ht="78" customHeight="1">
      <c r="A147" s="80" t="s">
        <v>554</v>
      </c>
      <c r="B147" s="79" t="s">
        <v>555</v>
      </c>
      <c r="C147" s="79" t="s">
        <v>449</v>
      </c>
      <c r="D147" s="314" t="s">
        <v>556</v>
      </c>
      <c r="E147" s="75" t="s">
        <v>140</v>
      </c>
      <c r="F147" s="75" t="s">
        <v>22</v>
      </c>
      <c r="G147" s="161">
        <f>H147+I147</f>
        <v>8055130</v>
      </c>
      <c r="H147" s="125">
        <v>7941130</v>
      </c>
      <c r="I147" s="112">
        <v>114000</v>
      </c>
      <c r="J147" s="254"/>
      <c r="M147" s="255"/>
    </row>
    <row r="148" spans="1:10" s="57" customFormat="1" ht="115.5" customHeight="1">
      <c r="A148" s="280" t="s">
        <v>557</v>
      </c>
      <c r="B148" s="280" t="s">
        <v>252</v>
      </c>
      <c r="C148" s="280">
        <v>1010</v>
      </c>
      <c r="D148" s="315" t="s">
        <v>331</v>
      </c>
      <c r="E148" s="75" t="s">
        <v>142</v>
      </c>
      <c r="F148" s="75" t="s">
        <v>9</v>
      </c>
      <c r="G148" s="161">
        <f>H148+I148</f>
        <v>620150</v>
      </c>
      <c r="H148" s="125">
        <v>620150</v>
      </c>
      <c r="I148" s="122"/>
      <c r="J148" s="122"/>
    </row>
    <row r="149" spans="1:11" s="57" customFormat="1" ht="60.75" customHeight="1">
      <c r="A149" s="467" t="s">
        <v>551</v>
      </c>
      <c r="B149" s="383" t="s">
        <v>253</v>
      </c>
      <c r="C149" s="383" t="s">
        <v>448</v>
      </c>
      <c r="D149" s="379" t="s">
        <v>558</v>
      </c>
      <c r="E149" s="298" t="s">
        <v>142</v>
      </c>
      <c r="F149" s="298" t="s">
        <v>9</v>
      </c>
      <c r="G149" s="153">
        <f>H149+I149</f>
        <v>189700</v>
      </c>
      <c r="H149" s="289">
        <f>385200-195500</f>
        <v>189700</v>
      </c>
      <c r="I149" s="108"/>
      <c r="J149" s="108"/>
      <c r="K149" s="255">
        <f>H149+H150</f>
        <v>385200</v>
      </c>
    </row>
    <row r="150" spans="1:10" s="57" customFormat="1" ht="54.75" customHeight="1">
      <c r="A150" s="468"/>
      <c r="B150" s="384"/>
      <c r="C150" s="384"/>
      <c r="D150" s="380"/>
      <c r="E150" s="282" t="s">
        <v>143</v>
      </c>
      <c r="F150" s="282" t="s">
        <v>21</v>
      </c>
      <c r="G150" s="153">
        <f>H150+I150</f>
        <v>195500</v>
      </c>
      <c r="H150" s="124">
        <v>195500</v>
      </c>
      <c r="I150" s="281"/>
      <c r="J150" s="281"/>
    </row>
    <row r="151" spans="1:10" s="45" customFormat="1" ht="0.75" customHeight="1" hidden="1">
      <c r="A151" s="36" t="s">
        <v>323</v>
      </c>
      <c r="B151" s="36" t="s">
        <v>337</v>
      </c>
      <c r="C151" s="36"/>
      <c r="D151" s="274" t="s">
        <v>450</v>
      </c>
      <c r="E151" s="95" t="s">
        <v>621</v>
      </c>
      <c r="F151" s="95" t="s">
        <v>621</v>
      </c>
      <c r="G151" s="162">
        <f>G152</f>
        <v>60000</v>
      </c>
      <c r="H151" s="130">
        <f>H152</f>
        <v>60000</v>
      </c>
      <c r="I151" s="130">
        <f>I152</f>
        <v>0</v>
      </c>
      <c r="J151" s="130">
        <f>J152</f>
        <v>0</v>
      </c>
    </row>
    <row r="152" spans="1:10" s="45" customFormat="1" ht="69.75" customHeight="1">
      <c r="A152" s="39" t="s">
        <v>324</v>
      </c>
      <c r="B152" s="39" t="s">
        <v>332</v>
      </c>
      <c r="C152" s="44" t="s">
        <v>443</v>
      </c>
      <c r="D152" s="188" t="s">
        <v>336</v>
      </c>
      <c r="E152" s="31" t="s">
        <v>140</v>
      </c>
      <c r="F152" s="31" t="s">
        <v>23</v>
      </c>
      <c r="G152" s="165">
        <f>H152+I152</f>
        <v>60000</v>
      </c>
      <c r="H152" s="119">
        <v>60000</v>
      </c>
      <c r="I152" s="113"/>
      <c r="J152" s="113"/>
    </row>
    <row r="153" spans="1:10" s="50" customFormat="1" ht="25.5" customHeight="1" hidden="1">
      <c r="A153" s="36" t="s">
        <v>326</v>
      </c>
      <c r="B153" s="36" t="s">
        <v>321</v>
      </c>
      <c r="C153" s="43"/>
      <c r="D153" s="274" t="s">
        <v>535</v>
      </c>
      <c r="E153" s="297"/>
      <c r="F153" s="297"/>
      <c r="G153" s="176">
        <f>G155</f>
        <v>36000</v>
      </c>
      <c r="H153" s="177">
        <f>H155</f>
        <v>36000</v>
      </c>
      <c r="I153" s="177">
        <f>I155</f>
        <v>0</v>
      </c>
      <c r="J153" s="177">
        <f>J155</f>
        <v>0</v>
      </c>
    </row>
    <row r="154" spans="1:10" s="45" customFormat="1" ht="57" customHeight="1" hidden="1">
      <c r="A154" s="44" t="s">
        <v>491</v>
      </c>
      <c r="B154" s="44" t="s">
        <v>506</v>
      </c>
      <c r="C154" s="44" t="s">
        <v>438</v>
      </c>
      <c r="D154" s="178" t="s">
        <v>505</v>
      </c>
      <c r="E154" s="297"/>
      <c r="F154" s="297"/>
      <c r="G154" s="163"/>
      <c r="H154" s="131"/>
      <c r="I154" s="132"/>
      <c r="J154" s="132"/>
    </row>
    <row r="155" spans="1:11" s="45" customFormat="1" ht="46.5" customHeight="1">
      <c r="A155" s="391" t="s">
        <v>328</v>
      </c>
      <c r="B155" s="366">
        <v>3242</v>
      </c>
      <c r="C155" s="366">
        <v>1090</v>
      </c>
      <c r="D155" s="376" t="s">
        <v>318</v>
      </c>
      <c r="E155" s="31" t="s">
        <v>140</v>
      </c>
      <c r="F155" s="31" t="s">
        <v>23</v>
      </c>
      <c r="G155" s="290">
        <f>H155+I155</f>
        <v>36000</v>
      </c>
      <c r="H155" s="289">
        <f>321900-285900</f>
        <v>36000</v>
      </c>
      <c r="I155" s="113"/>
      <c r="J155" s="113"/>
      <c r="K155" s="294"/>
    </row>
    <row r="156" spans="1:11" s="45" customFormat="1" ht="51" customHeight="1">
      <c r="A156" s="392"/>
      <c r="B156" s="367"/>
      <c r="C156" s="367"/>
      <c r="D156" s="377"/>
      <c r="E156" s="30" t="s">
        <v>144</v>
      </c>
      <c r="F156" s="30" t="s">
        <v>20</v>
      </c>
      <c r="G156" s="290">
        <f>H156+I156</f>
        <v>285900</v>
      </c>
      <c r="H156" s="291">
        <v>285900</v>
      </c>
      <c r="I156" s="283"/>
      <c r="J156" s="283"/>
      <c r="K156" s="52"/>
    </row>
    <row r="157" spans="1:11" s="45" customFormat="1" ht="40.5" customHeight="1">
      <c r="A157" s="68" t="s">
        <v>539</v>
      </c>
      <c r="B157" s="69"/>
      <c r="C157" s="69"/>
      <c r="D157" s="372" t="s">
        <v>489</v>
      </c>
      <c r="E157" s="373"/>
      <c r="F157" s="181" t="s">
        <v>621</v>
      </c>
      <c r="G157" s="134">
        <f>G158+G159+G161+G163+G164+G166</f>
        <v>7618039.79</v>
      </c>
      <c r="H157" s="134">
        <f>H158+H160+H161+H162+H163+H165+H167+H168</f>
        <v>7953539.79</v>
      </c>
      <c r="I157" s="134">
        <f>I158+I159+I161+I163+I164+I166</f>
        <v>106100</v>
      </c>
      <c r="J157" s="134">
        <f>J158+J159+J161+J163+J164+J166</f>
        <v>0</v>
      </c>
      <c r="K157" s="52"/>
    </row>
    <row r="158" spans="1:10" s="49" customFormat="1" ht="58.5" customHeight="1">
      <c r="A158" s="65" t="s">
        <v>614</v>
      </c>
      <c r="B158" s="65" t="s">
        <v>467</v>
      </c>
      <c r="C158" s="65" t="s">
        <v>410</v>
      </c>
      <c r="D158" s="203" t="s">
        <v>510</v>
      </c>
      <c r="E158" s="38" t="s">
        <v>604</v>
      </c>
      <c r="F158" s="38" t="s">
        <v>12</v>
      </c>
      <c r="G158" s="156">
        <f>H158+I158</f>
        <v>155000</v>
      </c>
      <c r="H158" s="110">
        <v>155000</v>
      </c>
      <c r="I158" s="123"/>
      <c r="J158" s="123"/>
    </row>
    <row r="159" spans="1:10" s="45" customFormat="1" ht="79.5" customHeight="1" hidden="1">
      <c r="A159" s="36" t="s">
        <v>553</v>
      </c>
      <c r="B159" s="36" t="s">
        <v>251</v>
      </c>
      <c r="C159" s="36"/>
      <c r="D159" s="274" t="s">
        <v>330</v>
      </c>
      <c r="E159" s="95" t="s">
        <v>621</v>
      </c>
      <c r="F159" s="95" t="s">
        <v>621</v>
      </c>
      <c r="G159" s="162">
        <f>G160</f>
        <v>6729770</v>
      </c>
      <c r="H159" s="130">
        <f>H160</f>
        <v>6623670</v>
      </c>
      <c r="I159" s="130">
        <f>I160</f>
        <v>106100</v>
      </c>
      <c r="J159" s="130">
        <f>J160</f>
        <v>0</v>
      </c>
    </row>
    <row r="160" spans="1:10" s="81" customFormat="1" ht="83.25" customHeight="1">
      <c r="A160" s="85" t="s">
        <v>554</v>
      </c>
      <c r="B160" s="84" t="s">
        <v>555</v>
      </c>
      <c r="C160" s="84" t="s">
        <v>449</v>
      </c>
      <c r="D160" s="316" t="s">
        <v>556</v>
      </c>
      <c r="E160" s="31" t="s">
        <v>140</v>
      </c>
      <c r="F160" s="31" t="s">
        <v>24</v>
      </c>
      <c r="G160" s="165">
        <f>H160+I160</f>
        <v>6729770</v>
      </c>
      <c r="H160" s="119">
        <f>6588670+35000</f>
        <v>6623670</v>
      </c>
      <c r="I160" s="113">
        <v>106100</v>
      </c>
      <c r="J160" s="113"/>
    </row>
    <row r="161" spans="1:10" s="49" customFormat="1" ht="123" customHeight="1">
      <c r="A161" s="65" t="s">
        <v>557</v>
      </c>
      <c r="B161" s="65" t="s">
        <v>252</v>
      </c>
      <c r="C161" s="65">
        <v>1010</v>
      </c>
      <c r="D161" s="317" t="s">
        <v>331</v>
      </c>
      <c r="E161" s="31" t="s">
        <v>140</v>
      </c>
      <c r="F161" s="31" t="s">
        <v>24</v>
      </c>
      <c r="G161" s="165">
        <f>H161+I161</f>
        <v>542400</v>
      </c>
      <c r="H161" s="119">
        <v>542400</v>
      </c>
      <c r="I161" s="123"/>
      <c r="J161" s="123"/>
    </row>
    <row r="162" spans="1:11" s="49" customFormat="1" ht="36.75" customHeight="1">
      <c r="A162" s="391" t="s">
        <v>551</v>
      </c>
      <c r="B162" s="366" t="s">
        <v>253</v>
      </c>
      <c r="C162" s="366" t="s">
        <v>448</v>
      </c>
      <c r="D162" s="381" t="s">
        <v>558</v>
      </c>
      <c r="E162" s="282" t="s">
        <v>143</v>
      </c>
      <c r="F162" s="282" t="s">
        <v>21</v>
      </c>
      <c r="G162" s="165">
        <f>H162+I162</f>
        <v>199500</v>
      </c>
      <c r="H162" s="119">
        <v>199500</v>
      </c>
      <c r="I162" s="119"/>
      <c r="J162" s="123"/>
      <c r="K162" s="74">
        <f>H162+H163</f>
        <v>293369.79</v>
      </c>
    </row>
    <row r="163" spans="1:10" s="45" customFormat="1" ht="75" customHeight="1">
      <c r="A163" s="392"/>
      <c r="B163" s="367"/>
      <c r="C163" s="367"/>
      <c r="D163" s="382"/>
      <c r="E163" s="31" t="s">
        <v>140</v>
      </c>
      <c r="F163" s="31" t="s">
        <v>24</v>
      </c>
      <c r="G163" s="165">
        <f>H163+I163</f>
        <v>93869.78999999998</v>
      </c>
      <c r="H163" s="295">
        <f>293369.79-199500</f>
        <v>93869.78999999998</v>
      </c>
      <c r="I163" s="295"/>
      <c r="J163" s="113"/>
    </row>
    <row r="164" spans="1:10" s="45" customFormat="1" ht="34.5" customHeight="1" hidden="1">
      <c r="A164" s="36" t="s">
        <v>323</v>
      </c>
      <c r="B164" s="36" t="s">
        <v>337</v>
      </c>
      <c r="C164" s="36"/>
      <c r="D164" s="274" t="s">
        <v>450</v>
      </c>
      <c r="E164" s="95" t="s">
        <v>621</v>
      </c>
      <c r="F164" s="95" t="s">
        <v>621</v>
      </c>
      <c r="G164" s="162">
        <f>G165</f>
        <v>60000</v>
      </c>
      <c r="H164" s="130">
        <f>H165</f>
        <v>60000</v>
      </c>
      <c r="I164" s="130">
        <f>I165</f>
        <v>0</v>
      </c>
      <c r="J164" s="130">
        <f>J165</f>
        <v>0</v>
      </c>
    </row>
    <row r="165" spans="1:10" s="45" customFormat="1" ht="69" customHeight="1">
      <c r="A165" s="39" t="s">
        <v>324</v>
      </c>
      <c r="B165" s="39" t="s">
        <v>332</v>
      </c>
      <c r="C165" s="44" t="s">
        <v>443</v>
      </c>
      <c r="D165" s="188" t="s">
        <v>336</v>
      </c>
      <c r="E165" s="31" t="s">
        <v>140</v>
      </c>
      <c r="F165" s="31" t="s">
        <v>25</v>
      </c>
      <c r="G165" s="165">
        <f>H165+I165</f>
        <v>60000</v>
      </c>
      <c r="H165" s="119">
        <v>60000</v>
      </c>
      <c r="I165" s="113"/>
      <c r="J165" s="113"/>
    </row>
    <row r="166" spans="1:10" s="50" customFormat="1" ht="26.25" customHeight="1" hidden="1">
      <c r="A166" s="36" t="s">
        <v>326</v>
      </c>
      <c r="B166" s="36" t="s">
        <v>321</v>
      </c>
      <c r="C166" s="43"/>
      <c r="D166" s="274" t="s">
        <v>535</v>
      </c>
      <c r="E166" s="31"/>
      <c r="F166" s="31"/>
      <c r="G166" s="166">
        <f>G167</f>
        <v>37000</v>
      </c>
      <c r="H166" s="109">
        <f>H167</f>
        <v>37000</v>
      </c>
      <c r="I166" s="109">
        <f>I167</f>
        <v>0</v>
      </c>
      <c r="J166" s="109">
        <f>J167</f>
        <v>0</v>
      </c>
    </row>
    <row r="167" spans="1:10" s="45" customFormat="1" ht="50.25" customHeight="1">
      <c r="A167" s="391" t="s">
        <v>328</v>
      </c>
      <c r="B167" s="366">
        <v>3242</v>
      </c>
      <c r="C167" s="366">
        <v>1090</v>
      </c>
      <c r="D167" s="376" t="s">
        <v>318</v>
      </c>
      <c r="E167" s="31" t="s">
        <v>140</v>
      </c>
      <c r="F167" s="31" t="s">
        <v>25</v>
      </c>
      <c r="G167" s="290">
        <f>H167+I167</f>
        <v>37000</v>
      </c>
      <c r="H167" s="289">
        <f>279100-242100</f>
        <v>37000</v>
      </c>
      <c r="J167" s="113"/>
    </row>
    <row r="168" spans="1:11" s="45" customFormat="1" ht="55.5" customHeight="1">
      <c r="A168" s="392"/>
      <c r="B168" s="367"/>
      <c r="C168" s="367"/>
      <c r="D168" s="377"/>
      <c r="E168" s="30" t="s">
        <v>144</v>
      </c>
      <c r="F168" s="30" t="s">
        <v>20</v>
      </c>
      <c r="G168" s="290">
        <f>H168+I168</f>
        <v>242100</v>
      </c>
      <c r="H168" s="291">
        <v>242100</v>
      </c>
      <c r="I168" s="283"/>
      <c r="J168" s="283"/>
      <c r="K168" s="52"/>
    </row>
    <row r="169" spans="1:13" s="45" customFormat="1" ht="38.25" customHeight="1">
      <c r="A169" s="68" t="s">
        <v>539</v>
      </c>
      <c r="B169" s="70"/>
      <c r="C169" s="70"/>
      <c r="D169" s="372" t="s">
        <v>490</v>
      </c>
      <c r="E169" s="373"/>
      <c r="F169" s="181" t="s">
        <v>621</v>
      </c>
      <c r="G169" s="134">
        <f>G170+G171+G173+G175+G176+G178</f>
        <v>8406190</v>
      </c>
      <c r="H169" s="134">
        <f>H170+H172+H173+H174+H175+H177+H179+H180</f>
        <v>8885190</v>
      </c>
      <c r="I169" s="134">
        <f>I170+I171+I173+I175+I176+I178</f>
        <v>73000</v>
      </c>
      <c r="J169" s="134">
        <f>J170+J171+J173+J175+J176+J178</f>
        <v>0</v>
      </c>
      <c r="K169" s="52"/>
      <c r="L169" s="52"/>
      <c r="M169" s="52"/>
    </row>
    <row r="170" spans="1:11" s="49" customFormat="1" ht="63.75" customHeight="1">
      <c r="A170" s="65" t="s">
        <v>614</v>
      </c>
      <c r="B170" s="65" t="s">
        <v>467</v>
      </c>
      <c r="C170" s="65" t="s">
        <v>410</v>
      </c>
      <c r="D170" s="203" t="s">
        <v>510</v>
      </c>
      <c r="E170" s="38" t="s">
        <v>604</v>
      </c>
      <c r="F170" s="38" t="s">
        <v>12</v>
      </c>
      <c r="G170" s="156">
        <f>H170+I170</f>
        <v>144000</v>
      </c>
      <c r="H170" s="110">
        <v>144000</v>
      </c>
      <c r="I170" s="123"/>
      <c r="J170" s="123"/>
      <c r="K170" s="74"/>
    </row>
    <row r="171" spans="1:10" s="45" customFormat="1" ht="69" customHeight="1" hidden="1">
      <c r="A171" s="36" t="s">
        <v>553</v>
      </c>
      <c r="B171" s="36" t="s">
        <v>251</v>
      </c>
      <c r="C171" s="36"/>
      <c r="D171" s="274" t="s">
        <v>330</v>
      </c>
      <c r="E171" s="95" t="s">
        <v>621</v>
      </c>
      <c r="F171" s="95" t="s">
        <v>621</v>
      </c>
      <c r="G171" s="162">
        <f>G172</f>
        <v>7601190</v>
      </c>
      <c r="H171" s="130">
        <f>H172</f>
        <v>7528190</v>
      </c>
      <c r="I171" s="130">
        <f>I172</f>
        <v>73000</v>
      </c>
      <c r="J171" s="130">
        <f>J172</f>
        <v>0</v>
      </c>
    </row>
    <row r="172" spans="1:10" s="45" customFormat="1" ht="81" customHeight="1">
      <c r="A172" s="39" t="s">
        <v>554</v>
      </c>
      <c r="B172" s="44" t="s">
        <v>555</v>
      </c>
      <c r="C172" s="44" t="s">
        <v>449</v>
      </c>
      <c r="D172" s="188" t="s">
        <v>556</v>
      </c>
      <c r="E172" s="368" t="s">
        <v>140</v>
      </c>
      <c r="F172" s="368" t="s">
        <v>26</v>
      </c>
      <c r="G172" s="165">
        <f>H172+I172</f>
        <v>7601190</v>
      </c>
      <c r="H172" s="119">
        <f>7408190+120000</f>
        <v>7528190</v>
      </c>
      <c r="I172" s="113">
        <v>73000</v>
      </c>
      <c r="J172" s="113"/>
    </row>
    <row r="173" spans="1:10" s="49" customFormat="1" ht="116.25" customHeight="1">
      <c r="A173" s="65" t="s">
        <v>557</v>
      </c>
      <c r="B173" s="65" t="s">
        <v>252</v>
      </c>
      <c r="C173" s="65">
        <v>1010</v>
      </c>
      <c r="D173" s="317" t="s">
        <v>331</v>
      </c>
      <c r="E173" s="369"/>
      <c r="F173" s="369"/>
      <c r="G173" s="167">
        <f>H173+I173</f>
        <v>410400</v>
      </c>
      <c r="H173" s="135">
        <v>410400</v>
      </c>
      <c r="I173" s="123"/>
      <c r="J173" s="123"/>
    </row>
    <row r="174" spans="1:11" s="49" customFormat="1" ht="60" customHeight="1">
      <c r="A174" s="391" t="s">
        <v>551</v>
      </c>
      <c r="B174" s="366" t="s">
        <v>253</v>
      </c>
      <c r="C174" s="366" t="s">
        <v>448</v>
      </c>
      <c r="D174" s="381" t="s">
        <v>558</v>
      </c>
      <c r="E174" s="282" t="s">
        <v>143</v>
      </c>
      <c r="F174" s="282" t="s">
        <v>21</v>
      </c>
      <c r="G174" s="292">
        <f>H174+I174</f>
        <v>253300</v>
      </c>
      <c r="H174" s="293">
        <v>253300</v>
      </c>
      <c r="I174" s="123"/>
      <c r="J174" s="123"/>
      <c r="K174" s="74">
        <f>H174+H175</f>
        <v>418800</v>
      </c>
    </row>
    <row r="175" spans="1:10" s="45" customFormat="1" ht="60.75" customHeight="1">
      <c r="A175" s="392"/>
      <c r="B175" s="367"/>
      <c r="C175" s="367"/>
      <c r="D175" s="382"/>
      <c r="E175" s="42" t="s">
        <v>140</v>
      </c>
      <c r="F175" s="42" t="s">
        <v>27</v>
      </c>
      <c r="G175" s="290">
        <f>H175+I175</f>
        <v>165500</v>
      </c>
      <c r="H175" s="289">
        <f>418800-253300</f>
        <v>165500</v>
      </c>
      <c r="I175" s="113"/>
      <c r="J175" s="113"/>
    </row>
    <row r="176" spans="1:10" s="45" customFormat="1" ht="42" customHeight="1" hidden="1">
      <c r="A176" s="36" t="s">
        <v>323</v>
      </c>
      <c r="B176" s="36" t="s">
        <v>337</v>
      </c>
      <c r="C176" s="36"/>
      <c r="D176" s="274" t="s">
        <v>450</v>
      </c>
      <c r="E176" s="37"/>
      <c r="F176" s="37"/>
      <c r="G176" s="162">
        <f>G177</f>
        <v>60000</v>
      </c>
      <c r="H176" s="130">
        <f>H177</f>
        <v>60000</v>
      </c>
      <c r="I176" s="130">
        <f>I177</f>
        <v>0</v>
      </c>
      <c r="J176" s="130">
        <f>J177</f>
        <v>0</v>
      </c>
    </row>
    <row r="177" spans="1:10" s="45" customFormat="1" ht="75.75" customHeight="1">
      <c r="A177" s="39" t="s">
        <v>324</v>
      </c>
      <c r="B177" s="39" t="s">
        <v>332</v>
      </c>
      <c r="C177" s="44" t="s">
        <v>443</v>
      </c>
      <c r="D177" s="188" t="s">
        <v>336</v>
      </c>
      <c r="E177" s="42" t="s">
        <v>140</v>
      </c>
      <c r="F177" s="42" t="s">
        <v>28</v>
      </c>
      <c r="G177" s="165">
        <f>H177+I177</f>
        <v>60000</v>
      </c>
      <c r="H177" s="119">
        <v>60000</v>
      </c>
      <c r="I177" s="113"/>
      <c r="J177" s="113"/>
    </row>
    <row r="178" spans="1:10" s="50" customFormat="1" ht="27.75" customHeight="1" hidden="1">
      <c r="A178" s="36" t="s">
        <v>326</v>
      </c>
      <c r="B178" s="36" t="s">
        <v>321</v>
      </c>
      <c r="C178" s="43"/>
      <c r="D178" s="274" t="s">
        <v>535</v>
      </c>
      <c r="E178" s="297"/>
      <c r="F178" s="297"/>
      <c r="G178" s="166">
        <f>G179</f>
        <v>25100</v>
      </c>
      <c r="H178" s="109">
        <f>H179</f>
        <v>25100</v>
      </c>
      <c r="I178" s="109">
        <f>I179</f>
        <v>0</v>
      </c>
      <c r="J178" s="109">
        <f>J179</f>
        <v>0</v>
      </c>
    </row>
    <row r="179" spans="1:11" s="45" customFormat="1" ht="48.75" customHeight="1">
      <c r="A179" s="391" t="s">
        <v>328</v>
      </c>
      <c r="B179" s="366">
        <v>3242</v>
      </c>
      <c r="C179" s="366">
        <v>1090</v>
      </c>
      <c r="D179" s="376" t="s">
        <v>318</v>
      </c>
      <c r="E179" s="42" t="s">
        <v>140</v>
      </c>
      <c r="F179" s="42" t="s">
        <v>28</v>
      </c>
      <c r="G179" s="290">
        <f>H179+I179</f>
        <v>25100</v>
      </c>
      <c r="H179" s="289">
        <f>323800-298700</f>
        <v>25100</v>
      </c>
      <c r="I179" s="113"/>
      <c r="J179" s="113"/>
      <c r="K179" s="294"/>
    </row>
    <row r="180" spans="1:11" s="45" customFormat="1" ht="53.25" customHeight="1">
      <c r="A180" s="392"/>
      <c r="B180" s="367"/>
      <c r="C180" s="367"/>
      <c r="D180" s="377"/>
      <c r="E180" s="30" t="s">
        <v>144</v>
      </c>
      <c r="F180" s="30" t="s">
        <v>20</v>
      </c>
      <c r="G180" s="290">
        <f>H180+I180</f>
        <v>298700</v>
      </c>
      <c r="H180" s="291">
        <v>298700</v>
      </c>
      <c r="I180" s="113"/>
      <c r="J180" s="113"/>
      <c r="K180" s="52"/>
    </row>
    <row r="181" spans="1:11" s="45" customFormat="1" ht="26.25" customHeight="1">
      <c r="A181" s="71" t="s">
        <v>559</v>
      </c>
      <c r="B181" s="72"/>
      <c r="C181" s="72"/>
      <c r="D181" s="370" t="s">
        <v>451</v>
      </c>
      <c r="E181" s="371"/>
      <c r="F181" s="179" t="s">
        <v>621</v>
      </c>
      <c r="G181" s="168">
        <f>G182+G189+G193+G197</f>
        <v>5287090</v>
      </c>
      <c r="H181" s="136">
        <f>H182+H189+H193+H197</f>
        <v>5287090</v>
      </c>
      <c r="I181" s="136">
        <f>I182+I189+I193+I197</f>
        <v>0</v>
      </c>
      <c r="J181" s="136">
        <f>J182+J189+J193+J197</f>
        <v>0</v>
      </c>
      <c r="K181" s="52"/>
    </row>
    <row r="182" spans="1:10" s="51" customFormat="1" ht="25.5" customHeight="1">
      <c r="A182" s="68" t="s">
        <v>560</v>
      </c>
      <c r="B182" s="69"/>
      <c r="C182" s="69"/>
      <c r="D182" s="372" t="s">
        <v>486</v>
      </c>
      <c r="E182" s="373"/>
      <c r="F182" s="181" t="s">
        <v>621</v>
      </c>
      <c r="G182" s="134">
        <f>G183+G184+G187</f>
        <v>4937290</v>
      </c>
      <c r="H182" s="134">
        <f>H183+H184+H187</f>
        <v>4937290</v>
      </c>
      <c r="I182" s="134">
        <f>I183+I184+I187</f>
        <v>0</v>
      </c>
      <c r="J182" s="134">
        <f>J183+J184+J187</f>
        <v>0</v>
      </c>
    </row>
    <row r="183" spans="1:10" s="49" customFormat="1" ht="58.5" customHeight="1">
      <c r="A183" s="65" t="s">
        <v>615</v>
      </c>
      <c r="B183" s="65" t="s">
        <v>467</v>
      </c>
      <c r="C183" s="65" t="s">
        <v>410</v>
      </c>
      <c r="D183" s="203" t="s">
        <v>510</v>
      </c>
      <c r="E183" s="38" t="s">
        <v>604</v>
      </c>
      <c r="F183" s="38" t="s">
        <v>12</v>
      </c>
      <c r="G183" s="156">
        <f>H183+I183</f>
        <v>52000</v>
      </c>
      <c r="H183" s="110">
        <v>52000</v>
      </c>
      <c r="I183" s="123"/>
      <c r="J183" s="123"/>
    </row>
    <row r="184" spans="1:11" s="45" customFormat="1" ht="37.5" customHeight="1" hidden="1">
      <c r="A184" s="36" t="s">
        <v>561</v>
      </c>
      <c r="B184" s="36" t="s">
        <v>254</v>
      </c>
      <c r="C184" s="36"/>
      <c r="D184" s="274" t="s">
        <v>452</v>
      </c>
      <c r="E184" s="368" t="s">
        <v>145</v>
      </c>
      <c r="F184" s="407" t="s">
        <v>78</v>
      </c>
      <c r="G184" s="166">
        <f>G185+G186</f>
        <v>4815290</v>
      </c>
      <c r="H184" s="109">
        <f>H185+H186</f>
        <v>4815290</v>
      </c>
      <c r="I184" s="109">
        <f>I185+I186</f>
        <v>0</v>
      </c>
      <c r="J184" s="109">
        <f>J185+J186</f>
        <v>0</v>
      </c>
      <c r="K184" s="412"/>
    </row>
    <row r="185" spans="1:11" s="45" customFormat="1" ht="105" customHeight="1">
      <c r="A185" s="39" t="s">
        <v>562</v>
      </c>
      <c r="B185" s="44" t="s">
        <v>563</v>
      </c>
      <c r="C185" s="44" t="s">
        <v>422</v>
      </c>
      <c r="D185" s="188" t="s">
        <v>156</v>
      </c>
      <c r="E185" s="466"/>
      <c r="F185" s="408"/>
      <c r="G185" s="157">
        <f>H185+I185</f>
        <v>4667990</v>
      </c>
      <c r="H185" s="137">
        <v>4667990</v>
      </c>
      <c r="I185" s="113"/>
      <c r="J185" s="113"/>
      <c r="K185" s="413"/>
    </row>
    <row r="186" spans="1:11" s="45" customFormat="1" ht="31.5">
      <c r="A186" s="39" t="s">
        <v>564</v>
      </c>
      <c r="B186" s="44" t="s">
        <v>565</v>
      </c>
      <c r="C186" s="44" t="s">
        <v>422</v>
      </c>
      <c r="D186" s="188" t="s">
        <v>498</v>
      </c>
      <c r="E186" s="466"/>
      <c r="F186" s="408"/>
      <c r="G186" s="157">
        <f>H186+I186</f>
        <v>147300</v>
      </c>
      <c r="H186" s="137">
        <v>147300</v>
      </c>
      <c r="I186" s="113"/>
      <c r="J186" s="113"/>
      <c r="K186" s="413"/>
    </row>
    <row r="187" spans="1:10" s="50" customFormat="1" ht="24.75" customHeight="1" hidden="1">
      <c r="A187" s="36" t="s">
        <v>338</v>
      </c>
      <c r="B187" s="36" t="s">
        <v>321</v>
      </c>
      <c r="C187" s="43"/>
      <c r="D187" s="274" t="s">
        <v>535</v>
      </c>
      <c r="E187" s="466"/>
      <c r="F187" s="408"/>
      <c r="G187" s="166">
        <f>G188</f>
        <v>70000</v>
      </c>
      <c r="H187" s="109">
        <f>H188</f>
        <v>70000</v>
      </c>
      <c r="I187" s="109">
        <f>I188</f>
        <v>0</v>
      </c>
      <c r="J187" s="109">
        <f>J188</f>
        <v>0</v>
      </c>
    </row>
    <row r="188" spans="1:10" s="49" customFormat="1" ht="39.75" customHeight="1">
      <c r="A188" s="65" t="s">
        <v>339</v>
      </c>
      <c r="B188" s="44">
        <v>3242</v>
      </c>
      <c r="C188" s="44">
        <v>1090</v>
      </c>
      <c r="D188" s="178" t="s">
        <v>318</v>
      </c>
      <c r="E188" s="369"/>
      <c r="F188" s="409"/>
      <c r="G188" s="187">
        <f>H188+I188</f>
        <v>70000</v>
      </c>
      <c r="H188" s="138">
        <v>70000</v>
      </c>
      <c r="I188" s="123"/>
      <c r="J188" s="123"/>
    </row>
    <row r="189" spans="1:11" s="51" customFormat="1" ht="32.25" customHeight="1">
      <c r="A189" s="68" t="s">
        <v>560</v>
      </c>
      <c r="B189" s="69"/>
      <c r="C189" s="69"/>
      <c r="D189" s="372" t="s">
        <v>492</v>
      </c>
      <c r="E189" s="373"/>
      <c r="F189" s="181" t="s">
        <v>621</v>
      </c>
      <c r="G189" s="134">
        <f>G190+G191</f>
        <v>128400</v>
      </c>
      <c r="H189" s="134">
        <f>H190+H192</f>
        <v>128400</v>
      </c>
      <c r="I189" s="134">
        <f>I190+I191</f>
        <v>0</v>
      </c>
      <c r="J189" s="134">
        <f>J190+J191</f>
        <v>0</v>
      </c>
      <c r="K189" s="186"/>
    </row>
    <row r="190" spans="1:10" s="45" customFormat="1" ht="62.25" customHeight="1">
      <c r="A190" s="39" t="s">
        <v>615</v>
      </c>
      <c r="B190" s="39" t="s">
        <v>467</v>
      </c>
      <c r="C190" s="39" t="s">
        <v>410</v>
      </c>
      <c r="D190" s="178" t="s">
        <v>510</v>
      </c>
      <c r="E190" s="38" t="s">
        <v>604</v>
      </c>
      <c r="F190" s="38" t="s">
        <v>12</v>
      </c>
      <c r="G190" s="156">
        <f>H190+I190</f>
        <v>108000</v>
      </c>
      <c r="H190" s="110">
        <v>108000</v>
      </c>
      <c r="I190" s="113"/>
      <c r="J190" s="113"/>
    </row>
    <row r="191" spans="1:10" s="45" customFormat="1" ht="32.25" customHeight="1" hidden="1">
      <c r="A191" s="36" t="s">
        <v>561</v>
      </c>
      <c r="B191" s="36" t="s">
        <v>254</v>
      </c>
      <c r="C191" s="36"/>
      <c r="D191" s="274" t="s">
        <v>452</v>
      </c>
      <c r="E191" s="95" t="s">
        <v>621</v>
      </c>
      <c r="F191" s="95" t="s">
        <v>621</v>
      </c>
      <c r="G191" s="162">
        <f>G192</f>
        <v>20400</v>
      </c>
      <c r="H191" s="130">
        <f>H192</f>
        <v>20400</v>
      </c>
      <c r="I191" s="130">
        <f>I192</f>
        <v>0</v>
      </c>
      <c r="J191" s="130">
        <f>J192</f>
        <v>0</v>
      </c>
    </row>
    <row r="192" spans="1:10" s="45" customFormat="1" ht="70.5" customHeight="1">
      <c r="A192" s="39" t="s">
        <v>564</v>
      </c>
      <c r="B192" s="44" t="s">
        <v>565</v>
      </c>
      <c r="C192" s="44" t="s">
        <v>422</v>
      </c>
      <c r="D192" s="188" t="s">
        <v>498</v>
      </c>
      <c r="E192" s="31" t="s">
        <v>153</v>
      </c>
      <c r="F192" s="31" t="s">
        <v>79</v>
      </c>
      <c r="G192" s="165">
        <f>H192+I192</f>
        <v>20400</v>
      </c>
      <c r="H192" s="119">
        <v>20400</v>
      </c>
      <c r="I192" s="113"/>
      <c r="J192" s="113"/>
    </row>
    <row r="193" spans="1:10" s="51" customFormat="1" ht="36" customHeight="1">
      <c r="A193" s="68" t="s">
        <v>560</v>
      </c>
      <c r="B193" s="69"/>
      <c r="C193" s="69"/>
      <c r="D193" s="372" t="s">
        <v>493</v>
      </c>
      <c r="E193" s="373"/>
      <c r="F193" s="181" t="s">
        <v>621</v>
      </c>
      <c r="G193" s="134">
        <f>G194+G195</f>
        <v>110100</v>
      </c>
      <c r="H193" s="134">
        <f>H194+H196</f>
        <v>110100</v>
      </c>
      <c r="I193" s="134">
        <f>I194+I195</f>
        <v>0</v>
      </c>
      <c r="J193" s="134">
        <f>J194+J195</f>
        <v>0</v>
      </c>
    </row>
    <row r="194" spans="1:11" s="45" customFormat="1" ht="63" customHeight="1">
      <c r="A194" s="39" t="s">
        <v>615</v>
      </c>
      <c r="B194" s="39" t="s">
        <v>467</v>
      </c>
      <c r="C194" s="39" t="s">
        <v>410</v>
      </c>
      <c r="D194" s="178" t="s">
        <v>510</v>
      </c>
      <c r="E194" s="38" t="s">
        <v>604</v>
      </c>
      <c r="F194" s="38" t="s">
        <v>12</v>
      </c>
      <c r="G194" s="156">
        <f>H194+I194</f>
        <v>98600</v>
      </c>
      <c r="H194" s="110">
        <v>98600</v>
      </c>
      <c r="I194" s="113"/>
      <c r="J194" s="113"/>
      <c r="K194" s="52"/>
    </row>
    <row r="195" spans="1:10" s="45" customFormat="1" ht="29.25" customHeight="1" hidden="1">
      <c r="A195" s="36" t="s">
        <v>561</v>
      </c>
      <c r="B195" s="36" t="s">
        <v>254</v>
      </c>
      <c r="C195" s="36"/>
      <c r="D195" s="274" t="s">
        <v>452</v>
      </c>
      <c r="E195" s="95" t="s">
        <v>621</v>
      </c>
      <c r="F195" s="95" t="s">
        <v>621</v>
      </c>
      <c r="G195" s="162">
        <f>G196</f>
        <v>11500</v>
      </c>
      <c r="H195" s="130">
        <f>H196</f>
        <v>11500</v>
      </c>
      <c r="I195" s="130">
        <f>I196</f>
        <v>0</v>
      </c>
      <c r="J195" s="130">
        <f>J196</f>
        <v>0</v>
      </c>
    </row>
    <row r="196" spans="1:10" s="45" customFormat="1" ht="68.25" customHeight="1">
      <c r="A196" s="39" t="s">
        <v>564</v>
      </c>
      <c r="B196" s="44" t="s">
        <v>565</v>
      </c>
      <c r="C196" s="44" t="s">
        <v>422</v>
      </c>
      <c r="D196" s="188" t="s">
        <v>498</v>
      </c>
      <c r="E196" s="31" t="s">
        <v>151</v>
      </c>
      <c r="F196" s="31" t="s">
        <v>80</v>
      </c>
      <c r="G196" s="165">
        <f>H196+I196</f>
        <v>11500</v>
      </c>
      <c r="H196" s="119">
        <v>11500</v>
      </c>
      <c r="I196" s="113"/>
      <c r="J196" s="113"/>
    </row>
    <row r="197" spans="1:10" s="51" customFormat="1" ht="32.25" customHeight="1">
      <c r="A197" s="68" t="s">
        <v>560</v>
      </c>
      <c r="B197" s="69"/>
      <c r="C197" s="69"/>
      <c r="D197" s="372" t="s">
        <v>494</v>
      </c>
      <c r="E197" s="373"/>
      <c r="F197" s="181" t="s">
        <v>621</v>
      </c>
      <c r="G197" s="134">
        <f>G198+G199</f>
        <v>111300</v>
      </c>
      <c r="H197" s="134">
        <f>H198+H200</f>
        <v>111300</v>
      </c>
      <c r="I197" s="134">
        <f>I198+I199</f>
        <v>0</v>
      </c>
      <c r="J197" s="134">
        <f>J198+J199</f>
        <v>0</v>
      </c>
    </row>
    <row r="198" spans="1:10" s="45" customFormat="1" ht="72.75" customHeight="1">
      <c r="A198" s="39" t="s">
        <v>615</v>
      </c>
      <c r="B198" s="39" t="s">
        <v>467</v>
      </c>
      <c r="C198" s="39" t="s">
        <v>410</v>
      </c>
      <c r="D198" s="178" t="s">
        <v>510</v>
      </c>
      <c r="E198" s="38" t="s">
        <v>304</v>
      </c>
      <c r="F198" s="38" t="s">
        <v>12</v>
      </c>
      <c r="G198" s="156">
        <f>H198+I198</f>
        <v>94000</v>
      </c>
      <c r="H198" s="110">
        <v>94000</v>
      </c>
      <c r="I198" s="113"/>
      <c r="J198" s="113"/>
    </row>
    <row r="199" spans="1:10" s="45" customFormat="1" ht="33.75" customHeight="1" hidden="1">
      <c r="A199" s="36" t="s">
        <v>561</v>
      </c>
      <c r="B199" s="36" t="s">
        <v>254</v>
      </c>
      <c r="C199" s="36"/>
      <c r="D199" s="274" t="s">
        <v>452</v>
      </c>
      <c r="E199" s="95" t="s">
        <v>621</v>
      </c>
      <c r="F199" s="95" t="s">
        <v>621</v>
      </c>
      <c r="G199" s="162">
        <f>G200</f>
        <v>17300</v>
      </c>
      <c r="H199" s="130">
        <f>H200</f>
        <v>17300</v>
      </c>
      <c r="I199" s="130">
        <f>I200</f>
        <v>0</v>
      </c>
      <c r="J199" s="130">
        <f>J200</f>
        <v>0</v>
      </c>
    </row>
    <row r="200" spans="1:10" s="45" customFormat="1" ht="57.75" customHeight="1">
      <c r="A200" s="39" t="s">
        <v>564</v>
      </c>
      <c r="B200" s="44" t="s">
        <v>565</v>
      </c>
      <c r="C200" s="44" t="s">
        <v>422</v>
      </c>
      <c r="D200" s="188" t="s">
        <v>498</v>
      </c>
      <c r="E200" s="31" t="s">
        <v>152</v>
      </c>
      <c r="F200" s="31" t="s">
        <v>81</v>
      </c>
      <c r="G200" s="165">
        <f>H200+I200</f>
        <v>17300</v>
      </c>
      <c r="H200" s="119">
        <v>17300</v>
      </c>
      <c r="I200" s="113"/>
      <c r="J200" s="113"/>
    </row>
    <row r="201" spans="1:10" s="45" customFormat="1" ht="29.25" customHeight="1">
      <c r="A201" s="71" t="s">
        <v>567</v>
      </c>
      <c r="B201" s="72"/>
      <c r="C201" s="72"/>
      <c r="D201" s="370" t="s">
        <v>460</v>
      </c>
      <c r="E201" s="371"/>
      <c r="F201" s="179" t="s">
        <v>621</v>
      </c>
      <c r="G201" s="168">
        <f>G202</f>
        <v>505771683</v>
      </c>
      <c r="H201" s="168">
        <f>H202</f>
        <v>304661079</v>
      </c>
      <c r="I201" s="168">
        <f>I202</f>
        <v>201110604</v>
      </c>
      <c r="J201" s="168">
        <f>J202</f>
        <v>197610604</v>
      </c>
    </row>
    <row r="202" spans="1:14" s="45" customFormat="1" ht="33" customHeight="1">
      <c r="A202" s="68" t="s">
        <v>568</v>
      </c>
      <c r="B202" s="69"/>
      <c r="C202" s="69"/>
      <c r="D202" s="372" t="s">
        <v>465</v>
      </c>
      <c r="E202" s="373"/>
      <c r="F202" s="181" t="s">
        <v>621</v>
      </c>
      <c r="G202" s="134">
        <f>H202+I202</f>
        <v>505771683</v>
      </c>
      <c r="H202" s="134">
        <f>H203+H204+H206+H207+H209+H210+H212+H214+H215+H217+H218+H219+H220+H222+H223+H224+H225+H227+H228+H229+H230+H231+H233+H235+H237+H238+H239+H241+H242+H243+H244+H245+H246+H249+H248+H250+H251</f>
        <v>304661079</v>
      </c>
      <c r="I202" s="134">
        <f>I203+I204+I206+I207+I209+I210+I212+I214+I215+I217+I218+I219+I220+I222+I223+I224+I225+I227+I228+I229+I230+I231+I233+I235+I237+I238+I239+I241+I242+I243+I244+I245+I246+I249+I248+I250+I251</f>
        <v>201110604</v>
      </c>
      <c r="J202" s="134">
        <f>J203+J204+J206+J207+J209+J210+J212+J214+J215+J217+J218+J219+J220+J222+J223+J224+J225+J227+J228+J229+J230+J231+J233+J235+J237+J238+J239+J241+J242+J243+J244+J245+J246+J249+J248+J250+J251</f>
        <v>197610604</v>
      </c>
      <c r="K202" s="52"/>
      <c r="L202" s="52"/>
      <c r="M202" s="52"/>
      <c r="N202" s="52"/>
    </row>
    <row r="203" spans="1:11" s="45" customFormat="1" ht="62.25" customHeight="1">
      <c r="A203" s="66">
        <v>1510180</v>
      </c>
      <c r="B203" s="65" t="s">
        <v>467</v>
      </c>
      <c r="C203" s="65" t="s">
        <v>410</v>
      </c>
      <c r="D203" s="178" t="s">
        <v>510</v>
      </c>
      <c r="E203" s="38" t="s">
        <v>604</v>
      </c>
      <c r="F203" s="38" t="s">
        <v>12</v>
      </c>
      <c r="G203" s="175">
        <f>H203+I203</f>
        <v>247500</v>
      </c>
      <c r="H203" s="110">
        <v>247500</v>
      </c>
      <c r="I203" s="123"/>
      <c r="J203" s="123"/>
      <c r="K203" s="52"/>
    </row>
    <row r="204" spans="1:11" s="45" customFormat="1" ht="49.5" customHeight="1">
      <c r="A204" s="44">
        <v>1513210</v>
      </c>
      <c r="B204" s="44">
        <v>3210</v>
      </c>
      <c r="C204" s="44" t="s">
        <v>411</v>
      </c>
      <c r="D204" s="178" t="s">
        <v>412</v>
      </c>
      <c r="E204" s="40" t="s">
        <v>378</v>
      </c>
      <c r="F204" s="40" t="s">
        <v>7</v>
      </c>
      <c r="G204" s="175">
        <f>H204+I204</f>
        <v>250000</v>
      </c>
      <c r="H204" s="123">
        <v>250000</v>
      </c>
      <c r="I204" s="113"/>
      <c r="J204" s="123"/>
      <c r="K204" s="52"/>
    </row>
    <row r="205" spans="1:10" s="50" customFormat="1" ht="46.5" customHeight="1" hidden="1">
      <c r="A205" s="43">
        <v>1516010</v>
      </c>
      <c r="B205" s="43">
        <v>6010</v>
      </c>
      <c r="C205" s="36"/>
      <c r="D205" s="271" t="s">
        <v>587</v>
      </c>
      <c r="E205" s="202" t="s">
        <v>621</v>
      </c>
      <c r="F205" s="202" t="s">
        <v>621</v>
      </c>
      <c r="G205" s="166">
        <f>G207+G209+G212+G214+G215+G217</f>
        <v>161320102</v>
      </c>
      <c r="H205" s="109">
        <f>H207+H209+H212+H214+H215+H217</f>
        <v>78686000</v>
      </c>
      <c r="I205" s="109">
        <f>I207+I209+I212+I214+I215+I217</f>
        <v>82634102</v>
      </c>
      <c r="J205" s="109">
        <f>J207+J209+J212+J214+J215+J217</f>
        <v>82634102</v>
      </c>
    </row>
    <row r="206" spans="1:11" s="45" customFormat="1" ht="66.75" customHeight="1">
      <c r="A206" s="39" t="s">
        <v>657</v>
      </c>
      <c r="B206" s="39" t="s">
        <v>649</v>
      </c>
      <c r="C206" s="65" t="s">
        <v>424</v>
      </c>
      <c r="D206" s="178" t="s">
        <v>651</v>
      </c>
      <c r="E206" s="40" t="s">
        <v>155</v>
      </c>
      <c r="F206" s="40" t="s">
        <v>36</v>
      </c>
      <c r="G206" s="175">
        <f>H206+I206</f>
        <v>6912730</v>
      </c>
      <c r="H206" s="123">
        <v>6912730</v>
      </c>
      <c r="I206" s="113"/>
      <c r="J206" s="123"/>
      <c r="K206" s="52"/>
    </row>
    <row r="207" spans="1:13" s="45" customFormat="1" ht="62.25" customHeight="1">
      <c r="A207" s="66">
        <v>1516011</v>
      </c>
      <c r="B207" s="65">
        <v>6011</v>
      </c>
      <c r="C207" s="65" t="s">
        <v>241</v>
      </c>
      <c r="D207" s="203" t="s">
        <v>588</v>
      </c>
      <c r="E207" s="31" t="s">
        <v>374</v>
      </c>
      <c r="F207" s="31" t="s">
        <v>31</v>
      </c>
      <c r="G207" s="165">
        <f>H207+I207</f>
        <v>45854622</v>
      </c>
      <c r="H207" s="119">
        <v>0</v>
      </c>
      <c r="I207" s="123">
        <f>2051000+35000000+9000000-40000-156378</f>
        <v>45854622</v>
      </c>
      <c r="J207" s="123">
        <f>I207</f>
        <v>45854622</v>
      </c>
      <c r="K207" s="52">
        <f>G207+G209</f>
        <v>63429102</v>
      </c>
      <c r="L207" s="52">
        <f>H207+H209</f>
        <v>0</v>
      </c>
      <c r="M207" s="52">
        <f>I207+I209</f>
        <v>63429102</v>
      </c>
    </row>
    <row r="208" spans="1:10" s="58" customFormat="1" ht="47.25" customHeight="1">
      <c r="A208" s="204"/>
      <c r="B208" s="205"/>
      <c r="C208" s="205"/>
      <c r="D208" s="300" t="s">
        <v>340</v>
      </c>
      <c r="E208" s="206"/>
      <c r="F208" s="206"/>
      <c r="G208" s="207">
        <f>H208+I208</f>
        <v>44000000</v>
      </c>
      <c r="H208" s="208"/>
      <c r="I208" s="209">
        <f>35000000+9000000</f>
        <v>44000000</v>
      </c>
      <c r="J208" s="209">
        <f>35000000+9000000</f>
        <v>44000000</v>
      </c>
    </row>
    <row r="209" spans="1:10" s="45" customFormat="1" ht="62.25" customHeight="1">
      <c r="A209" s="66">
        <v>1516011</v>
      </c>
      <c r="B209" s="65">
        <v>6011</v>
      </c>
      <c r="C209" s="65" t="s">
        <v>241</v>
      </c>
      <c r="D209" s="203" t="s">
        <v>588</v>
      </c>
      <c r="E209" s="31" t="s">
        <v>373</v>
      </c>
      <c r="F209" s="31" t="s">
        <v>32</v>
      </c>
      <c r="G209" s="165">
        <f aca="true" t="shared" si="6" ref="G209:G228">H209+I209</f>
        <v>17574480</v>
      </c>
      <c r="H209" s="119">
        <v>0</v>
      </c>
      <c r="I209" s="123">
        <f>20579480-2797000-208000</f>
        <v>17574480</v>
      </c>
      <c r="J209" s="123">
        <f>20579480-2797000-208000</f>
        <v>17574480</v>
      </c>
    </row>
    <row r="210" spans="1:10" s="45" customFormat="1" ht="62.25" customHeight="1">
      <c r="A210" s="65" t="s">
        <v>148</v>
      </c>
      <c r="B210" s="65" t="s">
        <v>149</v>
      </c>
      <c r="C210" s="65" t="s">
        <v>413</v>
      </c>
      <c r="D210" s="178" t="s">
        <v>150</v>
      </c>
      <c r="E210" s="31" t="s">
        <v>374</v>
      </c>
      <c r="F210" s="31" t="s">
        <v>33</v>
      </c>
      <c r="G210" s="165">
        <f t="shared" si="6"/>
        <v>21000000</v>
      </c>
      <c r="H210" s="119">
        <v>21000000</v>
      </c>
      <c r="I210" s="123">
        <v>0</v>
      </c>
      <c r="J210" s="123">
        <v>0</v>
      </c>
    </row>
    <row r="211" spans="1:10" s="58" customFormat="1" ht="36.75" customHeight="1">
      <c r="A211" s="204"/>
      <c r="B211" s="205"/>
      <c r="C211" s="205"/>
      <c r="D211" s="300" t="s">
        <v>340</v>
      </c>
      <c r="E211" s="206"/>
      <c r="F211" s="206"/>
      <c r="G211" s="207">
        <f>H211+I211</f>
        <v>21000000</v>
      </c>
      <c r="H211" s="208">
        <v>21000000</v>
      </c>
      <c r="I211" s="209">
        <v>0</v>
      </c>
      <c r="J211" s="209">
        <v>0</v>
      </c>
    </row>
    <row r="212" spans="1:10" s="45" customFormat="1" ht="54.75" customHeight="1">
      <c r="A212" s="66">
        <v>1516015</v>
      </c>
      <c r="B212" s="65">
        <v>6015</v>
      </c>
      <c r="C212" s="65" t="s">
        <v>413</v>
      </c>
      <c r="D212" s="178" t="s">
        <v>399</v>
      </c>
      <c r="E212" s="31" t="s">
        <v>374</v>
      </c>
      <c r="F212" s="31" t="s">
        <v>33</v>
      </c>
      <c r="G212" s="165">
        <f t="shared" si="6"/>
        <v>18000000</v>
      </c>
      <c r="H212" s="119">
        <v>0</v>
      </c>
      <c r="I212" s="123">
        <f>10000000+8000000</f>
        <v>18000000</v>
      </c>
      <c r="J212" s="123">
        <f>10000000+8000000</f>
        <v>18000000</v>
      </c>
    </row>
    <row r="213" spans="1:10" s="58" customFormat="1" ht="36.75" customHeight="1">
      <c r="A213" s="204"/>
      <c r="B213" s="205"/>
      <c r="C213" s="205"/>
      <c r="D213" s="300" t="s">
        <v>340</v>
      </c>
      <c r="E213" s="206"/>
      <c r="F213" s="206"/>
      <c r="G213" s="207">
        <f t="shared" si="6"/>
        <v>18000000</v>
      </c>
      <c r="H213" s="208"/>
      <c r="I213" s="209">
        <f>10000000+8000000</f>
        <v>18000000</v>
      </c>
      <c r="J213" s="209">
        <f>10000000+8000000</f>
        <v>18000000</v>
      </c>
    </row>
    <row r="214" spans="1:14" s="45" customFormat="1" ht="66" customHeight="1">
      <c r="A214" s="44">
        <v>1516017</v>
      </c>
      <c r="B214" s="44">
        <v>6017</v>
      </c>
      <c r="C214" s="39" t="s">
        <v>413</v>
      </c>
      <c r="D214" s="178" t="s">
        <v>307</v>
      </c>
      <c r="E214" s="31" t="s">
        <v>374</v>
      </c>
      <c r="F214" s="31" t="s">
        <v>31</v>
      </c>
      <c r="G214" s="165">
        <f t="shared" si="6"/>
        <v>48891000</v>
      </c>
      <c r="H214" s="119">
        <f>43686000+4000000</f>
        <v>47686000</v>
      </c>
      <c r="I214" s="113">
        <v>1205000</v>
      </c>
      <c r="J214" s="113">
        <v>1205000</v>
      </c>
      <c r="K214" s="52">
        <f>G214+G215+G217</f>
        <v>79891000</v>
      </c>
      <c r="L214" s="52">
        <f>H214+H215+H217</f>
        <v>78686000</v>
      </c>
      <c r="M214" s="52">
        <f>J214+J215+J217</f>
        <v>1205000</v>
      </c>
      <c r="N214" s="52"/>
    </row>
    <row r="215" spans="1:10" s="45" customFormat="1" ht="66" customHeight="1">
      <c r="A215" s="44">
        <v>1516017</v>
      </c>
      <c r="B215" s="44">
        <v>6017</v>
      </c>
      <c r="C215" s="39" t="s">
        <v>413</v>
      </c>
      <c r="D215" s="178" t="s">
        <v>307</v>
      </c>
      <c r="E215" s="40" t="s">
        <v>373</v>
      </c>
      <c r="F215" s="40" t="s">
        <v>34</v>
      </c>
      <c r="G215" s="165">
        <f t="shared" si="6"/>
        <v>29000000</v>
      </c>
      <c r="H215" s="123">
        <f>50000000-21000000</f>
        <v>29000000</v>
      </c>
      <c r="I215" s="113">
        <v>0</v>
      </c>
      <c r="J215" s="113">
        <v>0</v>
      </c>
    </row>
    <row r="216" spans="1:11" s="58" customFormat="1" ht="41.25" customHeight="1">
      <c r="A216" s="210"/>
      <c r="B216" s="210"/>
      <c r="C216" s="211"/>
      <c r="D216" s="300" t="s">
        <v>340</v>
      </c>
      <c r="E216" s="212"/>
      <c r="F216" s="212"/>
      <c r="G216" s="207">
        <f t="shared" si="6"/>
        <v>29000000</v>
      </c>
      <c r="H216" s="209">
        <f>50000000-21000000</f>
        <v>29000000</v>
      </c>
      <c r="I216" s="213">
        <v>0</v>
      </c>
      <c r="J216" s="213">
        <v>0</v>
      </c>
      <c r="K216" s="184"/>
    </row>
    <row r="217" spans="1:10" s="45" customFormat="1" ht="81.75" customHeight="1">
      <c r="A217" s="44">
        <v>1516017</v>
      </c>
      <c r="B217" s="44">
        <v>6017</v>
      </c>
      <c r="C217" s="39" t="s">
        <v>413</v>
      </c>
      <c r="D217" s="178" t="s">
        <v>307</v>
      </c>
      <c r="E217" s="31" t="s">
        <v>375</v>
      </c>
      <c r="F217" s="31" t="s">
        <v>134</v>
      </c>
      <c r="G217" s="165">
        <f t="shared" si="6"/>
        <v>2000000</v>
      </c>
      <c r="H217" s="119">
        <v>2000000</v>
      </c>
      <c r="I217" s="119">
        <v>0</v>
      </c>
      <c r="J217" s="119">
        <v>0</v>
      </c>
    </row>
    <row r="218" spans="1:13" s="45" customFormat="1" ht="60" customHeight="1">
      <c r="A218" s="44">
        <v>1516030</v>
      </c>
      <c r="B218" s="44">
        <v>6030</v>
      </c>
      <c r="C218" s="44" t="s">
        <v>413</v>
      </c>
      <c r="D218" s="178" t="s">
        <v>30</v>
      </c>
      <c r="E218" s="40" t="s">
        <v>378</v>
      </c>
      <c r="F218" s="40" t="s">
        <v>133</v>
      </c>
      <c r="G218" s="165">
        <f t="shared" si="6"/>
        <v>163345966</v>
      </c>
      <c r="H218" s="123">
        <f>138531962+2797000+2566626</f>
        <v>143895588</v>
      </c>
      <c r="I218" s="119">
        <f>19294000+156378</f>
        <v>19450378</v>
      </c>
      <c r="J218" s="119">
        <f>I218</f>
        <v>19450378</v>
      </c>
      <c r="K218" s="52">
        <f>G218+G219</f>
        <v>165345966</v>
      </c>
      <c r="L218" s="52">
        <f>H218+H219</f>
        <v>145895588</v>
      </c>
      <c r="M218" s="52">
        <f>I218+I219</f>
        <v>19450378</v>
      </c>
    </row>
    <row r="219" spans="1:10" s="45" customFormat="1" ht="63.75" customHeight="1">
      <c r="A219" s="44">
        <v>1516030</v>
      </c>
      <c r="B219" s="44">
        <v>6030</v>
      </c>
      <c r="C219" s="44" t="s">
        <v>413</v>
      </c>
      <c r="D219" s="178" t="s">
        <v>30</v>
      </c>
      <c r="E219" s="31" t="s">
        <v>376</v>
      </c>
      <c r="F219" s="276" t="s">
        <v>132</v>
      </c>
      <c r="G219" s="165">
        <f t="shared" si="6"/>
        <v>2000000</v>
      </c>
      <c r="H219" s="119">
        <v>2000000</v>
      </c>
      <c r="I219" s="119">
        <v>0</v>
      </c>
      <c r="J219" s="119">
        <v>0</v>
      </c>
    </row>
    <row r="220" spans="1:10" s="45" customFormat="1" ht="75" customHeight="1">
      <c r="A220" s="44">
        <v>1516020</v>
      </c>
      <c r="B220" s="44">
        <v>6020</v>
      </c>
      <c r="C220" s="44" t="s">
        <v>413</v>
      </c>
      <c r="D220" s="178" t="s">
        <v>589</v>
      </c>
      <c r="E220" s="40" t="s">
        <v>377</v>
      </c>
      <c r="F220" s="277" t="s">
        <v>131</v>
      </c>
      <c r="G220" s="165">
        <f t="shared" si="6"/>
        <v>6200000</v>
      </c>
      <c r="H220" s="123">
        <v>6200000</v>
      </c>
      <c r="I220" s="119">
        <v>0</v>
      </c>
      <c r="J220" s="119">
        <v>0</v>
      </c>
    </row>
    <row r="221" spans="1:10" s="50" customFormat="1" ht="36" customHeight="1" hidden="1">
      <c r="A221" s="43" t="s">
        <v>267</v>
      </c>
      <c r="B221" s="43" t="s">
        <v>268</v>
      </c>
      <c r="C221" s="214"/>
      <c r="D221" s="274" t="s">
        <v>269</v>
      </c>
      <c r="E221" s="215" t="s">
        <v>621</v>
      </c>
      <c r="F221" s="251" t="s">
        <v>621</v>
      </c>
      <c r="G221" s="176">
        <f>G222</f>
        <v>1497500</v>
      </c>
      <c r="H221" s="177">
        <f>H222</f>
        <v>1497500</v>
      </c>
      <c r="I221" s="177">
        <f>I222</f>
        <v>0</v>
      </c>
      <c r="J221" s="177">
        <f>J222</f>
        <v>0</v>
      </c>
    </row>
    <row r="222" spans="1:10" s="45" customFormat="1" ht="54.75" customHeight="1">
      <c r="A222" s="44" t="s">
        <v>265</v>
      </c>
      <c r="B222" s="44" t="s">
        <v>243</v>
      </c>
      <c r="C222" s="39" t="s">
        <v>241</v>
      </c>
      <c r="D222" s="216" t="s">
        <v>266</v>
      </c>
      <c r="E222" s="31" t="s">
        <v>619</v>
      </c>
      <c r="F222" s="276" t="s">
        <v>157</v>
      </c>
      <c r="G222" s="165">
        <f t="shared" si="6"/>
        <v>1497500</v>
      </c>
      <c r="H222" s="119">
        <v>1497500</v>
      </c>
      <c r="I222" s="113"/>
      <c r="J222" s="113"/>
    </row>
    <row r="223" spans="1:10" s="45" customFormat="1" ht="57" customHeight="1">
      <c r="A223" s="39" t="s">
        <v>169</v>
      </c>
      <c r="B223" s="39" t="s">
        <v>170</v>
      </c>
      <c r="C223" s="39" t="s">
        <v>459</v>
      </c>
      <c r="D223" s="216" t="s">
        <v>574</v>
      </c>
      <c r="E223" s="42" t="s">
        <v>204</v>
      </c>
      <c r="F223" s="276" t="s">
        <v>171</v>
      </c>
      <c r="G223" s="165">
        <f t="shared" si="6"/>
        <v>54000</v>
      </c>
      <c r="H223" s="336">
        <v>54000</v>
      </c>
      <c r="I223" s="113"/>
      <c r="J223" s="113"/>
    </row>
    <row r="224" spans="1:13" s="45" customFormat="1" ht="57.75" customHeight="1">
      <c r="A224" s="66">
        <v>1517310</v>
      </c>
      <c r="B224" s="44">
        <v>7310</v>
      </c>
      <c r="C224" s="39" t="s">
        <v>470</v>
      </c>
      <c r="D224" s="216" t="s">
        <v>298</v>
      </c>
      <c r="E224" s="64" t="s">
        <v>620</v>
      </c>
      <c r="F224" s="269" t="s">
        <v>112</v>
      </c>
      <c r="G224" s="165">
        <f t="shared" si="6"/>
        <v>2799000</v>
      </c>
      <c r="H224" s="120"/>
      <c r="I224" s="113">
        <v>2799000</v>
      </c>
      <c r="J224" s="113">
        <f>I224</f>
        <v>2799000</v>
      </c>
      <c r="K224" s="52">
        <f>G224+G225</f>
        <v>5317331</v>
      </c>
      <c r="L224" s="52"/>
      <c r="M224" s="52"/>
    </row>
    <row r="225" spans="1:13" s="45" customFormat="1" ht="114.75" customHeight="1">
      <c r="A225" s="66">
        <v>1517310</v>
      </c>
      <c r="B225" s="44">
        <v>7310</v>
      </c>
      <c r="C225" s="39" t="s">
        <v>470</v>
      </c>
      <c r="D225" s="216" t="s">
        <v>298</v>
      </c>
      <c r="E225" s="38" t="s">
        <v>635</v>
      </c>
      <c r="F225" s="38" t="s">
        <v>130</v>
      </c>
      <c r="G225" s="165">
        <f t="shared" si="6"/>
        <v>2518331</v>
      </c>
      <c r="H225" s="110"/>
      <c r="I225" s="113">
        <v>2518331</v>
      </c>
      <c r="J225" s="113">
        <f>I225</f>
        <v>2518331</v>
      </c>
      <c r="K225" s="52"/>
      <c r="M225" s="52"/>
    </row>
    <row r="226" spans="1:10" s="50" customFormat="1" ht="39.75" customHeight="1" hidden="1">
      <c r="A226" s="43" t="s">
        <v>260</v>
      </c>
      <c r="B226" s="43" t="s">
        <v>261</v>
      </c>
      <c r="C226" s="36"/>
      <c r="D226" s="318" t="s">
        <v>257</v>
      </c>
      <c r="E226" s="215" t="s">
        <v>621</v>
      </c>
      <c r="F226" s="215" t="s">
        <v>621</v>
      </c>
      <c r="G226" s="218">
        <f>G227+G228+G230</f>
        <v>4090000</v>
      </c>
      <c r="H226" s="219">
        <f>H227+H228+H230</f>
        <v>0</v>
      </c>
      <c r="I226" s="219">
        <f>I227+I228+I230</f>
        <v>4090000</v>
      </c>
      <c r="J226" s="219">
        <f>J227+J228+J230</f>
        <v>4090000</v>
      </c>
    </row>
    <row r="227" spans="1:10" s="45" customFormat="1" ht="56.25" customHeight="1">
      <c r="A227" s="44" t="s">
        <v>262</v>
      </c>
      <c r="B227" s="44" t="s">
        <v>263</v>
      </c>
      <c r="C227" s="39" t="s">
        <v>470</v>
      </c>
      <c r="D227" s="216" t="s">
        <v>264</v>
      </c>
      <c r="E227" s="64" t="s">
        <v>620</v>
      </c>
      <c r="F227" s="269" t="s">
        <v>112</v>
      </c>
      <c r="G227" s="165">
        <f t="shared" si="6"/>
        <v>650000</v>
      </c>
      <c r="H227" s="120"/>
      <c r="I227" s="113">
        <f>610000+40000</f>
        <v>650000</v>
      </c>
      <c r="J227" s="123">
        <f>I227</f>
        <v>650000</v>
      </c>
    </row>
    <row r="228" spans="1:10" s="45" customFormat="1" ht="57.75" customHeight="1">
      <c r="A228" s="44">
        <v>1517323</v>
      </c>
      <c r="B228" s="44">
        <v>7323</v>
      </c>
      <c r="C228" s="39" t="s">
        <v>470</v>
      </c>
      <c r="D228" s="216" t="s">
        <v>299</v>
      </c>
      <c r="E228" s="64" t="s">
        <v>620</v>
      </c>
      <c r="F228" s="269" t="s">
        <v>112</v>
      </c>
      <c r="G228" s="165">
        <f t="shared" si="6"/>
        <v>2009000</v>
      </c>
      <c r="H228" s="120"/>
      <c r="I228" s="113">
        <f>2000000+9000</f>
        <v>2009000</v>
      </c>
      <c r="J228" s="123">
        <f>I228</f>
        <v>2009000</v>
      </c>
    </row>
    <row r="229" spans="1:10" s="45" customFormat="1" ht="54" customHeight="1">
      <c r="A229" s="39" t="s">
        <v>173</v>
      </c>
      <c r="B229" s="39" t="s">
        <v>174</v>
      </c>
      <c r="C229" s="39" t="s">
        <v>470</v>
      </c>
      <c r="D229" s="216" t="s">
        <v>192</v>
      </c>
      <c r="E229" s="64" t="s">
        <v>620</v>
      </c>
      <c r="F229" s="269" t="s">
        <v>112</v>
      </c>
      <c r="G229" s="165">
        <f>H229+I229</f>
        <v>286000</v>
      </c>
      <c r="H229" s="120"/>
      <c r="I229" s="113">
        <v>286000</v>
      </c>
      <c r="J229" s="123">
        <f>I229</f>
        <v>286000</v>
      </c>
    </row>
    <row r="230" spans="1:10" s="220" customFormat="1" ht="56.25" customHeight="1">
      <c r="A230" s="44">
        <v>1517325</v>
      </c>
      <c r="B230" s="44">
        <v>7325</v>
      </c>
      <c r="C230" s="39" t="s">
        <v>470</v>
      </c>
      <c r="D230" s="216" t="s">
        <v>300</v>
      </c>
      <c r="E230" s="64" t="s">
        <v>620</v>
      </c>
      <c r="F230" s="269" t="s">
        <v>112</v>
      </c>
      <c r="G230" s="165">
        <f>H230+I230</f>
        <v>1431000</v>
      </c>
      <c r="H230" s="120"/>
      <c r="I230" s="123">
        <f>1820000-49000-286000-54000</f>
        <v>1431000</v>
      </c>
      <c r="J230" s="123">
        <f>I230</f>
        <v>1431000</v>
      </c>
    </row>
    <row r="231" spans="1:10" s="220" customFormat="1" ht="52.5" customHeight="1">
      <c r="A231" s="44" t="s">
        <v>42</v>
      </c>
      <c r="B231" s="221" t="s">
        <v>43</v>
      </c>
      <c r="C231" s="44" t="s">
        <v>470</v>
      </c>
      <c r="D231" s="178" t="s">
        <v>175</v>
      </c>
      <c r="E231" s="64" t="s">
        <v>620</v>
      </c>
      <c r="F231" s="269" t="s">
        <v>112</v>
      </c>
      <c r="G231" s="165">
        <f>H231+I231</f>
        <v>150000</v>
      </c>
      <c r="H231" s="120"/>
      <c r="I231" s="123">
        <v>150000</v>
      </c>
      <c r="J231" s="123">
        <f>I231</f>
        <v>150000</v>
      </c>
    </row>
    <row r="232" spans="1:10" s="45" customFormat="1" ht="45" customHeight="1" hidden="1">
      <c r="A232" s="43">
        <v>1517460</v>
      </c>
      <c r="B232" s="43">
        <v>7460</v>
      </c>
      <c r="C232" s="43"/>
      <c r="D232" s="271" t="s">
        <v>355</v>
      </c>
      <c r="E232" s="215" t="s">
        <v>621</v>
      </c>
      <c r="F232" s="215" t="s">
        <v>621</v>
      </c>
      <c r="G232" s="166">
        <f>G237</f>
        <v>40503053</v>
      </c>
      <c r="H232" s="109">
        <f>H237</f>
        <v>36503053</v>
      </c>
      <c r="I232" s="109">
        <f>I237</f>
        <v>4000000</v>
      </c>
      <c r="J232" s="109">
        <f>J237</f>
        <v>4000000</v>
      </c>
    </row>
    <row r="233" spans="1:11" s="328" customFormat="1" ht="62.25" customHeight="1">
      <c r="A233" s="66" t="s">
        <v>201</v>
      </c>
      <c r="B233" s="268">
        <v>7363</v>
      </c>
      <c r="C233" s="67" t="s">
        <v>438</v>
      </c>
      <c r="D233" s="203" t="s">
        <v>197</v>
      </c>
      <c r="E233" s="332" t="s">
        <v>620</v>
      </c>
      <c r="F233" s="269" t="s">
        <v>112</v>
      </c>
      <c r="G233" s="270">
        <f>H233+I233</f>
        <v>9270000</v>
      </c>
      <c r="H233" s="227"/>
      <c r="I233" s="227">
        <f>9270000</f>
        <v>9270000</v>
      </c>
      <c r="J233" s="227">
        <f>I233</f>
        <v>9270000</v>
      </c>
      <c r="K233" s="327"/>
    </row>
    <row r="234" spans="1:10" s="299" customFormat="1" ht="62.25" customHeight="1">
      <c r="A234" s="329"/>
      <c r="B234" s="330"/>
      <c r="C234" s="330"/>
      <c r="D234" s="96" t="s">
        <v>198</v>
      </c>
      <c r="E234" s="331"/>
      <c r="F234" s="331"/>
      <c r="G234" s="207">
        <f>H234+I234</f>
        <v>9000000</v>
      </c>
      <c r="H234" s="208"/>
      <c r="I234" s="209">
        <f>9000000</f>
        <v>9000000</v>
      </c>
      <c r="J234" s="209">
        <f>I234</f>
        <v>9000000</v>
      </c>
    </row>
    <row r="235" spans="1:11" s="328" customFormat="1" ht="62.25" customHeight="1">
      <c r="A235" s="66" t="s">
        <v>201</v>
      </c>
      <c r="B235" s="268">
        <v>7363</v>
      </c>
      <c r="C235" s="67" t="s">
        <v>438</v>
      </c>
      <c r="D235" s="203" t="s">
        <v>197</v>
      </c>
      <c r="E235" s="31" t="s">
        <v>374</v>
      </c>
      <c r="F235" s="31" t="s">
        <v>31</v>
      </c>
      <c r="G235" s="270">
        <f>H235+I235</f>
        <v>31200</v>
      </c>
      <c r="H235" s="227"/>
      <c r="I235" s="227">
        <f>31200</f>
        <v>31200</v>
      </c>
      <c r="J235" s="227">
        <f>I235</f>
        <v>31200</v>
      </c>
      <c r="K235" s="327"/>
    </row>
    <row r="236" spans="1:10" s="299" customFormat="1" ht="62.25" customHeight="1">
      <c r="A236" s="329"/>
      <c r="B236" s="330"/>
      <c r="C236" s="330"/>
      <c r="D236" s="96" t="s">
        <v>198</v>
      </c>
      <c r="E236" s="331"/>
      <c r="F236" s="331"/>
      <c r="G236" s="207">
        <f>H236+I236</f>
        <v>30291.26</v>
      </c>
      <c r="H236" s="208"/>
      <c r="I236" s="209">
        <f>30291.26</f>
        <v>30291.26</v>
      </c>
      <c r="J236" s="209">
        <f>I236</f>
        <v>30291.26</v>
      </c>
    </row>
    <row r="237" spans="1:10" s="45" customFormat="1" ht="56.25" customHeight="1">
      <c r="A237" s="44">
        <v>1517461</v>
      </c>
      <c r="B237" s="44">
        <v>7461</v>
      </c>
      <c r="C237" s="39" t="s">
        <v>466</v>
      </c>
      <c r="D237" s="178" t="s">
        <v>356</v>
      </c>
      <c r="E237" s="40" t="s">
        <v>631</v>
      </c>
      <c r="F237" s="40" t="s">
        <v>129</v>
      </c>
      <c r="G237" s="165">
        <f aca="true" t="shared" si="7" ref="G237:G246">H237+I237</f>
        <v>40503053</v>
      </c>
      <c r="H237" s="123">
        <f>30000000+4000000+2503053</f>
        <v>36503053</v>
      </c>
      <c r="I237" s="113">
        <v>4000000</v>
      </c>
      <c r="J237" s="123">
        <f aca="true" t="shared" si="8" ref="J237:J246">I237</f>
        <v>4000000</v>
      </c>
    </row>
    <row r="238" spans="1:10" s="45" customFormat="1" ht="69" customHeight="1">
      <c r="A238" s="44" t="s">
        <v>395</v>
      </c>
      <c r="B238" s="44" t="s">
        <v>396</v>
      </c>
      <c r="C238" s="39" t="s">
        <v>397</v>
      </c>
      <c r="D238" s="178" t="s">
        <v>398</v>
      </c>
      <c r="E238" s="198" t="s">
        <v>113</v>
      </c>
      <c r="F238" s="198" t="s">
        <v>128</v>
      </c>
      <c r="G238" s="165">
        <f t="shared" si="7"/>
        <v>4600000</v>
      </c>
      <c r="H238" s="133">
        <v>4600000</v>
      </c>
      <c r="I238" s="123"/>
      <c r="J238" s="123">
        <f t="shared" si="8"/>
        <v>0</v>
      </c>
    </row>
    <row r="239" spans="1:10" s="45" customFormat="1" ht="34.5" customHeight="1">
      <c r="A239" s="44" t="s">
        <v>384</v>
      </c>
      <c r="B239" s="44" t="s">
        <v>286</v>
      </c>
      <c r="C239" s="39" t="s">
        <v>481</v>
      </c>
      <c r="D239" s="178" t="s">
        <v>509</v>
      </c>
      <c r="E239" s="368" t="s">
        <v>622</v>
      </c>
      <c r="F239" s="410" t="s">
        <v>191</v>
      </c>
      <c r="G239" s="165">
        <f t="shared" si="7"/>
        <v>13679693</v>
      </c>
      <c r="H239" s="119">
        <f>199100+199000</f>
        <v>398100</v>
      </c>
      <c r="I239" s="123">
        <f>13281593</f>
        <v>13281593</v>
      </c>
      <c r="J239" s="123">
        <f t="shared" si="8"/>
        <v>13281593</v>
      </c>
    </row>
    <row r="240" spans="1:10" s="222" customFormat="1" ht="57" customHeight="1">
      <c r="A240" s="204"/>
      <c r="B240" s="205"/>
      <c r="C240" s="204"/>
      <c r="D240" s="319" t="s">
        <v>632</v>
      </c>
      <c r="E240" s="369"/>
      <c r="F240" s="411"/>
      <c r="G240" s="207">
        <f t="shared" si="7"/>
        <v>11800000</v>
      </c>
      <c r="H240" s="208"/>
      <c r="I240" s="209">
        <v>11800000</v>
      </c>
      <c r="J240" s="209">
        <f t="shared" si="8"/>
        <v>11800000</v>
      </c>
    </row>
    <row r="241" spans="1:13" s="45" customFormat="1" ht="54.75" customHeight="1">
      <c r="A241" s="44">
        <v>1517670</v>
      </c>
      <c r="B241" s="44">
        <v>7670</v>
      </c>
      <c r="C241" s="44" t="s">
        <v>438</v>
      </c>
      <c r="D241" s="223" t="s">
        <v>508</v>
      </c>
      <c r="E241" s="31" t="s">
        <v>625</v>
      </c>
      <c r="F241" s="31" t="s">
        <v>127</v>
      </c>
      <c r="G241" s="165">
        <f t="shared" si="7"/>
        <v>15000000</v>
      </c>
      <c r="H241" s="119"/>
      <c r="I241" s="123">
        <v>15000000</v>
      </c>
      <c r="J241" s="123">
        <f t="shared" si="8"/>
        <v>15000000</v>
      </c>
      <c r="K241" s="52">
        <f>G241+G242+G243+G244+G246</f>
        <v>59000000</v>
      </c>
      <c r="L241" s="224"/>
      <c r="M241" s="52"/>
    </row>
    <row r="242" spans="1:10" s="45" customFormat="1" ht="71.25" customHeight="1">
      <c r="A242" s="44">
        <v>1517670</v>
      </c>
      <c r="B242" s="44">
        <v>7670</v>
      </c>
      <c r="C242" s="44" t="s">
        <v>438</v>
      </c>
      <c r="D242" s="178" t="s">
        <v>508</v>
      </c>
      <c r="E242" s="31" t="s">
        <v>626</v>
      </c>
      <c r="F242" s="31" t="s">
        <v>126</v>
      </c>
      <c r="G242" s="165">
        <f t="shared" si="7"/>
        <v>30000000</v>
      </c>
      <c r="H242" s="119"/>
      <c r="I242" s="123">
        <v>30000000</v>
      </c>
      <c r="J242" s="123">
        <f t="shared" si="8"/>
        <v>30000000</v>
      </c>
    </row>
    <row r="243" spans="1:11" s="45" customFormat="1" ht="59.25" customHeight="1">
      <c r="A243" s="44">
        <v>1517670</v>
      </c>
      <c r="B243" s="44">
        <v>7670</v>
      </c>
      <c r="C243" s="44" t="s">
        <v>438</v>
      </c>
      <c r="D243" s="178" t="s">
        <v>508</v>
      </c>
      <c r="E243" s="31" t="s">
        <v>623</v>
      </c>
      <c r="F243" s="31" t="s">
        <v>125</v>
      </c>
      <c r="G243" s="165">
        <f>H243+I243</f>
        <v>2000000</v>
      </c>
      <c r="H243" s="119"/>
      <c r="I243" s="123">
        <v>2000000</v>
      </c>
      <c r="J243" s="123">
        <f t="shared" si="8"/>
        <v>2000000</v>
      </c>
      <c r="K243" s="81" t="s">
        <v>624</v>
      </c>
    </row>
    <row r="244" spans="1:10" s="45" customFormat="1" ht="89.25" customHeight="1">
      <c r="A244" s="44">
        <v>1517670</v>
      </c>
      <c r="B244" s="44">
        <v>7670</v>
      </c>
      <c r="C244" s="44" t="s">
        <v>438</v>
      </c>
      <c r="D244" s="178" t="s">
        <v>508</v>
      </c>
      <c r="E244" s="31" t="s">
        <v>627</v>
      </c>
      <c r="F244" s="31" t="s">
        <v>124</v>
      </c>
      <c r="G244" s="165">
        <f t="shared" si="7"/>
        <v>2000000</v>
      </c>
      <c r="H244" s="119"/>
      <c r="I244" s="123">
        <f>10000000-8000000</f>
        <v>2000000</v>
      </c>
      <c r="J244" s="123">
        <f t="shared" si="8"/>
        <v>2000000</v>
      </c>
    </row>
    <row r="245" spans="1:10" s="45" customFormat="1" ht="89.25" customHeight="1">
      <c r="A245" s="39" t="s">
        <v>207</v>
      </c>
      <c r="B245" s="39" t="s">
        <v>208</v>
      </c>
      <c r="C245" s="39" t="s">
        <v>438</v>
      </c>
      <c r="D245" s="178" t="s">
        <v>508</v>
      </c>
      <c r="E245" s="31" t="s">
        <v>209</v>
      </c>
      <c r="F245" s="31" t="s">
        <v>213</v>
      </c>
      <c r="G245" s="165">
        <f t="shared" si="7"/>
        <v>100000</v>
      </c>
      <c r="H245" s="119"/>
      <c r="I245" s="123">
        <v>100000</v>
      </c>
      <c r="J245" s="123">
        <f t="shared" si="8"/>
        <v>100000</v>
      </c>
    </row>
    <row r="246" spans="1:10" s="45" customFormat="1" ht="81.75" customHeight="1">
      <c r="A246" s="44">
        <v>1517670</v>
      </c>
      <c r="B246" s="44">
        <v>7670</v>
      </c>
      <c r="C246" s="44" t="s">
        <v>438</v>
      </c>
      <c r="D246" s="178" t="s">
        <v>508</v>
      </c>
      <c r="E246" s="31" t="s">
        <v>206</v>
      </c>
      <c r="F246" s="31" t="s">
        <v>123</v>
      </c>
      <c r="G246" s="165">
        <f t="shared" si="7"/>
        <v>10000000</v>
      </c>
      <c r="H246" s="119"/>
      <c r="I246" s="123">
        <v>10000000</v>
      </c>
      <c r="J246" s="123">
        <f t="shared" si="8"/>
        <v>10000000</v>
      </c>
    </row>
    <row r="247" spans="1:10" s="45" customFormat="1" ht="25.5" customHeight="1" hidden="1">
      <c r="A247" s="43" t="s">
        <v>403</v>
      </c>
      <c r="B247" s="43">
        <v>7690</v>
      </c>
      <c r="C247" s="43"/>
      <c r="D247" s="271" t="s">
        <v>289</v>
      </c>
      <c r="E247" s="217" t="s">
        <v>621</v>
      </c>
      <c r="F247" s="225" t="s">
        <v>621</v>
      </c>
      <c r="G247" s="166">
        <f>G249</f>
        <v>1500000</v>
      </c>
      <c r="H247" s="109">
        <f>H249</f>
        <v>1500000</v>
      </c>
      <c r="I247" s="109">
        <f>I249</f>
        <v>0</v>
      </c>
      <c r="J247" s="109">
        <f>J249</f>
        <v>0</v>
      </c>
    </row>
    <row r="248" spans="1:10" s="352" customFormat="1" ht="153.75" customHeight="1" hidden="1">
      <c r="A248" s="221" t="s">
        <v>645</v>
      </c>
      <c r="B248" s="221">
        <v>7691</v>
      </c>
      <c r="C248" s="39" t="s">
        <v>438</v>
      </c>
      <c r="D248" s="178" t="s">
        <v>646</v>
      </c>
      <c r="E248" s="353" t="s">
        <v>629</v>
      </c>
      <c r="F248" s="354" t="s">
        <v>122</v>
      </c>
      <c r="G248" s="348">
        <f>H248+I248</f>
        <v>0</v>
      </c>
      <c r="H248" s="349"/>
      <c r="I248" s="350"/>
      <c r="J248" s="351">
        <v>0</v>
      </c>
    </row>
    <row r="249" spans="1:10" s="45" customFormat="1" ht="60" customHeight="1">
      <c r="A249" s="221" t="s">
        <v>628</v>
      </c>
      <c r="B249" s="221">
        <v>7693</v>
      </c>
      <c r="C249" s="39" t="s">
        <v>438</v>
      </c>
      <c r="D249" s="178" t="s">
        <v>247</v>
      </c>
      <c r="E249" s="31" t="s">
        <v>629</v>
      </c>
      <c r="F249" s="226" t="s">
        <v>122</v>
      </c>
      <c r="G249" s="165">
        <f>H249+I249</f>
        <v>1500000</v>
      </c>
      <c r="H249" s="227">
        <v>1500000</v>
      </c>
      <c r="I249" s="261"/>
      <c r="J249" s="123">
        <f>I249</f>
        <v>0</v>
      </c>
    </row>
    <row r="250" spans="1:10" s="220" customFormat="1" ht="51" customHeight="1">
      <c r="A250" s="228" t="s">
        <v>391</v>
      </c>
      <c r="B250" s="221" t="s">
        <v>392</v>
      </c>
      <c r="C250" s="39" t="s">
        <v>393</v>
      </c>
      <c r="D250" s="216" t="s">
        <v>394</v>
      </c>
      <c r="E250" s="31" t="s">
        <v>630</v>
      </c>
      <c r="F250" s="229" t="s">
        <v>121</v>
      </c>
      <c r="G250" s="165">
        <f>H250+I250</f>
        <v>916608</v>
      </c>
      <c r="H250" s="227">
        <v>916608</v>
      </c>
      <c r="I250" s="261"/>
      <c r="J250" s="123">
        <f>I250</f>
        <v>0</v>
      </c>
    </row>
    <row r="251" spans="1:12" s="220" customFormat="1" ht="63.75" customHeight="1">
      <c r="A251" s="228">
        <v>1518340</v>
      </c>
      <c r="B251" s="221">
        <v>8340</v>
      </c>
      <c r="C251" s="39" t="s">
        <v>474</v>
      </c>
      <c r="D251" s="178" t="s">
        <v>578</v>
      </c>
      <c r="E251" s="64" t="s">
        <v>638</v>
      </c>
      <c r="F251" s="229" t="s">
        <v>120</v>
      </c>
      <c r="G251" s="165">
        <f>H251+I251</f>
        <v>3500000</v>
      </c>
      <c r="H251" s="227"/>
      <c r="I251" s="261">
        <f>1500000+2000000</f>
        <v>3500000</v>
      </c>
      <c r="J251" s="123"/>
      <c r="L251" s="296">
        <f>I251+I283</f>
        <v>10370607.84</v>
      </c>
    </row>
    <row r="252" spans="1:10" s="45" customFormat="1" ht="27" customHeight="1">
      <c r="A252" s="71">
        <v>1600000</v>
      </c>
      <c r="B252" s="72"/>
      <c r="C252" s="72"/>
      <c r="D252" s="370" t="s">
        <v>468</v>
      </c>
      <c r="E252" s="371"/>
      <c r="F252" s="179" t="s">
        <v>621</v>
      </c>
      <c r="G252" s="168">
        <f>G253</f>
        <v>165000</v>
      </c>
      <c r="H252" s="168">
        <f>H253</f>
        <v>116000</v>
      </c>
      <c r="I252" s="168">
        <f>I253</f>
        <v>49000</v>
      </c>
      <c r="J252" s="168">
        <f>J253</f>
        <v>49000</v>
      </c>
    </row>
    <row r="253" spans="1:10" s="51" customFormat="1" ht="30" customHeight="1">
      <c r="A253" s="68">
        <v>1610000</v>
      </c>
      <c r="B253" s="69"/>
      <c r="C253" s="69"/>
      <c r="D253" s="372" t="s">
        <v>469</v>
      </c>
      <c r="E253" s="373"/>
      <c r="F253" s="181" t="s">
        <v>621</v>
      </c>
      <c r="G253" s="134">
        <f>G254+G255</f>
        <v>165000</v>
      </c>
      <c r="H253" s="134">
        <f>H254+H255</f>
        <v>116000</v>
      </c>
      <c r="I253" s="134">
        <f>I254+I255</f>
        <v>49000</v>
      </c>
      <c r="J253" s="134">
        <f>J254+J255</f>
        <v>49000</v>
      </c>
    </row>
    <row r="254" spans="1:10" s="45" customFormat="1" ht="62.25" customHeight="1">
      <c r="A254" s="65" t="s">
        <v>215</v>
      </c>
      <c r="B254" s="65" t="s">
        <v>467</v>
      </c>
      <c r="C254" s="65" t="s">
        <v>410</v>
      </c>
      <c r="D254" s="178" t="s">
        <v>510</v>
      </c>
      <c r="E254" s="38" t="s">
        <v>604</v>
      </c>
      <c r="F254" s="38" t="s">
        <v>12</v>
      </c>
      <c r="G254" s="156">
        <f>SUM(H254+I254)</f>
        <v>116000</v>
      </c>
      <c r="H254" s="110">
        <v>116000</v>
      </c>
      <c r="I254" s="123"/>
      <c r="J254" s="123">
        <f>I254</f>
        <v>0</v>
      </c>
    </row>
    <row r="255" spans="1:10" s="45" customFormat="1" ht="96" customHeight="1">
      <c r="A255" s="65" t="s">
        <v>164</v>
      </c>
      <c r="B255" s="65" t="s">
        <v>165</v>
      </c>
      <c r="C255" s="65" t="s">
        <v>470</v>
      </c>
      <c r="D255" s="178" t="s">
        <v>166</v>
      </c>
      <c r="E255" s="38" t="s">
        <v>147</v>
      </c>
      <c r="F255" s="38" t="s">
        <v>146</v>
      </c>
      <c r="G255" s="156">
        <f>SUM(H255+I255)</f>
        <v>49000</v>
      </c>
      <c r="H255" s="110"/>
      <c r="I255" s="123">
        <v>49000</v>
      </c>
      <c r="J255" s="123">
        <f>I255</f>
        <v>49000</v>
      </c>
    </row>
    <row r="256" spans="1:10" s="59" customFormat="1" ht="27" customHeight="1">
      <c r="A256" s="72" t="s">
        <v>216</v>
      </c>
      <c r="B256" s="71"/>
      <c r="C256" s="71"/>
      <c r="D256" s="374" t="s">
        <v>217</v>
      </c>
      <c r="E256" s="375"/>
      <c r="F256" s="179" t="s">
        <v>621</v>
      </c>
      <c r="G256" s="180">
        <f>G257</f>
        <v>20000</v>
      </c>
      <c r="H256" s="180">
        <f aca="true" t="shared" si="9" ref="H256:J257">H257</f>
        <v>20000</v>
      </c>
      <c r="I256" s="180">
        <f t="shared" si="9"/>
        <v>0</v>
      </c>
      <c r="J256" s="180">
        <f t="shared" si="9"/>
        <v>0</v>
      </c>
    </row>
    <row r="257" spans="1:10" s="59" customFormat="1" ht="33" customHeight="1">
      <c r="A257" s="69" t="s">
        <v>218</v>
      </c>
      <c r="B257" s="68"/>
      <c r="C257" s="68"/>
      <c r="D257" s="401" t="s">
        <v>219</v>
      </c>
      <c r="E257" s="402"/>
      <c r="F257" s="181" t="s">
        <v>621</v>
      </c>
      <c r="G257" s="182">
        <f>G258</f>
        <v>20000</v>
      </c>
      <c r="H257" s="182">
        <f t="shared" si="9"/>
        <v>20000</v>
      </c>
      <c r="I257" s="182">
        <f t="shared" si="9"/>
        <v>0</v>
      </c>
      <c r="J257" s="182">
        <f t="shared" si="9"/>
        <v>0</v>
      </c>
    </row>
    <row r="258" spans="1:10" s="59" customFormat="1" ht="71.25" customHeight="1">
      <c r="A258" s="39" t="s">
        <v>220</v>
      </c>
      <c r="B258" s="39" t="s">
        <v>467</v>
      </c>
      <c r="C258" s="39" t="s">
        <v>410</v>
      </c>
      <c r="D258" s="178" t="s">
        <v>510</v>
      </c>
      <c r="E258" s="38" t="s">
        <v>604</v>
      </c>
      <c r="F258" s="38" t="s">
        <v>12</v>
      </c>
      <c r="G258" s="156">
        <f>SUM(H258+I258)</f>
        <v>20000</v>
      </c>
      <c r="H258" s="110">
        <v>20000</v>
      </c>
      <c r="I258" s="113"/>
      <c r="J258" s="123">
        <f>I258</f>
        <v>0</v>
      </c>
    </row>
    <row r="259" spans="1:10" s="45" customFormat="1" ht="21.75" customHeight="1" hidden="1">
      <c r="A259" s="286"/>
      <c r="B259" s="230"/>
      <c r="C259" s="230"/>
      <c r="D259" s="320"/>
      <c r="E259" s="81"/>
      <c r="F259" s="81"/>
      <c r="G259" s="231"/>
      <c r="H259" s="232"/>
      <c r="I259" s="232"/>
      <c r="J259" s="232"/>
    </row>
    <row r="260" spans="1:10" s="45" customFormat="1" ht="39" customHeight="1" hidden="1">
      <c r="A260" s="286"/>
      <c r="B260" s="230"/>
      <c r="C260" s="230"/>
      <c r="D260" s="320"/>
      <c r="E260" s="81"/>
      <c r="F260" s="81"/>
      <c r="G260" s="231"/>
      <c r="H260" s="232"/>
      <c r="I260" s="232"/>
      <c r="J260" s="232"/>
    </row>
    <row r="261" spans="1:10" s="45" customFormat="1" ht="36" customHeight="1" hidden="1">
      <c r="A261" s="286"/>
      <c r="B261" s="230"/>
      <c r="C261" s="230"/>
      <c r="D261" s="320"/>
      <c r="E261" s="81"/>
      <c r="F261" s="81"/>
      <c r="G261" s="231"/>
      <c r="H261" s="232"/>
      <c r="I261" s="232"/>
      <c r="J261" s="232"/>
    </row>
    <row r="262" spans="1:10" s="45" customFormat="1" ht="39" customHeight="1">
      <c r="A262" s="71" t="s">
        <v>571</v>
      </c>
      <c r="B262" s="72"/>
      <c r="C262" s="72"/>
      <c r="D262" s="370" t="s">
        <v>314</v>
      </c>
      <c r="E262" s="371"/>
      <c r="F262" s="179" t="s">
        <v>621</v>
      </c>
      <c r="G262" s="168">
        <f>G263</f>
        <v>60293500</v>
      </c>
      <c r="H262" s="168">
        <f>H263</f>
        <v>55288000</v>
      </c>
      <c r="I262" s="168">
        <f>I263</f>
        <v>5005500</v>
      </c>
      <c r="J262" s="168">
        <f>J263</f>
        <v>5000000</v>
      </c>
    </row>
    <row r="263" spans="1:13" s="45" customFormat="1" ht="35.25" customHeight="1">
      <c r="A263" s="68" t="s">
        <v>572</v>
      </c>
      <c r="B263" s="69"/>
      <c r="C263" s="69"/>
      <c r="D263" s="372" t="s">
        <v>475</v>
      </c>
      <c r="E263" s="373"/>
      <c r="F263" s="181" t="s">
        <v>621</v>
      </c>
      <c r="G263" s="134">
        <f>G264+G265+G267+G269</f>
        <v>60293500</v>
      </c>
      <c r="H263" s="134">
        <f>H264+H265+H267+H269</f>
        <v>55288000</v>
      </c>
      <c r="I263" s="134">
        <f>I264+I265+I267+I269</f>
        <v>5005500</v>
      </c>
      <c r="J263" s="134">
        <f>J264+J265+J267+J269</f>
        <v>5000000</v>
      </c>
      <c r="K263" s="52"/>
      <c r="L263" s="52"/>
      <c r="M263" s="52"/>
    </row>
    <row r="264" spans="1:11" s="45" customFormat="1" ht="57" customHeight="1">
      <c r="A264" s="65" t="s">
        <v>221</v>
      </c>
      <c r="B264" s="65" t="s">
        <v>467</v>
      </c>
      <c r="C264" s="65" t="s">
        <v>410</v>
      </c>
      <c r="D264" s="178" t="s">
        <v>510</v>
      </c>
      <c r="E264" s="38" t="s">
        <v>604</v>
      </c>
      <c r="F264" s="38" t="s">
        <v>12</v>
      </c>
      <c r="G264" s="156">
        <f>SUM(H264+I264)</f>
        <v>88000</v>
      </c>
      <c r="H264" s="110">
        <v>88000</v>
      </c>
      <c r="I264" s="123"/>
      <c r="J264" s="123"/>
      <c r="K264" s="52"/>
    </row>
    <row r="265" spans="1:10" s="50" customFormat="1" ht="42" customHeight="1" hidden="1">
      <c r="A265" s="43" t="s">
        <v>270</v>
      </c>
      <c r="B265" s="43" t="s">
        <v>271</v>
      </c>
      <c r="C265" s="43"/>
      <c r="D265" s="271" t="s">
        <v>272</v>
      </c>
      <c r="E265" s="202" t="s">
        <v>621</v>
      </c>
      <c r="F265" s="202" t="s">
        <v>621</v>
      </c>
      <c r="G265" s="176">
        <f>G266</f>
        <v>5500</v>
      </c>
      <c r="H265" s="177">
        <f>H266</f>
        <v>0</v>
      </c>
      <c r="I265" s="177">
        <f>I266</f>
        <v>5500</v>
      </c>
      <c r="J265" s="177">
        <f>J266</f>
        <v>0</v>
      </c>
    </row>
    <row r="266" spans="1:10" s="45" customFormat="1" ht="57.75" customHeight="1">
      <c r="A266" s="44">
        <v>1917413</v>
      </c>
      <c r="B266" s="44">
        <v>7413</v>
      </c>
      <c r="C266" s="44" t="s">
        <v>477</v>
      </c>
      <c r="D266" s="178" t="s">
        <v>248</v>
      </c>
      <c r="E266" s="31" t="s">
        <v>633</v>
      </c>
      <c r="F266" s="31" t="s">
        <v>119</v>
      </c>
      <c r="G266" s="156">
        <f>SUM(H266+I266)</f>
        <v>5500</v>
      </c>
      <c r="H266" s="119"/>
      <c r="I266" s="113">
        <v>5500</v>
      </c>
      <c r="J266" s="113"/>
    </row>
    <row r="267" spans="1:10" s="50" customFormat="1" ht="37.5" customHeight="1" hidden="1">
      <c r="A267" s="43" t="s">
        <v>273</v>
      </c>
      <c r="B267" s="43" t="s">
        <v>274</v>
      </c>
      <c r="C267" s="43"/>
      <c r="D267" s="271" t="s">
        <v>276</v>
      </c>
      <c r="E267" s="202" t="s">
        <v>621</v>
      </c>
      <c r="F267" s="202" t="s">
        <v>621</v>
      </c>
      <c r="G267" s="176">
        <f>G268</f>
        <v>55200000</v>
      </c>
      <c r="H267" s="177">
        <f>H268</f>
        <v>55200000</v>
      </c>
      <c r="I267" s="177">
        <f>I268</f>
        <v>0</v>
      </c>
      <c r="J267" s="177">
        <f>J268</f>
        <v>0</v>
      </c>
    </row>
    <row r="268" spans="1:10" s="45" customFormat="1" ht="60.75" customHeight="1">
      <c r="A268" s="44" t="s">
        <v>277</v>
      </c>
      <c r="B268" s="44" t="s">
        <v>278</v>
      </c>
      <c r="C268" s="44" t="s">
        <v>279</v>
      </c>
      <c r="D268" s="178" t="s">
        <v>476</v>
      </c>
      <c r="E268" s="31" t="s">
        <v>634</v>
      </c>
      <c r="F268" s="31" t="s">
        <v>118</v>
      </c>
      <c r="G268" s="156">
        <f>SUM(H268+I268)</f>
        <v>55200000</v>
      </c>
      <c r="H268" s="119">
        <v>55200000</v>
      </c>
      <c r="I268" s="113"/>
      <c r="J268" s="113">
        <f>I268</f>
        <v>0</v>
      </c>
    </row>
    <row r="269" spans="1:16" s="45" customFormat="1" ht="59.25" customHeight="1">
      <c r="A269" s="44">
        <v>1917670</v>
      </c>
      <c r="B269" s="44">
        <v>7670</v>
      </c>
      <c r="C269" s="44" t="s">
        <v>438</v>
      </c>
      <c r="D269" s="178" t="s">
        <v>508</v>
      </c>
      <c r="E269" s="31" t="s">
        <v>634</v>
      </c>
      <c r="F269" s="31" t="s">
        <v>117</v>
      </c>
      <c r="G269" s="156">
        <f>SUM(H269+I269)</f>
        <v>5000000</v>
      </c>
      <c r="H269" s="119"/>
      <c r="I269" s="113">
        <v>5000000</v>
      </c>
      <c r="J269" s="113">
        <f>I269</f>
        <v>5000000</v>
      </c>
      <c r="P269" s="52"/>
    </row>
    <row r="270" spans="1:11" s="45" customFormat="1" ht="22.5" customHeight="1">
      <c r="A270" s="71">
        <v>2700000</v>
      </c>
      <c r="B270" s="72"/>
      <c r="C270" s="72"/>
      <c r="D270" s="370" t="s">
        <v>222</v>
      </c>
      <c r="E270" s="371"/>
      <c r="F270" s="179" t="s">
        <v>621</v>
      </c>
      <c r="G270" s="168">
        <f>G271</f>
        <v>2942000</v>
      </c>
      <c r="H270" s="168">
        <f>H271</f>
        <v>2942000</v>
      </c>
      <c r="I270" s="168">
        <f>I271</f>
        <v>0</v>
      </c>
      <c r="J270" s="168">
        <f>J271</f>
        <v>0</v>
      </c>
      <c r="K270" s="52"/>
    </row>
    <row r="271" spans="1:11" s="45" customFormat="1" ht="23.25" customHeight="1">
      <c r="A271" s="68">
        <v>2710000</v>
      </c>
      <c r="B271" s="69"/>
      <c r="C271" s="69"/>
      <c r="D271" s="372" t="s">
        <v>480</v>
      </c>
      <c r="E271" s="373"/>
      <c r="F271" s="181" t="s">
        <v>621</v>
      </c>
      <c r="G271" s="134">
        <f>G272+G273+G275+G276</f>
        <v>2942000</v>
      </c>
      <c r="H271" s="134">
        <f>H272+H273+H275+H276</f>
        <v>2942000</v>
      </c>
      <c r="I271" s="134">
        <f>I272+I273+I275+I276</f>
        <v>0</v>
      </c>
      <c r="J271" s="134">
        <f>J272+J273+J275+J276</f>
        <v>0</v>
      </c>
      <c r="K271" s="52"/>
    </row>
    <row r="272" spans="1:10" s="45" customFormat="1" ht="69.75" customHeight="1">
      <c r="A272" s="65" t="s">
        <v>223</v>
      </c>
      <c r="B272" s="65" t="s">
        <v>224</v>
      </c>
      <c r="C272" s="65" t="s">
        <v>410</v>
      </c>
      <c r="D272" s="178" t="s">
        <v>510</v>
      </c>
      <c r="E272" s="38" t="s">
        <v>604</v>
      </c>
      <c r="F272" s="38" t="s">
        <v>12</v>
      </c>
      <c r="G272" s="156">
        <f>SUM(H272+I272)</f>
        <v>182000</v>
      </c>
      <c r="H272" s="110">
        <v>182000</v>
      </c>
      <c r="I272" s="123"/>
      <c r="J272" s="123"/>
    </row>
    <row r="273" spans="1:10" s="50" customFormat="1" ht="34.5" customHeight="1" hidden="1">
      <c r="A273" s="43" t="s">
        <v>280</v>
      </c>
      <c r="B273" s="43" t="s">
        <v>281</v>
      </c>
      <c r="C273" s="36"/>
      <c r="D273" s="321" t="s">
        <v>282</v>
      </c>
      <c r="E273" s="202" t="s">
        <v>621</v>
      </c>
      <c r="F273" s="202" t="s">
        <v>621</v>
      </c>
      <c r="G273" s="176">
        <f>G274</f>
        <v>100000</v>
      </c>
      <c r="H273" s="177">
        <f>H274</f>
        <v>100000</v>
      </c>
      <c r="I273" s="177">
        <f>I274</f>
        <v>0</v>
      </c>
      <c r="J273" s="177">
        <f>J274</f>
        <v>0</v>
      </c>
    </row>
    <row r="274" spans="1:10" s="45" customFormat="1" ht="37.5" customHeight="1">
      <c r="A274" s="44" t="s">
        <v>283</v>
      </c>
      <c r="B274" s="44" t="s">
        <v>284</v>
      </c>
      <c r="C274" s="39" t="s">
        <v>481</v>
      </c>
      <c r="D274" s="233" t="s">
        <v>245</v>
      </c>
      <c r="E274" s="31" t="s">
        <v>636</v>
      </c>
      <c r="F274" s="31" t="s">
        <v>98</v>
      </c>
      <c r="G274" s="156">
        <f>SUM(H274+I274)</f>
        <v>100000</v>
      </c>
      <c r="H274" s="119">
        <v>100000</v>
      </c>
      <c r="I274" s="113"/>
      <c r="J274" s="113">
        <f>I274</f>
        <v>0</v>
      </c>
    </row>
    <row r="275" spans="1:10" s="45" customFormat="1" ht="57" customHeight="1">
      <c r="A275" s="44" t="s">
        <v>285</v>
      </c>
      <c r="B275" s="44" t="s">
        <v>286</v>
      </c>
      <c r="C275" s="44" t="s">
        <v>481</v>
      </c>
      <c r="D275" s="178" t="s">
        <v>509</v>
      </c>
      <c r="E275" s="31" t="s">
        <v>622</v>
      </c>
      <c r="F275" s="410" t="s">
        <v>190</v>
      </c>
      <c r="G275" s="156">
        <f>SUM(H275+I275)</f>
        <v>110000</v>
      </c>
      <c r="H275" s="119">
        <v>110000</v>
      </c>
      <c r="I275" s="113"/>
      <c r="J275" s="113">
        <f>I275</f>
        <v>0</v>
      </c>
    </row>
    <row r="276" spans="1:10" s="50" customFormat="1" ht="22.5" customHeight="1" hidden="1">
      <c r="A276" s="43" t="s">
        <v>287</v>
      </c>
      <c r="B276" s="43" t="s">
        <v>288</v>
      </c>
      <c r="C276" s="36"/>
      <c r="D276" s="321" t="s">
        <v>289</v>
      </c>
      <c r="E276" s="202" t="s">
        <v>621</v>
      </c>
      <c r="F276" s="411"/>
      <c r="G276" s="176">
        <f>G277</f>
        <v>2550000</v>
      </c>
      <c r="H276" s="177">
        <f>H277</f>
        <v>2550000</v>
      </c>
      <c r="I276" s="177">
        <f>I277</f>
        <v>0</v>
      </c>
      <c r="J276" s="177">
        <f>J277</f>
        <v>0</v>
      </c>
    </row>
    <row r="277" spans="1:10" s="59" customFormat="1" ht="51" customHeight="1">
      <c r="A277" s="66">
        <v>2717693</v>
      </c>
      <c r="B277" s="65" t="s">
        <v>246</v>
      </c>
      <c r="C277" s="65" t="s">
        <v>438</v>
      </c>
      <c r="D277" s="234" t="s">
        <v>247</v>
      </c>
      <c r="E277" s="31" t="s">
        <v>637</v>
      </c>
      <c r="F277" s="31" t="s">
        <v>97</v>
      </c>
      <c r="G277" s="156">
        <f>SUM(H277+I277)</f>
        <v>2550000</v>
      </c>
      <c r="H277" s="119">
        <v>2550000</v>
      </c>
      <c r="I277" s="113"/>
      <c r="J277" s="113">
        <f>I277</f>
        <v>0</v>
      </c>
    </row>
    <row r="278" spans="1:10" s="59" customFormat="1" ht="24.75" customHeight="1">
      <c r="A278" s="71" t="s">
        <v>569</v>
      </c>
      <c r="B278" s="72"/>
      <c r="C278" s="72"/>
      <c r="D278" s="370" t="s">
        <v>471</v>
      </c>
      <c r="E278" s="371"/>
      <c r="F278" s="179" t="s">
        <v>621</v>
      </c>
      <c r="G278" s="168">
        <f>G279</f>
        <v>7422107.84</v>
      </c>
      <c r="H278" s="168">
        <f>H279</f>
        <v>151500</v>
      </c>
      <c r="I278" s="168">
        <f>I279</f>
        <v>7270607.84</v>
      </c>
      <c r="J278" s="168">
        <f>J279</f>
        <v>400000</v>
      </c>
    </row>
    <row r="279" spans="1:11" s="59" customFormat="1" ht="35.25" customHeight="1">
      <c r="A279" s="68" t="s">
        <v>570</v>
      </c>
      <c r="B279" s="69"/>
      <c r="C279" s="69"/>
      <c r="D279" s="372" t="s">
        <v>472</v>
      </c>
      <c r="E279" s="373"/>
      <c r="F279" s="181" t="s">
        <v>621</v>
      </c>
      <c r="G279" s="134">
        <f>G280+G281+G282+G283</f>
        <v>7422107.84</v>
      </c>
      <c r="H279" s="134">
        <f>H280+H281+H282+H283</f>
        <v>151500</v>
      </c>
      <c r="I279" s="134">
        <f>I280+I281+I282+I283</f>
        <v>7270607.84</v>
      </c>
      <c r="J279" s="134">
        <f>J280+J281+J282+J283</f>
        <v>400000</v>
      </c>
      <c r="K279" s="235"/>
    </row>
    <row r="280" spans="1:10" s="59" customFormat="1" ht="56.25" customHeight="1">
      <c r="A280" s="65" t="s">
        <v>225</v>
      </c>
      <c r="B280" s="65" t="s">
        <v>467</v>
      </c>
      <c r="C280" s="65" t="s">
        <v>410</v>
      </c>
      <c r="D280" s="178" t="s">
        <v>510</v>
      </c>
      <c r="E280" s="38" t="s">
        <v>604</v>
      </c>
      <c r="F280" s="38" t="s">
        <v>12</v>
      </c>
      <c r="G280" s="156">
        <f>SUM(H280+I280)</f>
        <v>151500</v>
      </c>
      <c r="H280" s="110">
        <v>151500</v>
      </c>
      <c r="I280" s="123"/>
      <c r="J280" s="123"/>
    </row>
    <row r="281" spans="1:10" s="59" customFormat="1" ht="56.25" customHeight="1">
      <c r="A281" s="65" t="s">
        <v>210</v>
      </c>
      <c r="B281" s="65" t="s">
        <v>208</v>
      </c>
      <c r="C281" s="44" t="s">
        <v>438</v>
      </c>
      <c r="D281" s="178" t="s">
        <v>508</v>
      </c>
      <c r="E281" s="38" t="s">
        <v>211</v>
      </c>
      <c r="F281" s="38" t="s">
        <v>212</v>
      </c>
      <c r="G281" s="156">
        <f>SUM(H281+I281)</f>
        <v>400000</v>
      </c>
      <c r="H281" s="110"/>
      <c r="I281" s="123">
        <v>400000</v>
      </c>
      <c r="J281" s="123">
        <f>I281</f>
        <v>400000</v>
      </c>
    </row>
    <row r="282" spans="1:10" s="59" customFormat="1" ht="39" customHeight="1" hidden="1">
      <c r="A282" s="44">
        <v>2818330</v>
      </c>
      <c r="B282" s="44">
        <v>8330</v>
      </c>
      <c r="C282" s="44" t="s">
        <v>474</v>
      </c>
      <c r="D282" s="178" t="s">
        <v>383</v>
      </c>
      <c r="E282" s="368" t="s">
        <v>638</v>
      </c>
      <c r="F282" s="31" t="s">
        <v>8</v>
      </c>
      <c r="G282" s="156">
        <f>SUM(H282+I282)</f>
        <v>0</v>
      </c>
      <c r="H282" s="119"/>
      <c r="I282" s="113"/>
      <c r="J282" s="113"/>
    </row>
    <row r="283" spans="1:10" s="59" customFormat="1" ht="51.75" customHeight="1">
      <c r="A283" s="44">
        <v>2818340</v>
      </c>
      <c r="B283" s="44">
        <v>8340</v>
      </c>
      <c r="C283" s="44" t="s">
        <v>474</v>
      </c>
      <c r="D283" s="178" t="s">
        <v>578</v>
      </c>
      <c r="E283" s="466"/>
      <c r="F283" s="31" t="s">
        <v>96</v>
      </c>
      <c r="G283" s="156">
        <f>SUM(H283+I283)</f>
        <v>6870607.84</v>
      </c>
      <c r="H283" s="119"/>
      <c r="I283" s="113">
        <f>5800000+1070607.84</f>
        <v>6870607.84</v>
      </c>
      <c r="J283" s="113"/>
    </row>
    <row r="284" spans="1:10" s="59" customFormat="1" ht="38.25" customHeight="1">
      <c r="A284" s="71" t="s">
        <v>226</v>
      </c>
      <c r="B284" s="72"/>
      <c r="C284" s="72"/>
      <c r="D284" s="370" t="s">
        <v>315</v>
      </c>
      <c r="E284" s="371"/>
      <c r="F284" s="179" t="s">
        <v>621</v>
      </c>
      <c r="G284" s="168">
        <f>G285</f>
        <v>272940</v>
      </c>
      <c r="H284" s="168">
        <f>H285</f>
        <v>272940</v>
      </c>
      <c r="I284" s="168">
        <f>I285</f>
        <v>0</v>
      </c>
      <c r="J284" s="168">
        <f>J285</f>
        <v>0</v>
      </c>
    </row>
    <row r="285" spans="1:11" s="59" customFormat="1" ht="34.5" customHeight="1">
      <c r="A285" s="68">
        <v>2910000</v>
      </c>
      <c r="B285" s="69"/>
      <c r="C285" s="69"/>
      <c r="D285" s="372" t="s">
        <v>478</v>
      </c>
      <c r="E285" s="373"/>
      <c r="F285" s="181" t="s">
        <v>621</v>
      </c>
      <c r="G285" s="134">
        <f>G286+G287+G288+G289</f>
        <v>272940</v>
      </c>
      <c r="H285" s="134">
        <f>H286+H287+H288+H289</f>
        <v>272940</v>
      </c>
      <c r="I285" s="134">
        <f>I286+I287+I288+I289</f>
        <v>0</v>
      </c>
      <c r="J285" s="134">
        <f>J286+J287+J288+J289</f>
        <v>0</v>
      </c>
      <c r="K285" s="235"/>
    </row>
    <row r="286" spans="1:11" s="59" customFormat="1" ht="62.25" customHeight="1">
      <c r="A286" s="65" t="s">
        <v>227</v>
      </c>
      <c r="B286" s="65" t="s">
        <v>467</v>
      </c>
      <c r="C286" s="65" t="s">
        <v>410</v>
      </c>
      <c r="D286" s="178" t="s">
        <v>510</v>
      </c>
      <c r="E286" s="38" t="s">
        <v>604</v>
      </c>
      <c r="F286" s="38" t="s">
        <v>12</v>
      </c>
      <c r="G286" s="156">
        <f>SUM(H286+I286)</f>
        <v>92000</v>
      </c>
      <c r="H286" s="110">
        <v>92000</v>
      </c>
      <c r="I286" s="123"/>
      <c r="J286" s="123"/>
      <c r="K286" s="235"/>
    </row>
    <row r="287" spans="1:11" s="59" customFormat="1" ht="65.25" customHeight="1">
      <c r="A287" s="44" t="s">
        <v>290</v>
      </c>
      <c r="B287" s="44" t="s">
        <v>291</v>
      </c>
      <c r="C287" s="39" t="s">
        <v>479</v>
      </c>
      <c r="D287" s="216" t="s">
        <v>353</v>
      </c>
      <c r="E287" s="38" t="s">
        <v>114</v>
      </c>
      <c r="F287" s="38" t="s">
        <v>95</v>
      </c>
      <c r="G287" s="156">
        <f>SUM(H287+I287)</f>
        <v>156000</v>
      </c>
      <c r="H287" s="110">
        <v>156000</v>
      </c>
      <c r="I287" s="113"/>
      <c r="J287" s="113">
        <f>I287</f>
        <v>0</v>
      </c>
      <c r="K287" s="224"/>
    </row>
    <row r="288" spans="1:10" s="59" customFormat="1" ht="51.75" customHeight="1">
      <c r="A288" s="44" t="s">
        <v>290</v>
      </c>
      <c r="B288" s="44" t="s">
        <v>291</v>
      </c>
      <c r="C288" s="39" t="s">
        <v>479</v>
      </c>
      <c r="D288" s="216" t="s">
        <v>292</v>
      </c>
      <c r="E288" s="31" t="s">
        <v>639</v>
      </c>
      <c r="F288" s="31" t="s">
        <v>94</v>
      </c>
      <c r="G288" s="156">
        <f>SUM(H288+I288)</f>
        <v>4940</v>
      </c>
      <c r="H288" s="119">
        <v>4940</v>
      </c>
      <c r="I288" s="113"/>
      <c r="J288" s="113">
        <f>I288</f>
        <v>0</v>
      </c>
    </row>
    <row r="289" spans="1:10" s="59" customFormat="1" ht="30" customHeight="1">
      <c r="A289" s="44" t="s">
        <v>236</v>
      </c>
      <c r="B289" s="44">
        <v>9770</v>
      </c>
      <c r="C289" s="44" t="s">
        <v>467</v>
      </c>
      <c r="D289" s="188" t="s">
        <v>237</v>
      </c>
      <c r="E289" s="368" t="s">
        <v>177</v>
      </c>
      <c r="F289" s="368" t="s">
        <v>93</v>
      </c>
      <c r="G289" s="156">
        <f>SUM(H289+I289)</f>
        <v>20000</v>
      </c>
      <c r="H289" s="119">
        <v>20000</v>
      </c>
      <c r="I289" s="113"/>
      <c r="J289" s="113"/>
    </row>
    <row r="290" spans="1:11" s="58" customFormat="1" ht="66" customHeight="1">
      <c r="A290" s="210"/>
      <c r="B290" s="210"/>
      <c r="C290" s="211"/>
      <c r="D290" s="96" t="s">
        <v>180</v>
      </c>
      <c r="E290" s="369"/>
      <c r="F290" s="369"/>
      <c r="G290" s="207">
        <f>H290+I290</f>
        <v>20000</v>
      </c>
      <c r="H290" s="209">
        <v>20000</v>
      </c>
      <c r="I290" s="213">
        <v>0</v>
      </c>
      <c r="J290" s="213">
        <v>0</v>
      </c>
      <c r="K290" s="184"/>
    </row>
    <row r="291" spans="1:10" s="59" customFormat="1" ht="27" customHeight="1">
      <c r="A291" s="71" t="s">
        <v>453</v>
      </c>
      <c r="B291" s="72"/>
      <c r="C291" s="72"/>
      <c r="D291" s="370" t="s">
        <v>573</v>
      </c>
      <c r="E291" s="371"/>
      <c r="F291" s="179" t="s">
        <v>621</v>
      </c>
      <c r="G291" s="168">
        <f>G292</f>
        <v>5887800</v>
      </c>
      <c r="H291" s="168">
        <f>H292</f>
        <v>2018800</v>
      </c>
      <c r="I291" s="168">
        <f>I292</f>
        <v>3869000</v>
      </c>
      <c r="J291" s="168">
        <f>J292</f>
        <v>3869000</v>
      </c>
    </row>
    <row r="292" spans="1:11" s="59" customFormat="1" ht="39" customHeight="1">
      <c r="A292" s="68" t="s">
        <v>454</v>
      </c>
      <c r="B292" s="69"/>
      <c r="C292" s="69"/>
      <c r="D292" s="372" t="s">
        <v>458</v>
      </c>
      <c r="E292" s="373"/>
      <c r="F292" s="181" t="s">
        <v>621</v>
      </c>
      <c r="G292" s="134">
        <f>G293+G294+G301+G302+G303+G304</f>
        <v>5887800</v>
      </c>
      <c r="H292" s="134">
        <f>H293+H294+H301+H302+H303+H304</f>
        <v>2018800</v>
      </c>
      <c r="I292" s="134">
        <f>I293+I294+I301+I302+I303+I304</f>
        <v>3869000</v>
      </c>
      <c r="J292" s="134">
        <f>J293+J294+J301+J302+J303+J304</f>
        <v>3869000</v>
      </c>
      <c r="K292" s="235"/>
    </row>
    <row r="293" spans="1:11" s="59" customFormat="1" ht="61.5" customHeight="1">
      <c r="A293" s="65" t="s">
        <v>228</v>
      </c>
      <c r="B293" s="65" t="s">
        <v>467</v>
      </c>
      <c r="C293" s="65" t="s">
        <v>410</v>
      </c>
      <c r="D293" s="178" t="s">
        <v>510</v>
      </c>
      <c r="E293" s="38" t="s">
        <v>604</v>
      </c>
      <c r="F293" s="38" t="s">
        <v>12</v>
      </c>
      <c r="G293" s="156">
        <f>SUM(H293+I293)</f>
        <v>143000</v>
      </c>
      <c r="H293" s="110">
        <v>143000</v>
      </c>
      <c r="I293" s="123"/>
      <c r="J293" s="123"/>
      <c r="K293" s="235"/>
    </row>
    <row r="294" spans="1:10" s="239" customFormat="1" ht="36" customHeight="1" hidden="1">
      <c r="A294" s="36" t="s">
        <v>293</v>
      </c>
      <c r="B294" s="36" t="s">
        <v>268</v>
      </c>
      <c r="C294" s="36"/>
      <c r="D294" s="321" t="s">
        <v>269</v>
      </c>
      <c r="E294" s="236" t="s">
        <v>621</v>
      </c>
      <c r="F294" s="236" t="s">
        <v>621</v>
      </c>
      <c r="G294" s="237">
        <f>G295+G296+G297+G298+G299+G300</f>
        <v>3619000</v>
      </c>
      <c r="H294" s="238">
        <f>H295+H296+H297+H298+H299+H300</f>
        <v>50000</v>
      </c>
      <c r="I294" s="238">
        <f>I295+I296+I297+I298+I299+I300</f>
        <v>3569000</v>
      </c>
      <c r="J294" s="238">
        <f>J295+J296+J297+J298+J299+J300</f>
        <v>3569000</v>
      </c>
    </row>
    <row r="295" spans="1:11" s="59" customFormat="1" ht="69" customHeight="1">
      <c r="A295" s="65" t="s">
        <v>238</v>
      </c>
      <c r="B295" s="65" t="s">
        <v>239</v>
      </c>
      <c r="C295" s="65" t="s">
        <v>241</v>
      </c>
      <c r="D295" s="234" t="s">
        <v>240</v>
      </c>
      <c r="E295" s="240" t="s">
        <v>640</v>
      </c>
      <c r="F295" s="240" t="s">
        <v>92</v>
      </c>
      <c r="G295" s="156">
        <f>SUM(H295+I295)</f>
        <v>1600000</v>
      </c>
      <c r="H295" s="241"/>
      <c r="I295" s="123">
        <v>1600000</v>
      </c>
      <c r="J295" s="123">
        <f>I295</f>
        <v>1600000</v>
      </c>
      <c r="K295" s="242">
        <f>G295+G296+G297</f>
        <v>3569000</v>
      </c>
    </row>
    <row r="296" spans="1:11" s="59" customFormat="1" ht="96" customHeight="1">
      <c r="A296" s="65" t="s">
        <v>238</v>
      </c>
      <c r="B296" s="65" t="s">
        <v>239</v>
      </c>
      <c r="C296" s="65" t="s">
        <v>241</v>
      </c>
      <c r="D296" s="234" t="s">
        <v>240</v>
      </c>
      <c r="E296" s="32" t="s">
        <v>158</v>
      </c>
      <c r="F296" s="32" t="s">
        <v>91</v>
      </c>
      <c r="G296" s="156">
        <f aca="true" t="shared" si="10" ref="G296:G305">SUM(H296+I296)</f>
        <v>800000</v>
      </c>
      <c r="H296" s="113"/>
      <c r="I296" s="123">
        <v>800000</v>
      </c>
      <c r="J296" s="123">
        <f aca="true" t="shared" si="11" ref="J296:J303">I296</f>
        <v>800000</v>
      </c>
      <c r="K296" s="185"/>
    </row>
    <row r="297" spans="1:11" s="59" customFormat="1" ht="75.75" customHeight="1">
      <c r="A297" s="65" t="s">
        <v>238</v>
      </c>
      <c r="B297" s="65" t="s">
        <v>239</v>
      </c>
      <c r="C297" s="65" t="s">
        <v>241</v>
      </c>
      <c r="D297" s="234" t="s">
        <v>240</v>
      </c>
      <c r="E297" s="32" t="s">
        <v>641</v>
      </c>
      <c r="F297" s="32" t="s">
        <v>90</v>
      </c>
      <c r="G297" s="156">
        <f>SUM(H297+I297)</f>
        <v>1169000</v>
      </c>
      <c r="H297" s="113"/>
      <c r="I297" s="123">
        <v>1169000</v>
      </c>
      <c r="J297" s="123">
        <f t="shared" si="11"/>
        <v>1169000</v>
      </c>
      <c r="K297" s="185"/>
    </row>
    <row r="298" spans="1:11" s="59" customFormat="1" ht="74.25" customHeight="1">
      <c r="A298" s="65" t="s">
        <v>242</v>
      </c>
      <c r="B298" s="65" t="s">
        <v>243</v>
      </c>
      <c r="C298" s="65" t="s">
        <v>241</v>
      </c>
      <c r="D298" s="216" t="s">
        <v>244</v>
      </c>
      <c r="E298" s="240" t="s">
        <v>640</v>
      </c>
      <c r="F298" s="240" t="s">
        <v>89</v>
      </c>
      <c r="G298" s="156">
        <f>SUM(H298+I298)</f>
        <v>22400</v>
      </c>
      <c r="H298" s="241">
        <v>22400</v>
      </c>
      <c r="I298" s="123"/>
      <c r="J298" s="123">
        <f t="shared" si="11"/>
        <v>0</v>
      </c>
      <c r="K298" s="242">
        <f>G298+G299+G300</f>
        <v>50000</v>
      </c>
    </row>
    <row r="299" spans="1:11" s="59" customFormat="1" ht="103.5" customHeight="1">
      <c r="A299" s="65" t="s">
        <v>242</v>
      </c>
      <c r="B299" s="65" t="s">
        <v>243</v>
      </c>
      <c r="C299" s="65" t="s">
        <v>241</v>
      </c>
      <c r="D299" s="216" t="s">
        <v>244</v>
      </c>
      <c r="E299" s="32" t="s">
        <v>189</v>
      </c>
      <c r="F299" s="32" t="s">
        <v>88</v>
      </c>
      <c r="G299" s="156">
        <f>SUM(H299+I299)</f>
        <v>11200</v>
      </c>
      <c r="H299" s="113">
        <v>11200</v>
      </c>
      <c r="I299" s="123"/>
      <c r="J299" s="123">
        <f t="shared" si="11"/>
        <v>0</v>
      </c>
      <c r="K299" s="185"/>
    </row>
    <row r="300" spans="1:11" s="59" customFormat="1" ht="73.5" customHeight="1">
      <c r="A300" s="65" t="s">
        <v>242</v>
      </c>
      <c r="B300" s="65" t="s">
        <v>243</v>
      </c>
      <c r="C300" s="65" t="s">
        <v>241</v>
      </c>
      <c r="D300" s="216" t="s">
        <v>244</v>
      </c>
      <c r="E300" s="32" t="s">
        <v>641</v>
      </c>
      <c r="F300" s="32" t="s">
        <v>87</v>
      </c>
      <c r="G300" s="156">
        <f>SUM(H300+I300)</f>
        <v>16400</v>
      </c>
      <c r="H300" s="113">
        <v>16400</v>
      </c>
      <c r="I300" s="123"/>
      <c r="J300" s="123">
        <f t="shared" si="11"/>
        <v>0</v>
      </c>
      <c r="K300" s="185"/>
    </row>
    <row r="301" spans="1:10" s="59" customFormat="1" ht="43.5" customHeight="1">
      <c r="A301" s="44">
        <v>3117130</v>
      </c>
      <c r="B301" s="44">
        <v>7130</v>
      </c>
      <c r="C301" s="44" t="s">
        <v>459</v>
      </c>
      <c r="D301" s="178" t="s">
        <v>574</v>
      </c>
      <c r="E301" s="31" t="s">
        <v>642</v>
      </c>
      <c r="F301" s="31" t="s">
        <v>86</v>
      </c>
      <c r="G301" s="156">
        <f t="shared" si="10"/>
        <v>107400</v>
      </c>
      <c r="H301" s="119">
        <v>107400</v>
      </c>
      <c r="I301" s="113"/>
      <c r="J301" s="123">
        <f t="shared" si="11"/>
        <v>0</v>
      </c>
    </row>
    <row r="302" spans="1:10" s="59" customFormat="1" ht="51" customHeight="1">
      <c r="A302" s="44">
        <v>3117650</v>
      </c>
      <c r="B302" s="44">
        <v>7650</v>
      </c>
      <c r="C302" s="44" t="s">
        <v>438</v>
      </c>
      <c r="D302" s="178" t="s">
        <v>354</v>
      </c>
      <c r="E302" s="31" t="s">
        <v>642</v>
      </c>
      <c r="F302" s="31" t="s">
        <v>85</v>
      </c>
      <c r="G302" s="156">
        <f t="shared" si="10"/>
        <v>100000</v>
      </c>
      <c r="H302" s="119"/>
      <c r="I302" s="113">
        <v>100000</v>
      </c>
      <c r="J302" s="123">
        <f t="shared" si="11"/>
        <v>100000</v>
      </c>
    </row>
    <row r="303" spans="1:14" s="59" customFormat="1" ht="87.75" customHeight="1">
      <c r="A303" s="44">
        <v>3117660</v>
      </c>
      <c r="B303" s="44">
        <v>7660</v>
      </c>
      <c r="C303" s="44" t="s">
        <v>438</v>
      </c>
      <c r="D303" s="178" t="s">
        <v>513</v>
      </c>
      <c r="E303" s="31" t="s">
        <v>642</v>
      </c>
      <c r="F303" s="31" t="s">
        <v>83</v>
      </c>
      <c r="G303" s="156">
        <f t="shared" si="10"/>
        <v>200000</v>
      </c>
      <c r="H303" s="119"/>
      <c r="I303" s="113">
        <v>200000</v>
      </c>
      <c r="J303" s="123">
        <f t="shared" si="11"/>
        <v>200000</v>
      </c>
      <c r="N303" s="235"/>
    </row>
    <row r="304" spans="1:10" s="239" customFormat="1" ht="24" customHeight="1" hidden="1">
      <c r="A304" s="36" t="s">
        <v>294</v>
      </c>
      <c r="B304" s="36" t="s">
        <v>288</v>
      </c>
      <c r="C304" s="36"/>
      <c r="D304" s="321" t="s">
        <v>289</v>
      </c>
      <c r="E304" s="236" t="s">
        <v>621</v>
      </c>
      <c r="F304" s="236" t="s">
        <v>621</v>
      </c>
      <c r="G304" s="237">
        <f>G305</f>
        <v>1718400</v>
      </c>
      <c r="H304" s="238">
        <f>H305</f>
        <v>1718400</v>
      </c>
      <c r="I304" s="238">
        <f>I305</f>
        <v>0</v>
      </c>
      <c r="J304" s="238">
        <f>J305</f>
        <v>0</v>
      </c>
    </row>
    <row r="305" spans="1:10" s="59" customFormat="1" ht="69" customHeight="1">
      <c r="A305" s="65" t="s">
        <v>295</v>
      </c>
      <c r="B305" s="65" t="s">
        <v>246</v>
      </c>
      <c r="C305" s="65" t="s">
        <v>438</v>
      </c>
      <c r="D305" s="234" t="s">
        <v>296</v>
      </c>
      <c r="E305" s="240" t="s">
        <v>643</v>
      </c>
      <c r="F305" s="240" t="s">
        <v>84</v>
      </c>
      <c r="G305" s="156">
        <f t="shared" si="10"/>
        <v>1718400</v>
      </c>
      <c r="H305" s="241">
        <v>1718400</v>
      </c>
      <c r="I305" s="123"/>
      <c r="J305" s="123"/>
    </row>
    <row r="306" spans="1:10" s="59" customFormat="1" ht="24" customHeight="1">
      <c r="A306" s="71" t="s">
        <v>229</v>
      </c>
      <c r="B306" s="72"/>
      <c r="C306" s="72"/>
      <c r="D306" s="370" t="s">
        <v>231</v>
      </c>
      <c r="E306" s="371"/>
      <c r="F306" s="179" t="s">
        <v>621</v>
      </c>
      <c r="G306" s="168">
        <f>G307</f>
        <v>3905000</v>
      </c>
      <c r="H306" s="168">
        <f>H307</f>
        <v>3905000</v>
      </c>
      <c r="I306" s="168">
        <f>I307</f>
        <v>0</v>
      </c>
      <c r="J306" s="168">
        <f>J307</f>
        <v>0</v>
      </c>
    </row>
    <row r="307" spans="1:10" s="59" customFormat="1" ht="26.25" customHeight="1">
      <c r="A307" s="68" t="s">
        <v>230</v>
      </c>
      <c r="B307" s="69"/>
      <c r="C307" s="69"/>
      <c r="D307" s="372" t="s">
        <v>455</v>
      </c>
      <c r="E307" s="373"/>
      <c r="F307" s="181" t="s">
        <v>621</v>
      </c>
      <c r="G307" s="134">
        <f>G308+G309</f>
        <v>3905000</v>
      </c>
      <c r="H307" s="134">
        <f>H308+H309</f>
        <v>3905000</v>
      </c>
      <c r="I307" s="134">
        <f>I308+I309</f>
        <v>0</v>
      </c>
      <c r="J307" s="134">
        <f>J308+J309</f>
        <v>0</v>
      </c>
    </row>
    <row r="308" spans="1:10" s="59" customFormat="1" ht="60" customHeight="1">
      <c r="A308" s="44" t="s">
        <v>232</v>
      </c>
      <c r="B308" s="65" t="s">
        <v>467</v>
      </c>
      <c r="C308" s="44" t="s">
        <v>410</v>
      </c>
      <c r="D308" s="178" t="s">
        <v>510</v>
      </c>
      <c r="E308" s="38" t="s">
        <v>604</v>
      </c>
      <c r="F308" s="38" t="s">
        <v>12</v>
      </c>
      <c r="G308" s="156">
        <f>SUM(H308+I308)</f>
        <v>3855000</v>
      </c>
      <c r="H308" s="110">
        <f>800000+55000+3000000</f>
        <v>3855000</v>
      </c>
      <c r="I308" s="113"/>
      <c r="J308" s="113"/>
    </row>
    <row r="309" spans="1:10" s="59" customFormat="1" ht="49.5" customHeight="1">
      <c r="A309" s="44">
        <v>3216030</v>
      </c>
      <c r="B309" s="44">
        <v>6030</v>
      </c>
      <c r="C309" s="44" t="s">
        <v>413</v>
      </c>
      <c r="D309" s="178" t="s">
        <v>30</v>
      </c>
      <c r="E309" s="40" t="s">
        <v>644</v>
      </c>
      <c r="F309" s="40" t="s">
        <v>0</v>
      </c>
      <c r="G309" s="243">
        <f>H309+I309</f>
        <v>50000</v>
      </c>
      <c r="H309" s="123">
        <v>50000</v>
      </c>
      <c r="I309" s="113">
        <v>0</v>
      </c>
      <c r="J309" s="113">
        <v>0</v>
      </c>
    </row>
    <row r="310" spans="1:10" s="59" customFormat="1" ht="24.75" customHeight="1">
      <c r="A310" s="71" t="s">
        <v>575</v>
      </c>
      <c r="B310" s="72"/>
      <c r="C310" s="72"/>
      <c r="D310" s="370" t="s">
        <v>576</v>
      </c>
      <c r="E310" s="371"/>
      <c r="F310" s="179" t="s">
        <v>621</v>
      </c>
      <c r="G310" s="168">
        <f>G311</f>
        <v>1130700</v>
      </c>
      <c r="H310" s="168">
        <f>H311</f>
        <v>1130700</v>
      </c>
      <c r="I310" s="168">
        <f>I311</f>
        <v>0</v>
      </c>
      <c r="J310" s="168">
        <f>J311</f>
        <v>0</v>
      </c>
    </row>
    <row r="311" spans="1:11" s="59" customFormat="1" ht="30" customHeight="1">
      <c r="A311" s="68" t="s">
        <v>577</v>
      </c>
      <c r="B311" s="69"/>
      <c r="C311" s="69"/>
      <c r="D311" s="372" t="s">
        <v>456</v>
      </c>
      <c r="E311" s="373"/>
      <c r="F311" s="181" t="s">
        <v>621</v>
      </c>
      <c r="G311" s="134">
        <f>G312+G313+G315</f>
        <v>1130700</v>
      </c>
      <c r="H311" s="134">
        <f>H312+H313+H315</f>
        <v>1130700</v>
      </c>
      <c r="I311" s="134">
        <f>I312+I313+I315</f>
        <v>0</v>
      </c>
      <c r="J311" s="134">
        <f>J312+J313+J315</f>
        <v>0</v>
      </c>
      <c r="K311" s="235"/>
    </row>
    <row r="312" spans="1:11" s="59" customFormat="1" ht="60" customHeight="1">
      <c r="A312" s="65" t="s">
        <v>233</v>
      </c>
      <c r="B312" s="65" t="s">
        <v>467</v>
      </c>
      <c r="C312" s="65" t="s">
        <v>410</v>
      </c>
      <c r="D312" s="178" t="s">
        <v>510</v>
      </c>
      <c r="E312" s="38" t="s">
        <v>304</v>
      </c>
      <c r="F312" s="38" t="s">
        <v>12</v>
      </c>
      <c r="G312" s="243">
        <f>H312+I312</f>
        <v>120000</v>
      </c>
      <c r="H312" s="110">
        <v>120000</v>
      </c>
      <c r="I312" s="123"/>
      <c r="J312" s="123"/>
      <c r="K312" s="235"/>
    </row>
    <row r="313" spans="1:10" s="59" customFormat="1" ht="69.75" customHeight="1">
      <c r="A313" s="65" t="s">
        <v>502</v>
      </c>
      <c r="B313" s="44">
        <v>6020</v>
      </c>
      <c r="C313" s="44" t="s">
        <v>413</v>
      </c>
      <c r="D313" s="178" t="s">
        <v>589</v>
      </c>
      <c r="E313" s="31" t="s">
        <v>379</v>
      </c>
      <c r="F313" s="31" t="s">
        <v>159</v>
      </c>
      <c r="G313" s="243">
        <f>H313+I313</f>
        <v>1000000</v>
      </c>
      <c r="H313" s="119">
        <v>1000000</v>
      </c>
      <c r="I313" s="123">
        <v>0</v>
      </c>
      <c r="J313" s="123">
        <v>0</v>
      </c>
    </row>
    <row r="314" spans="1:10" s="59" customFormat="1" ht="51" customHeight="1" hidden="1">
      <c r="A314" s="44" t="s">
        <v>402</v>
      </c>
      <c r="B314" s="44">
        <v>6310</v>
      </c>
      <c r="C314" s="44" t="s">
        <v>438</v>
      </c>
      <c r="D314" s="178" t="s">
        <v>505</v>
      </c>
      <c r="E314" s="38" t="s">
        <v>514</v>
      </c>
      <c r="F314" s="38"/>
      <c r="G314" s="243">
        <f>H314+I314</f>
        <v>0</v>
      </c>
      <c r="H314" s="110"/>
      <c r="I314" s="113"/>
      <c r="J314" s="113"/>
    </row>
    <row r="315" spans="1:10" s="59" customFormat="1" ht="58.5" customHeight="1">
      <c r="A315" s="44">
        <v>3417610</v>
      </c>
      <c r="B315" s="44">
        <v>7610</v>
      </c>
      <c r="C315" s="44" t="s">
        <v>457</v>
      </c>
      <c r="D315" s="178" t="s">
        <v>507</v>
      </c>
      <c r="E315" s="31" t="s">
        <v>1</v>
      </c>
      <c r="F315" s="31" t="s">
        <v>82</v>
      </c>
      <c r="G315" s="243">
        <f>H315+I315</f>
        <v>10700</v>
      </c>
      <c r="H315" s="119">
        <v>10700</v>
      </c>
      <c r="I315" s="113"/>
      <c r="J315" s="113">
        <f>I315</f>
        <v>0</v>
      </c>
    </row>
    <row r="316" spans="1:10" s="59" customFormat="1" ht="27" customHeight="1">
      <c r="A316" s="71">
        <v>3700000</v>
      </c>
      <c r="B316" s="72"/>
      <c r="C316" s="71"/>
      <c r="D316" s="374" t="s">
        <v>234</v>
      </c>
      <c r="E316" s="375"/>
      <c r="F316" s="244" t="s">
        <v>621</v>
      </c>
      <c r="G316" s="180">
        <f>G317</f>
        <v>4390800</v>
      </c>
      <c r="H316" s="180">
        <f>H317</f>
        <v>3845285</v>
      </c>
      <c r="I316" s="180">
        <f>I317</f>
        <v>545515</v>
      </c>
      <c r="J316" s="180">
        <f>J317</f>
        <v>545515</v>
      </c>
    </row>
    <row r="317" spans="1:10" s="245" customFormat="1" ht="27" customHeight="1">
      <c r="A317" s="68">
        <v>3710000</v>
      </c>
      <c r="B317" s="69"/>
      <c r="C317" s="68"/>
      <c r="D317" s="372" t="s">
        <v>35</v>
      </c>
      <c r="E317" s="373"/>
      <c r="F317" s="181" t="s">
        <v>621</v>
      </c>
      <c r="G317" s="134">
        <f>G318+G319+G321+G322+G323</f>
        <v>4390800</v>
      </c>
      <c r="H317" s="134">
        <f>H318+H319+H321+H322+H323</f>
        <v>3845285</v>
      </c>
      <c r="I317" s="134">
        <f>I318+I319+I321+I322+I323</f>
        <v>545515</v>
      </c>
      <c r="J317" s="134">
        <f>J318+J319+J321+J322+J323</f>
        <v>545515</v>
      </c>
    </row>
    <row r="318" spans="1:10" s="59" customFormat="1" ht="71.25" customHeight="1">
      <c r="A318" s="66">
        <v>3710180</v>
      </c>
      <c r="B318" s="65" t="s">
        <v>467</v>
      </c>
      <c r="C318" s="65" t="s">
        <v>410</v>
      </c>
      <c r="D318" s="178" t="s">
        <v>510</v>
      </c>
      <c r="E318" s="38" t="s">
        <v>604</v>
      </c>
      <c r="F318" s="38" t="s">
        <v>12</v>
      </c>
      <c r="G318" s="156">
        <f>SUM(H318+I318)</f>
        <v>140800</v>
      </c>
      <c r="H318" s="110">
        <v>140800</v>
      </c>
      <c r="I318" s="113"/>
      <c r="J318" s="113"/>
    </row>
    <row r="319" spans="1:10" s="59" customFormat="1" ht="36" customHeight="1">
      <c r="A319" s="44" t="s">
        <v>176</v>
      </c>
      <c r="B319" s="44">
        <v>9770</v>
      </c>
      <c r="C319" s="44" t="s">
        <v>467</v>
      </c>
      <c r="D319" s="188" t="s">
        <v>237</v>
      </c>
      <c r="E319" s="414" t="s">
        <v>182</v>
      </c>
      <c r="F319" s="414" t="s">
        <v>183</v>
      </c>
      <c r="G319" s="156">
        <f>SUM(H319+I319)</f>
        <v>50000</v>
      </c>
      <c r="H319" s="110">
        <v>50000</v>
      </c>
      <c r="I319" s="113"/>
      <c r="J319" s="113"/>
    </row>
    <row r="320" spans="1:11" s="58" customFormat="1" ht="49.5" customHeight="1">
      <c r="A320" s="210"/>
      <c r="B320" s="210"/>
      <c r="C320" s="211"/>
      <c r="D320" s="300" t="s">
        <v>181</v>
      </c>
      <c r="E320" s="415"/>
      <c r="F320" s="415"/>
      <c r="G320" s="207">
        <f>H320+I320</f>
        <v>50000</v>
      </c>
      <c r="H320" s="209">
        <v>50000</v>
      </c>
      <c r="I320" s="213"/>
      <c r="J320" s="213"/>
      <c r="K320" s="184"/>
    </row>
    <row r="321" spans="1:10" s="59" customFormat="1" ht="76.5" customHeight="1">
      <c r="A321" s="66" t="s">
        <v>178</v>
      </c>
      <c r="B321" s="65">
        <v>9800</v>
      </c>
      <c r="C321" s="65" t="s">
        <v>467</v>
      </c>
      <c r="D321" s="178" t="s">
        <v>179</v>
      </c>
      <c r="E321" s="38" t="s">
        <v>184</v>
      </c>
      <c r="F321" s="38" t="s">
        <v>183</v>
      </c>
      <c r="G321" s="156">
        <f>SUM(H321+I321)</f>
        <v>3300000</v>
      </c>
      <c r="H321" s="110">
        <f>1650000+1000000+200000</f>
        <v>2850000</v>
      </c>
      <c r="I321" s="113">
        <f>350000+100000</f>
        <v>450000</v>
      </c>
      <c r="J321" s="113">
        <f>I321</f>
        <v>450000</v>
      </c>
    </row>
    <row r="322" spans="1:10" s="59" customFormat="1" ht="87.75" customHeight="1">
      <c r="A322" s="66" t="s">
        <v>178</v>
      </c>
      <c r="B322" s="65">
        <v>9800</v>
      </c>
      <c r="C322" s="65" t="s">
        <v>467</v>
      </c>
      <c r="D322" s="178" t="s">
        <v>179</v>
      </c>
      <c r="E322" s="38" t="s">
        <v>639</v>
      </c>
      <c r="F322" s="38" t="s">
        <v>186</v>
      </c>
      <c r="G322" s="156">
        <f>SUM(H322+I322)</f>
        <v>500000</v>
      </c>
      <c r="H322" s="110">
        <v>500000</v>
      </c>
      <c r="I322" s="113"/>
      <c r="J322" s="113"/>
    </row>
    <row r="323" spans="1:11" s="59" customFormat="1" ht="161.25" customHeight="1">
      <c r="A323" s="66" t="s">
        <v>178</v>
      </c>
      <c r="B323" s="65">
        <v>9800</v>
      </c>
      <c r="C323" s="65" t="s">
        <v>467</v>
      </c>
      <c r="D323" s="178" t="s">
        <v>179</v>
      </c>
      <c r="E323" s="38" t="s">
        <v>185</v>
      </c>
      <c r="F323" s="38" t="s">
        <v>187</v>
      </c>
      <c r="G323" s="156">
        <f>SUM(H323+I323)</f>
        <v>400000</v>
      </c>
      <c r="H323" s="110">
        <f>104485+200000</f>
        <v>304485</v>
      </c>
      <c r="I323" s="113">
        <f>95515</f>
        <v>95515</v>
      </c>
      <c r="J323" s="113">
        <f>I323</f>
        <v>95515</v>
      </c>
      <c r="K323" s="235"/>
    </row>
    <row r="324" spans="1:10" s="45" customFormat="1" ht="36" customHeight="1">
      <c r="A324" s="71" t="s">
        <v>606</v>
      </c>
      <c r="B324" s="72"/>
      <c r="C324" s="72"/>
      <c r="D324" s="370" t="s">
        <v>316</v>
      </c>
      <c r="E324" s="371"/>
      <c r="F324" s="179" t="s">
        <v>621</v>
      </c>
      <c r="G324" s="168">
        <f>G325</f>
        <v>5853819</v>
      </c>
      <c r="H324" s="168">
        <f>H325</f>
        <v>5433319</v>
      </c>
      <c r="I324" s="168">
        <f>I325</f>
        <v>420500</v>
      </c>
      <c r="J324" s="168">
        <f>J325</f>
        <v>420500</v>
      </c>
    </row>
    <row r="325" spans="1:11" s="51" customFormat="1" ht="33.75" customHeight="1">
      <c r="A325" s="68" t="s">
        <v>605</v>
      </c>
      <c r="B325" s="69"/>
      <c r="C325" s="69"/>
      <c r="D325" s="372" t="s">
        <v>482</v>
      </c>
      <c r="E325" s="373"/>
      <c r="F325" s="181" t="s">
        <v>621</v>
      </c>
      <c r="G325" s="134">
        <f>G326+G327+G328+G330+G331</f>
        <v>5853819</v>
      </c>
      <c r="H325" s="134">
        <f>H326+H327+H328+H330+H331</f>
        <v>5433319</v>
      </c>
      <c r="I325" s="134">
        <f>I326+I327+I328+I330+I331</f>
        <v>420500</v>
      </c>
      <c r="J325" s="134">
        <f>J326+J327+J328+J330+J331</f>
        <v>420500</v>
      </c>
      <c r="K325" s="186"/>
    </row>
    <row r="326" spans="1:11" s="45" customFormat="1" ht="66.75" customHeight="1">
      <c r="A326" s="44" t="s">
        <v>607</v>
      </c>
      <c r="B326" s="39" t="s">
        <v>467</v>
      </c>
      <c r="C326" s="44" t="s">
        <v>410</v>
      </c>
      <c r="D326" s="178" t="s">
        <v>510</v>
      </c>
      <c r="E326" s="38" t="s">
        <v>604</v>
      </c>
      <c r="F326" s="38" t="s">
        <v>12</v>
      </c>
      <c r="G326" s="156">
        <f>SUM(H326+I326)</f>
        <v>222000</v>
      </c>
      <c r="H326" s="110">
        <v>222000</v>
      </c>
      <c r="I326" s="113"/>
      <c r="J326" s="113">
        <f>I326</f>
        <v>0</v>
      </c>
      <c r="K326" s="52"/>
    </row>
    <row r="327" spans="1:10" s="45" customFormat="1" ht="76.5" customHeight="1">
      <c r="A327" s="44" t="s">
        <v>607</v>
      </c>
      <c r="B327" s="39" t="s">
        <v>467</v>
      </c>
      <c r="C327" s="44" t="s">
        <v>410</v>
      </c>
      <c r="D327" s="178" t="s">
        <v>511</v>
      </c>
      <c r="E327" s="94" t="s">
        <v>306</v>
      </c>
      <c r="F327" s="94" t="s">
        <v>13</v>
      </c>
      <c r="G327" s="157">
        <f>SUM(H327+I327)</f>
        <v>952419</v>
      </c>
      <c r="H327" s="113">
        <v>952419</v>
      </c>
      <c r="I327" s="113"/>
      <c r="J327" s="113">
        <f>I327</f>
        <v>0</v>
      </c>
    </row>
    <row r="328" spans="1:10" s="86" customFormat="1" ht="33.75" customHeight="1" hidden="1">
      <c r="A328" s="246" t="s">
        <v>400</v>
      </c>
      <c r="B328" s="246"/>
      <c r="C328" s="246" t="s">
        <v>255</v>
      </c>
      <c r="D328" s="322" t="s">
        <v>504</v>
      </c>
      <c r="E328" s="202" t="s">
        <v>621</v>
      </c>
      <c r="F328" s="202" t="s">
        <v>621</v>
      </c>
      <c r="G328" s="176">
        <f>G329</f>
        <v>1000000</v>
      </c>
      <c r="H328" s="177">
        <f>H329</f>
        <v>1000000</v>
      </c>
      <c r="I328" s="177">
        <f>I329</f>
        <v>0</v>
      </c>
      <c r="J328" s="177">
        <f>J329</f>
        <v>0</v>
      </c>
    </row>
    <row r="329" spans="1:11" s="49" customFormat="1" ht="61.5" customHeight="1">
      <c r="A329" s="247">
        <v>4113133</v>
      </c>
      <c r="B329" s="247">
        <v>1040</v>
      </c>
      <c r="C329" s="247">
        <v>3133</v>
      </c>
      <c r="D329" s="203" t="s">
        <v>473</v>
      </c>
      <c r="E329" s="40" t="s">
        <v>401</v>
      </c>
      <c r="F329" s="248" t="s">
        <v>188</v>
      </c>
      <c r="G329" s="249">
        <f>H329+I329</f>
        <v>1000000</v>
      </c>
      <c r="H329" s="250">
        <v>1000000</v>
      </c>
      <c r="I329" s="123"/>
      <c r="J329" s="123"/>
      <c r="K329" s="74"/>
    </row>
    <row r="330" spans="1:10" s="45" customFormat="1" ht="50.25" customHeight="1">
      <c r="A330" s="44">
        <v>4113210</v>
      </c>
      <c r="B330" s="44">
        <v>3210</v>
      </c>
      <c r="C330" s="44" t="s">
        <v>411</v>
      </c>
      <c r="D330" s="178" t="s">
        <v>412</v>
      </c>
      <c r="E330" s="251" t="s">
        <v>2</v>
      </c>
      <c r="F330" s="38" t="s">
        <v>0</v>
      </c>
      <c r="G330" s="249">
        <f>H330+I330</f>
        <v>40300</v>
      </c>
      <c r="H330" s="110">
        <v>40300</v>
      </c>
      <c r="I330" s="110"/>
      <c r="J330" s="110"/>
    </row>
    <row r="331" spans="1:10" s="45" customFormat="1" ht="50.25" customHeight="1">
      <c r="A331" s="44">
        <v>4116030</v>
      </c>
      <c r="B331" s="44">
        <v>6030</v>
      </c>
      <c r="C331" s="44" t="s">
        <v>413</v>
      </c>
      <c r="D331" s="178" t="s">
        <v>30</v>
      </c>
      <c r="E331" s="40" t="s">
        <v>3</v>
      </c>
      <c r="F331" s="40" t="s">
        <v>0</v>
      </c>
      <c r="G331" s="243">
        <f>H331+I331</f>
        <v>3639100</v>
      </c>
      <c r="H331" s="123">
        <v>3218600</v>
      </c>
      <c r="I331" s="123">
        <v>420500</v>
      </c>
      <c r="J331" s="123">
        <v>420500</v>
      </c>
    </row>
    <row r="332" spans="1:10" s="45" customFormat="1" ht="33" customHeight="1">
      <c r="A332" s="71" t="s">
        <v>608</v>
      </c>
      <c r="B332" s="72"/>
      <c r="C332" s="72"/>
      <c r="D332" s="370" t="s">
        <v>316</v>
      </c>
      <c r="E332" s="371"/>
      <c r="F332" s="179" t="s">
        <v>621</v>
      </c>
      <c r="G332" s="252">
        <f>G333</f>
        <v>3504705.7</v>
      </c>
      <c r="H332" s="252">
        <f>H333</f>
        <v>3306814</v>
      </c>
      <c r="I332" s="252">
        <f>I333</f>
        <v>197891.7</v>
      </c>
      <c r="J332" s="252">
        <f>J333</f>
        <v>197891.7</v>
      </c>
    </row>
    <row r="333" spans="1:10" s="51" customFormat="1" ht="33" customHeight="1">
      <c r="A333" s="68">
        <v>4210000</v>
      </c>
      <c r="B333" s="69"/>
      <c r="C333" s="69"/>
      <c r="D333" s="372" t="s">
        <v>483</v>
      </c>
      <c r="E333" s="373"/>
      <c r="F333" s="181" t="s">
        <v>621</v>
      </c>
      <c r="G333" s="134">
        <f>G334+G335+G336+G337+G339</f>
        <v>3504705.7</v>
      </c>
      <c r="H333" s="134">
        <f>H334+H335+H336+H337+H339</f>
        <v>3306814</v>
      </c>
      <c r="I333" s="134">
        <f>I334+I335+I336+I337+I339</f>
        <v>197891.7</v>
      </c>
      <c r="J333" s="134">
        <f>J334+J335+J336+J337+J339</f>
        <v>197891.7</v>
      </c>
    </row>
    <row r="334" spans="1:10" s="45" customFormat="1" ht="63" customHeight="1">
      <c r="A334" s="44" t="s">
        <v>610</v>
      </c>
      <c r="B334" s="39" t="s">
        <v>467</v>
      </c>
      <c r="C334" s="44" t="s">
        <v>410</v>
      </c>
      <c r="D334" s="178" t="s">
        <v>510</v>
      </c>
      <c r="E334" s="38" t="s">
        <v>304</v>
      </c>
      <c r="F334" s="38" t="s">
        <v>12</v>
      </c>
      <c r="G334" s="156">
        <f>SUM(H334+I334)</f>
        <v>215000</v>
      </c>
      <c r="H334" s="110">
        <v>215000</v>
      </c>
      <c r="I334" s="113"/>
      <c r="J334" s="113"/>
    </row>
    <row r="335" spans="1:10" s="45" customFormat="1" ht="50.25" customHeight="1">
      <c r="A335" s="44" t="s">
        <v>610</v>
      </c>
      <c r="B335" s="39" t="s">
        <v>467</v>
      </c>
      <c r="C335" s="44" t="s">
        <v>410</v>
      </c>
      <c r="D335" s="178" t="s">
        <v>511</v>
      </c>
      <c r="E335" s="94" t="s">
        <v>306</v>
      </c>
      <c r="F335" s="94" t="s">
        <v>14</v>
      </c>
      <c r="G335" s="156">
        <f>SUM(H335+I335)</f>
        <v>757300</v>
      </c>
      <c r="H335" s="113">
        <v>757300</v>
      </c>
      <c r="I335" s="113"/>
      <c r="J335" s="113"/>
    </row>
    <row r="336" spans="1:10" s="45" customFormat="1" ht="37.5" customHeight="1">
      <c r="A336" s="44">
        <v>4213210</v>
      </c>
      <c r="B336" s="44">
        <v>3210</v>
      </c>
      <c r="C336" s="44" t="s">
        <v>411</v>
      </c>
      <c r="D336" s="178" t="s">
        <v>412</v>
      </c>
      <c r="E336" s="38" t="s">
        <v>4</v>
      </c>
      <c r="F336" s="38" t="s">
        <v>0</v>
      </c>
      <c r="G336" s="249">
        <f>H336+I336</f>
        <v>19300</v>
      </c>
      <c r="H336" s="110">
        <v>19300</v>
      </c>
      <c r="I336" s="110"/>
      <c r="J336" s="110"/>
    </row>
    <row r="337" spans="1:10" s="50" customFormat="1" ht="55.5" customHeight="1" hidden="1">
      <c r="A337" s="43">
        <v>4216010</v>
      </c>
      <c r="B337" s="43">
        <v>6010</v>
      </c>
      <c r="C337" s="36"/>
      <c r="D337" s="271" t="s">
        <v>587</v>
      </c>
      <c r="E337" s="202" t="s">
        <v>621</v>
      </c>
      <c r="F337" s="202" t="s">
        <v>621</v>
      </c>
      <c r="G337" s="176">
        <f>G338</f>
        <v>372805.7</v>
      </c>
      <c r="H337" s="177">
        <f>H338</f>
        <v>174914</v>
      </c>
      <c r="I337" s="177">
        <f>I338</f>
        <v>197891.7</v>
      </c>
      <c r="J337" s="177">
        <f>J338</f>
        <v>197891.7</v>
      </c>
    </row>
    <row r="338" spans="1:10" s="45" customFormat="1" ht="54.75" customHeight="1">
      <c r="A338" s="44">
        <v>4216017</v>
      </c>
      <c r="B338" s="44">
        <v>6017</v>
      </c>
      <c r="C338" s="39" t="s">
        <v>413</v>
      </c>
      <c r="D338" s="178" t="s">
        <v>307</v>
      </c>
      <c r="E338" s="40" t="s">
        <v>5</v>
      </c>
      <c r="F338" s="40" t="s">
        <v>0</v>
      </c>
      <c r="G338" s="243">
        <f>H338+I338</f>
        <v>372805.7</v>
      </c>
      <c r="H338" s="123">
        <f>170000+4914</f>
        <v>174914</v>
      </c>
      <c r="I338" s="123">
        <v>197891.7</v>
      </c>
      <c r="J338" s="123">
        <v>197891.7</v>
      </c>
    </row>
    <row r="339" spans="1:10" s="45" customFormat="1" ht="52.5" customHeight="1">
      <c r="A339" s="44">
        <v>4216030</v>
      </c>
      <c r="B339" s="44">
        <v>6030</v>
      </c>
      <c r="C339" s="44" t="s">
        <v>413</v>
      </c>
      <c r="D339" s="178" t="s">
        <v>30</v>
      </c>
      <c r="E339" s="40" t="s">
        <v>5</v>
      </c>
      <c r="F339" s="40" t="s">
        <v>0</v>
      </c>
      <c r="G339" s="243">
        <f>H339+I339</f>
        <v>2140300</v>
      </c>
      <c r="H339" s="123">
        <f>2040300-50000+150000</f>
        <v>2140300</v>
      </c>
      <c r="I339" s="123">
        <v>0</v>
      </c>
      <c r="J339" s="123">
        <v>0</v>
      </c>
    </row>
    <row r="340" spans="1:10" s="45" customFormat="1" ht="38.25" customHeight="1">
      <c r="A340" s="71" t="s">
        <v>609</v>
      </c>
      <c r="B340" s="72"/>
      <c r="C340" s="72"/>
      <c r="D340" s="370" t="s">
        <v>316</v>
      </c>
      <c r="E340" s="371"/>
      <c r="F340" s="179" t="s">
        <v>621</v>
      </c>
      <c r="G340" s="252">
        <f>G341</f>
        <v>2984270</v>
      </c>
      <c r="H340" s="252">
        <f>H341</f>
        <v>2984270</v>
      </c>
      <c r="I340" s="252">
        <f>I341</f>
        <v>0</v>
      </c>
      <c r="J340" s="252">
        <f>J341</f>
        <v>0</v>
      </c>
    </row>
    <row r="341" spans="1:11" s="51" customFormat="1" ht="27" customHeight="1">
      <c r="A341" s="68">
        <v>4310000</v>
      </c>
      <c r="B341" s="69"/>
      <c r="C341" s="69"/>
      <c r="D341" s="372" t="s">
        <v>484</v>
      </c>
      <c r="E341" s="373"/>
      <c r="F341" s="181" t="s">
        <v>621</v>
      </c>
      <c r="G341" s="134">
        <f>G342+G343+G344+G345</f>
        <v>2984270</v>
      </c>
      <c r="H341" s="134">
        <f>H342+H343+H344+H345</f>
        <v>2984270</v>
      </c>
      <c r="I341" s="134">
        <f>I342+I343+I344+I345</f>
        <v>0</v>
      </c>
      <c r="J341" s="134">
        <f>J342+J343+J344+J345</f>
        <v>0</v>
      </c>
      <c r="K341" s="186"/>
    </row>
    <row r="342" spans="1:10" s="45" customFormat="1" ht="70.5" customHeight="1">
      <c r="A342" s="44" t="s">
        <v>611</v>
      </c>
      <c r="B342" s="39" t="s">
        <v>467</v>
      </c>
      <c r="C342" s="44" t="s">
        <v>410</v>
      </c>
      <c r="D342" s="178" t="s">
        <v>510</v>
      </c>
      <c r="E342" s="38" t="s">
        <v>604</v>
      </c>
      <c r="F342" s="38" t="s">
        <v>12</v>
      </c>
      <c r="G342" s="156">
        <f>SUM(H342+I342)</f>
        <v>209600</v>
      </c>
      <c r="H342" s="110">
        <v>209600</v>
      </c>
      <c r="I342" s="113"/>
      <c r="J342" s="123">
        <f>I342</f>
        <v>0</v>
      </c>
    </row>
    <row r="343" spans="1:10" s="45" customFormat="1" ht="64.5" customHeight="1">
      <c r="A343" s="44" t="s">
        <v>611</v>
      </c>
      <c r="B343" s="39" t="s">
        <v>467</v>
      </c>
      <c r="C343" s="44" t="s">
        <v>410</v>
      </c>
      <c r="D343" s="178" t="s">
        <v>511</v>
      </c>
      <c r="E343" s="94" t="s">
        <v>306</v>
      </c>
      <c r="F343" s="94" t="s">
        <v>15</v>
      </c>
      <c r="G343" s="156">
        <f>SUM(H343+I343)</f>
        <v>638470</v>
      </c>
      <c r="H343" s="113">
        <v>638470</v>
      </c>
      <c r="I343" s="113"/>
      <c r="J343" s="123">
        <f>I343</f>
        <v>0</v>
      </c>
    </row>
    <row r="344" spans="1:10" s="45" customFormat="1" ht="51" customHeight="1">
      <c r="A344" s="44">
        <v>4313210</v>
      </c>
      <c r="B344" s="44">
        <v>3210</v>
      </c>
      <c r="C344" s="44" t="s">
        <v>411</v>
      </c>
      <c r="D344" s="178" t="s">
        <v>412</v>
      </c>
      <c r="E344" s="38" t="s">
        <v>6</v>
      </c>
      <c r="F344" s="38" t="s">
        <v>0</v>
      </c>
      <c r="G344" s="156">
        <f>SUM(H344+I344)</f>
        <v>73700</v>
      </c>
      <c r="H344" s="110">
        <v>73700</v>
      </c>
      <c r="I344" s="110"/>
      <c r="J344" s="110"/>
    </row>
    <row r="345" spans="1:10" s="45" customFormat="1" ht="48.75" customHeight="1">
      <c r="A345" s="44">
        <v>4316030</v>
      </c>
      <c r="B345" s="44">
        <v>6030</v>
      </c>
      <c r="C345" s="44" t="s">
        <v>413</v>
      </c>
      <c r="D345" s="178" t="s">
        <v>30</v>
      </c>
      <c r="E345" s="38" t="s">
        <v>6</v>
      </c>
      <c r="F345" s="38" t="s">
        <v>0</v>
      </c>
      <c r="G345" s="243">
        <f>H345+I345</f>
        <v>2062500</v>
      </c>
      <c r="H345" s="123">
        <v>2062500</v>
      </c>
      <c r="I345" s="123"/>
      <c r="J345" s="123">
        <f>I345</f>
        <v>0</v>
      </c>
    </row>
    <row r="346" spans="1:16" s="51" customFormat="1" ht="38.25" customHeight="1">
      <c r="A346" s="13" t="s">
        <v>350</v>
      </c>
      <c r="B346" s="13" t="s">
        <v>350</v>
      </c>
      <c r="C346" s="13" t="s">
        <v>350</v>
      </c>
      <c r="D346" s="323" t="s">
        <v>351</v>
      </c>
      <c r="E346" s="34" t="s">
        <v>350</v>
      </c>
      <c r="F346" s="34" t="s">
        <v>350</v>
      </c>
      <c r="G346" s="273">
        <f>H346+I346</f>
        <v>831927986.45</v>
      </c>
      <c r="H346" s="273">
        <f>H15+H21+H24+H100+H124+H181+H201+H252+H256+H262+H270+H278+H284+H291+H306+H310+H316+H324+H332+H340</f>
        <v>570126594.11</v>
      </c>
      <c r="I346" s="273">
        <f>I15+I21+I24+I100+I124+I181+I201+I252+I256+I262+I270+I278+I284+I291+I306+I310+I316+I324+I332+I340</f>
        <v>261801392.34</v>
      </c>
      <c r="J346" s="273">
        <f>J15+J21+J24+J100+J124+J181+J201+J252+J256+J262+J270+J278+J284+J291+J306+J310+J316+J324+J332+J340</f>
        <v>250432184.5</v>
      </c>
      <c r="K346" s="405"/>
      <c r="L346" s="406"/>
      <c r="M346" s="406"/>
      <c r="N346" s="406"/>
      <c r="O346" s="406"/>
      <c r="P346" s="406"/>
    </row>
    <row r="347" spans="1:14" s="45" customFormat="1" ht="39.75" customHeight="1">
      <c r="A347" s="287"/>
      <c r="B347" s="90"/>
      <c r="C347" s="90"/>
      <c r="D347" s="324"/>
      <c r="E347" s="41"/>
      <c r="F347" s="41"/>
      <c r="G347" s="170"/>
      <c r="H347" s="170"/>
      <c r="I347" s="170"/>
      <c r="J347" s="170"/>
      <c r="K347" s="73"/>
      <c r="L347" s="73"/>
      <c r="M347" s="73"/>
      <c r="N347" s="73"/>
    </row>
    <row r="348" spans="1:13" s="60" customFormat="1" ht="84" customHeight="1">
      <c r="A348" s="463" t="s">
        <v>435</v>
      </c>
      <c r="B348" s="463"/>
      <c r="C348" s="463"/>
      <c r="D348" s="463"/>
      <c r="E348" s="463"/>
      <c r="F348" s="100"/>
      <c r="G348" s="171"/>
      <c r="H348" s="464" t="s">
        <v>352</v>
      </c>
      <c r="I348" s="465"/>
      <c r="J348" s="465"/>
      <c r="M348" s="196"/>
    </row>
    <row r="349" spans="1:13" s="45" customFormat="1" ht="23.25" customHeight="1">
      <c r="A349" s="462"/>
      <c r="B349" s="462"/>
      <c r="C349" s="462"/>
      <c r="D349" s="462"/>
      <c r="E349" s="4"/>
      <c r="F349" s="4"/>
      <c r="G349" s="169"/>
      <c r="H349" s="139"/>
      <c r="I349" s="425"/>
      <c r="J349" s="425"/>
      <c r="M349" s="197"/>
    </row>
    <row r="352" ht="23.25">
      <c r="M352" s="197"/>
    </row>
    <row r="353" ht="18.75" customHeight="1"/>
    <row r="354" spans="6:7" ht="18.75" customHeight="1">
      <c r="F354" s="339" t="s">
        <v>48</v>
      </c>
      <c r="G354" s="337">
        <f>SUM(H17+H19+H20+H23+H26+H102+H126+H145+H158+H170+H183+H190+H194+H198+H203+H254+H258+H264+H272+H280+H286+H293+H308+H312+H318+H326+H327+H334+H335+H342+H343)</f>
        <v>10770485</v>
      </c>
    </row>
    <row r="355" spans="6:7" ht="18.75" customHeight="1">
      <c r="F355" s="341" t="s">
        <v>100</v>
      </c>
      <c r="G355" s="22"/>
    </row>
    <row r="356" spans="6:7" ht="18.75" customHeight="1">
      <c r="F356" s="339" t="s">
        <v>50</v>
      </c>
      <c r="G356" s="337">
        <f>G58+G60+G61+G127+G132+G135+G136+G137+G139+G146+G148+G150+G151+G153+G159+G161+G163+G164+G166+G171+G173+G175+G176+G178+G184+G187+G191+G195+G199+G204+G328+G330+G336+G344</f>
        <v>61986669.79</v>
      </c>
    </row>
    <row r="357" spans="6:7" ht="18.75" customHeight="1">
      <c r="F357" s="339" t="s">
        <v>51</v>
      </c>
      <c r="G357" s="337">
        <f>G103+G105+G107+G108+G111+G112+G115+G116</f>
        <v>46947046</v>
      </c>
    </row>
    <row r="358" spans="6:7" ht="18.75" customHeight="1">
      <c r="F358" s="339" t="s">
        <v>52</v>
      </c>
      <c r="G358" s="337">
        <f>H64+H73</f>
        <v>4109100</v>
      </c>
    </row>
    <row r="359" spans="6:7" ht="18.75" customHeight="1">
      <c r="F359" s="341" t="s">
        <v>102</v>
      </c>
      <c r="G359" s="342"/>
    </row>
    <row r="360" spans="6:10" ht="20.25" customHeight="1">
      <c r="F360" s="338" t="s">
        <v>47</v>
      </c>
      <c r="G360" s="340">
        <f>G93+G94+G95+G98+G99+G123+G204+G207+G209+G210+G212+G214+G215+G217+G218+G219+G220+G222+G223+G224+G225+G227+G228+G229+G230+G231+G233+G235+G237+G238+G239+G241+G242+G243+G244+G245+G246+G248+G249+G250+G251+G255+G266+G268+G269+G274+G275+G277+G281+G283+G287+G288+G289+G295+G296+G297+G298+G299+G300+G301+G302+G303+G305+G309+G313+G315+G319+G321+G322+G323+G330+G331+G336+G338+G339+G344+G345</f>
        <v>592777686.5400001</v>
      </c>
      <c r="I360" s="61"/>
      <c r="J360" s="61"/>
    </row>
    <row r="361" spans="6:10" ht="18.75" customHeight="1">
      <c r="F361" s="4" t="s">
        <v>101</v>
      </c>
      <c r="G361" s="169">
        <f>SUM(G354:G360)</f>
        <v>716590987.33</v>
      </c>
      <c r="I361" s="61"/>
      <c r="J361" s="61"/>
    </row>
    <row r="362" spans="6:7" ht="17.25">
      <c r="F362" s="343" t="s">
        <v>103</v>
      </c>
      <c r="G362" s="344">
        <f>G361-G346</f>
        <v>-115336999.12</v>
      </c>
    </row>
    <row r="363" spans="9:10" ht="15">
      <c r="I363" s="61"/>
      <c r="J363" s="61"/>
    </row>
    <row r="364" spans="9:10" ht="15">
      <c r="I364" s="61"/>
      <c r="J364" s="61"/>
    </row>
    <row r="366" spans="9:10" ht="15">
      <c r="I366" s="61"/>
      <c r="J366" s="61"/>
    </row>
  </sheetData>
  <sheetProtection/>
  <mergeCells count="144">
    <mergeCell ref="F75:F92"/>
    <mergeCell ref="F117:F118"/>
    <mergeCell ref="D193:E193"/>
    <mergeCell ref="E184:E188"/>
    <mergeCell ref="E128:E131"/>
    <mergeCell ref="D169:E169"/>
    <mergeCell ref="D100:E100"/>
    <mergeCell ref="D174:D175"/>
    <mergeCell ref="E75:E92"/>
    <mergeCell ref="D197:E197"/>
    <mergeCell ref="G5:J5"/>
    <mergeCell ref="F64:F71"/>
    <mergeCell ref="H10:H13"/>
    <mergeCell ref="F46:F49"/>
    <mergeCell ref="F112:F116"/>
    <mergeCell ref="E172:E173"/>
    <mergeCell ref="D16:E16"/>
    <mergeCell ref="E27:E44"/>
    <mergeCell ref="D181:E181"/>
    <mergeCell ref="A179:A180"/>
    <mergeCell ref="A149:A150"/>
    <mergeCell ref="A155:A156"/>
    <mergeCell ref="B155:B156"/>
    <mergeCell ref="A167:A168"/>
    <mergeCell ref="B167:B168"/>
    <mergeCell ref="A162:A163"/>
    <mergeCell ref="B179:B180"/>
    <mergeCell ref="A174:A175"/>
    <mergeCell ref="B174:B175"/>
    <mergeCell ref="H348:J348"/>
    <mergeCell ref="D341:E341"/>
    <mergeCell ref="D279:E279"/>
    <mergeCell ref="D340:E340"/>
    <mergeCell ref="D310:E310"/>
    <mergeCell ref="D316:E316"/>
    <mergeCell ref="D292:E292"/>
    <mergeCell ref="D291:E291"/>
    <mergeCell ref="E282:E283"/>
    <mergeCell ref="D285:E285"/>
    <mergeCell ref="A349:D349"/>
    <mergeCell ref="A348:E348"/>
    <mergeCell ref="D333:E333"/>
    <mergeCell ref="D306:E306"/>
    <mergeCell ref="D324:E324"/>
    <mergeCell ref="D332:E332"/>
    <mergeCell ref="D311:E311"/>
    <mergeCell ref="E319:E320"/>
    <mergeCell ref="D307:E307"/>
    <mergeCell ref="D317:E317"/>
    <mergeCell ref="E64:E71"/>
    <mergeCell ref="E46:E49"/>
    <mergeCell ref="E50:E53"/>
    <mergeCell ref="D24:E24"/>
    <mergeCell ref="D22:E22"/>
    <mergeCell ref="D25:E25"/>
    <mergeCell ref="D21:E21"/>
    <mergeCell ref="F19:F20"/>
    <mergeCell ref="I10:J12"/>
    <mergeCell ref="E10:E13"/>
    <mergeCell ref="F10:F13"/>
    <mergeCell ref="D15:E15"/>
    <mergeCell ref="D10:D13"/>
    <mergeCell ref="E19:E20"/>
    <mergeCell ref="D325:E325"/>
    <mergeCell ref="F128:F131"/>
    <mergeCell ref="F134:F135"/>
    <mergeCell ref="F103:F111"/>
    <mergeCell ref="D141:D143"/>
    <mergeCell ref="D155:D156"/>
    <mergeCell ref="F172:F173"/>
    <mergeCell ref="D284:E284"/>
    <mergeCell ref="D189:E189"/>
    <mergeCell ref="D157:E157"/>
    <mergeCell ref="I349:J349"/>
    <mergeCell ref="D112:D113"/>
    <mergeCell ref="D125:E125"/>
    <mergeCell ref="E117:E118"/>
    <mergeCell ref="E120:E121"/>
    <mergeCell ref="E112:E116"/>
    <mergeCell ref="E134:E135"/>
    <mergeCell ref="D144:E144"/>
    <mergeCell ref="D201:E201"/>
    <mergeCell ref="D278:E278"/>
    <mergeCell ref="I1:J1"/>
    <mergeCell ref="A8:J8"/>
    <mergeCell ref="A10:A13"/>
    <mergeCell ref="B10:B13"/>
    <mergeCell ref="C10:C13"/>
    <mergeCell ref="G10:G13"/>
    <mergeCell ref="G6:J6"/>
    <mergeCell ref="G2:J2"/>
    <mergeCell ref="G3:J3"/>
    <mergeCell ref="G4:J4"/>
    <mergeCell ref="K346:P346"/>
    <mergeCell ref="F184:F188"/>
    <mergeCell ref="F239:F240"/>
    <mergeCell ref="F275:F276"/>
    <mergeCell ref="K184:K186"/>
    <mergeCell ref="F319:F320"/>
    <mergeCell ref="F289:F290"/>
    <mergeCell ref="B64:B66"/>
    <mergeCell ref="C64:C66"/>
    <mergeCell ref="A64:A66"/>
    <mergeCell ref="D271:E271"/>
    <mergeCell ref="D167:D168"/>
    <mergeCell ref="D182:E182"/>
    <mergeCell ref="D257:E257"/>
    <mergeCell ref="D253:E253"/>
    <mergeCell ref="D252:E252"/>
    <mergeCell ref="D98:D99"/>
    <mergeCell ref="C98:C99"/>
    <mergeCell ref="C103:C104"/>
    <mergeCell ref="D101:E101"/>
    <mergeCell ref="D103:D104"/>
    <mergeCell ref="E103:E111"/>
    <mergeCell ref="D124:E124"/>
    <mergeCell ref="C112:C113"/>
    <mergeCell ref="B162:B163"/>
    <mergeCell ref="A98:A99"/>
    <mergeCell ref="B149:B150"/>
    <mergeCell ref="A141:A143"/>
    <mergeCell ref="B103:B104"/>
    <mergeCell ref="B98:B99"/>
    <mergeCell ref="B112:B113"/>
    <mergeCell ref="E239:E240"/>
    <mergeCell ref="A103:A104"/>
    <mergeCell ref="D149:D150"/>
    <mergeCell ref="D162:D163"/>
    <mergeCell ref="C155:C156"/>
    <mergeCell ref="C149:C150"/>
    <mergeCell ref="C179:C180"/>
    <mergeCell ref="C141:C143"/>
    <mergeCell ref="B141:B143"/>
    <mergeCell ref="A112:A113"/>
    <mergeCell ref="C174:C175"/>
    <mergeCell ref="C162:C163"/>
    <mergeCell ref="E289:E290"/>
    <mergeCell ref="C167:C168"/>
    <mergeCell ref="D262:E262"/>
    <mergeCell ref="D270:E270"/>
    <mergeCell ref="D263:E263"/>
    <mergeCell ref="D256:E256"/>
    <mergeCell ref="D179:D180"/>
    <mergeCell ref="D202:E202"/>
  </mergeCells>
  <printOptions horizontalCentered="1"/>
  <pageMargins left="0.7086614173228347" right="0.4330708661417323" top="0.7480314960629921" bottom="0.5118110236220472" header="0" footer="0"/>
  <pageSetup fitToHeight="2" horizontalDpi="600" verticalDpi="600" orientation="portrait" paperSize="9" scale="35" r:id="rId1"/>
  <headerFooter differentFirst="1">
    <oddHeader>&amp;C&amp;P</oddHeader>
  </headerFooter>
  <rowBreaks count="6" manualBreakCount="6">
    <brk id="134" max="9" man="1"/>
    <brk id="173" max="9" man="1"/>
    <brk id="218" max="9" man="1"/>
    <brk id="251" max="9" man="1"/>
    <brk id="298" max="9" man="1"/>
    <brk id="331" max="9"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User1</cp:lastModifiedBy>
  <cp:lastPrinted>2019-02-15T13:54:30Z</cp:lastPrinted>
  <dcterms:created xsi:type="dcterms:W3CDTF">2016-11-29T09:37:01Z</dcterms:created>
  <dcterms:modified xsi:type="dcterms:W3CDTF">2019-02-15T13:54:42Z</dcterms:modified>
  <cp:category/>
  <cp:version/>
  <cp:contentType/>
  <cp:contentStatus/>
</cp:coreProperties>
</file>