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240" windowWidth="7230" windowHeight="9255" activeTab="0"/>
  </bookViews>
  <sheets>
    <sheet name="Лист1" sheetId="1" r:id="rId1"/>
  </sheets>
  <definedNames>
    <definedName name="_xlnm.Print_Area" localSheetId="0">'Лист1'!$A$1:$P$398</definedName>
  </definedNames>
  <calcPr fullCalcOnLoad="1"/>
</workbook>
</file>

<file path=xl/sharedStrings.xml><?xml version="1.0" encoding="utf-8"?>
<sst xmlns="http://schemas.openxmlformats.org/spreadsheetml/2006/main" count="1138" uniqueCount="564">
  <si>
    <t>РОЗПОДІЛ</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</si>
  <si>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</si>
  <si>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</si>
  <si>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</si>
  <si>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</si>
  <si>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</si>
  <si>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</si>
  <si>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</si>
  <si>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</si>
  <si>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</si>
  <si>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</si>
  <si>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</si>
  <si>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</si>
  <si>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</si>
  <si>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</si>
  <si>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</si>
  <si>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</si>
  <si>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Апарат місцевої ради</t>
  </si>
  <si>
    <t>0110000</t>
  </si>
  <si>
    <t>0110170</t>
  </si>
  <si>
    <t>0111</t>
  </si>
  <si>
    <t>0170</t>
  </si>
  <si>
    <t>0117210</t>
  </si>
  <si>
    <t>Підтримка засобів масової інформації</t>
  </si>
  <si>
    <t>0117211</t>
  </si>
  <si>
    <t>0830</t>
  </si>
  <si>
    <t>7211</t>
  </si>
  <si>
    <t>Сприяння діяльності телебачення і радіомовлення</t>
  </si>
  <si>
    <t>0117212</t>
  </si>
  <si>
    <t>7212</t>
  </si>
  <si>
    <t>Підтримка періодичних видань (газет та журналів)</t>
  </si>
  <si>
    <t>0133</t>
  </si>
  <si>
    <t>8600</t>
  </si>
  <si>
    <t>Інші видатки</t>
  </si>
  <si>
    <t>0300000</t>
  </si>
  <si>
    <t>0180</t>
  </si>
  <si>
    <t>1050</t>
  </si>
  <si>
    <t>3240</t>
  </si>
  <si>
    <t>Організація та проведення громадських робіт</t>
  </si>
  <si>
    <t>0620</t>
  </si>
  <si>
    <t>6060</t>
  </si>
  <si>
    <t>Благоустрій міст, сіл, селищ</t>
  </si>
  <si>
    <t>Оргінізація та проведення громадських робіт</t>
  </si>
  <si>
    <t>1000000</t>
  </si>
  <si>
    <t>Департамент з гуманітарних питань  міської ради</t>
  </si>
  <si>
    <t>1010000</t>
  </si>
  <si>
    <t>1010180</t>
  </si>
  <si>
    <t>1011010</t>
  </si>
  <si>
    <t>0910</t>
  </si>
  <si>
    <t>1010</t>
  </si>
  <si>
    <t>Дошкільна освiта</t>
  </si>
  <si>
    <t>1011020</t>
  </si>
  <si>
    <t>0921</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</si>
  <si>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</si>
  <si>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</si>
  <si>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</si>
  <si>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0922</t>
  </si>
  <si>
    <t>1040</t>
  </si>
  <si>
    <t>Надання загальної середньої освіти загальноосвiтнiми школами-iнтернатами, загальноосвітніми санаторними школами-інтернатами</t>
  </si>
  <si>
    <t>1011090</t>
  </si>
  <si>
    <t>0960</t>
  </si>
  <si>
    <t>1090</t>
  </si>
  <si>
    <t>Надання позашкільної освіти позашкільними закладами освіти, заходи із позашкільної роботи з дітьми</t>
  </si>
  <si>
    <t>1011170</t>
  </si>
  <si>
    <t>0990</t>
  </si>
  <si>
    <t>1170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</si>
  <si>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</si>
  <si>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</si>
  <si>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</si>
  <si>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</si>
  <si>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</si>
  <si>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</si>
  <si>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</si>
  <si>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1011230</t>
  </si>
  <si>
    <t>1230</t>
  </si>
  <si>
    <t>Надання допомоги дітям-сиротам і дітям, позбавленим батьківського піклування, яким виповнюється 18 років</t>
  </si>
  <si>
    <t>1013140</t>
  </si>
  <si>
    <t>1013141</t>
  </si>
  <si>
    <t>3141</t>
  </si>
  <si>
    <t>Здійснення заходів та реалізація проектів на виконання Державної цільової соціальної програми `Молодь України`</t>
  </si>
  <si>
    <t>1013160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</si>
  <si>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</si>
  <si>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</si>
  <si>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</si>
  <si>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3500</t>
  </si>
  <si>
    <t>1014020</t>
  </si>
  <si>
    <t>0821</t>
  </si>
  <si>
    <t>4020</t>
  </si>
  <si>
    <t>Театри</t>
  </si>
  <si>
    <t>1014030</t>
  </si>
  <si>
    <t>0822</t>
  </si>
  <si>
    <t>4030</t>
  </si>
  <si>
    <t>Фiлармонiї, музичнi колективи i ансамблі та iншi мистецькі заклади та заходи</t>
  </si>
  <si>
    <t>1014060</t>
  </si>
  <si>
    <t>0824</t>
  </si>
  <si>
    <t>4060</t>
  </si>
  <si>
    <t>Бiблiотеки</t>
  </si>
  <si>
    <t>1014070</t>
  </si>
  <si>
    <t>4070</t>
  </si>
  <si>
    <t>Музеї i виставки</t>
  </si>
  <si>
    <t>1014100</t>
  </si>
  <si>
    <t>4100</t>
  </si>
  <si>
    <t>Школи естетичного виховання дiтей</t>
  </si>
  <si>
    <t>1015010</t>
  </si>
  <si>
    <t>Проведення спортивної роботи в регіоні</t>
  </si>
  <si>
    <t>1015011</t>
  </si>
  <si>
    <t>0810</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</si>
  <si>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</si>
  <si>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</si>
  <si>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</si>
  <si>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</si>
  <si>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</si>
  <si>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1015020</t>
  </si>
  <si>
    <t>Здійснення фізкультурно-спортивної та реабілітаційної роботи серед інвалідів</t>
  </si>
  <si>
    <t>1015021</t>
  </si>
  <si>
    <t>5021</t>
  </si>
  <si>
    <t>Утримання центрів з інвалідного спорту і реабілітаційних шкіл</t>
  </si>
  <si>
    <t>1015022</t>
  </si>
  <si>
    <t>5022</t>
  </si>
  <si>
    <t>Проведення навчально-тренувальних зборів і змагань та заходів з інвалідного спорту</t>
  </si>
  <si>
    <t>1015030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</si>
  <si>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</si>
  <si>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</si>
  <si>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</si>
  <si>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</si>
  <si>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1015032</t>
  </si>
  <si>
    <t>5032</t>
  </si>
  <si>
    <t>Фінансова підтримка дитячо-юнацьких спортивних шкіл фізкультурно-спортивних товариств</t>
  </si>
  <si>
    <t>1015040</t>
  </si>
  <si>
    <t>Підтримка і розвиток спортивної інфраструктури</t>
  </si>
  <si>
    <t>1015041</t>
  </si>
  <si>
    <t>5041</t>
  </si>
  <si>
    <t>Утримання комунальних спортивних споруд</t>
  </si>
  <si>
    <t>1015050</t>
  </si>
  <si>
    <t>Підтримка фізкультурно-спортивного руху</t>
  </si>
  <si>
    <t>1015053</t>
  </si>
  <si>
    <t>5053</t>
  </si>
  <si>
    <t>Фінансова підтримка на утримання місцевих осередків (рад) всеукраїнських організацій фізкультурно-спортивної спрямованості</t>
  </si>
  <si>
    <t>1015060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</si>
  <si>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</si>
  <si>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</si>
  <si>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</si>
  <si>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</si>
  <si>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t>
  </si>
  <si>
    <t>5062</t>
  </si>
  <si>
    <t>Підтримка спорту вищих досягнень та організацій, які здійснюють фізкультурно-спортивну діяльність в регіоні</t>
  </si>
  <si>
    <t>1017470</t>
  </si>
  <si>
    <t>0490</t>
  </si>
  <si>
    <t>7470</t>
  </si>
  <si>
    <t>Внески до статутного капіталу суб`єктів господарювання</t>
  </si>
  <si>
    <t>1019110</t>
  </si>
  <si>
    <t>0511</t>
  </si>
  <si>
    <t>9110</t>
  </si>
  <si>
    <t>Охорона та раціональне використання природних ресурсів</t>
  </si>
  <si>
    <t>1400000</t>
  </si>
  <si>
    <t>1410000</t>
  </si>
  <si>
    <t>1410180</t>
  </si>
  <si>
    <t>1412010</t>
  </si>
  <si>
    <t>0731</t>
  </si>
  <si>
    <t>2010</t>
  </si>
  <si>
    <t>Багатопрофільна стаціонарна медична допомога населенню</t>
  </si>
  <si>
    <t>1412030</t>
  </si>
  <si>
    <t>0732</t>
  </si>
  <si>
    <t>2030</t>
  </si>
  <si>
    <t>Спеціалізована стаціонарна медична допомога населенню</t>
  </si>
  <si>
    <t>1412120</t>
  </si>
  <si>
    <t>0721</t>
  </si>
  <si>
    <t>2120</t>
  </si>
  <si>
    <t>Амбулаторно-поліклінічна допомога населенню</t>
  </si>
  <si>
    <t>1412140</t>
  </si>
  <si>
    <t>0722</t>
  </si>
  <si>
    <t>2140</t>
  </si>
  <si>
    <t>Надання стоматологічної допомоги населенню</t>
  </si>
  <si>
    <t>1412180</t>
  </si>
  <si>
    <t>0726</t>
  </si>
  <si>
    <t>2180</t>
  </si>
  <si>
    <t>Первинна медична допомога населенню</t>
  </si>
  <si>
    <t>1412200</t>
  </si>
  <si>
    <t>0763</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</si>
  <si>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</si>
  <si>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</si>
  <si>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1412220</t>
  </si>
  <si>
    <t>2220</t>
  </si>
  <si>
    <t>Інші заходи в галузі охорони здоров`я</t>
  </si>
  <si>
    <t>1413030</t>
  </si>
  <si>
    <t>1413031</t>
  </si>
  <si>
    <t>1030</t>
  </si>
  <si>
    <t>3031</t>
  </si>
  <si>
    <t>1413035</t>
  </si>
  <si>
    <t>1070</t>
  </si>
  <si>
    <t>3035</t>
  </si>
  <si>
    <t>Компенсаційні виплати на пільговий проїзд автомобільним транспортом окремим категоріям громадян</t>
  </si>
  <si>
    <t>1413037</t>
  </si>
  <si>
    <t>3037</t>
  </si>
  <si>
    <t>Компенсаційні виплати за пільговий проїзд окремих категорій громадян на залізничному транспорті</t>
  </si>
  <si>
    <t>1413038</t>
  </si>
  <si>
    <t>3038</t>
  </si>
  <si>
    <t>Компенсаційні виплати на пільговий проїзд електротранспортом окремим категоріям громадян</t>
  </si>
  <si>
    <t>1413130</t>
  </si>
  <si>
    <t>Здійснення соціальної роботи з вразливими категоріями населення</t>
  </si>
  <si>
    <t>1413131</t>
  </si>
  <si>
    <t>3131</t>
  </si>
  <si>
    <t>Центри соціальних служб для сім`ї, дітей та молоді</t>
  </si>
  <si>
    <t>1413132</t>
  </si>
  <si>
    <t>3132</t>
  </si>
  <si>
    <t>Програми і заходи центрів соціальних служб для сім`ї, дітей та молоді</t>
  </si>
  <si>
    <t>1413134</t>
  </si>
  <si>
    <t>3134</t>
  </si>
  <si>
    <t>Заходи державної політики з питань сім`ї</t>
  </si>
  <si>
    <t>1413160</t>
  </si>
  <si>
    <t>1413200</t>
  </si>
  <si>
    <t>Соціальний захист ветеранів війни та праці</t>
  </si>
  <si>
    <t>1413202</t>
  </si>
  <si>
    <t>3202</t>
  </si>
  <si>
    <t>Надання фінансової підтримки громадським організаціям інвалідів і ветеранів, діяльність яких має соціальну спрямованість</t>
  </si>
  <si>
    <t>1413300</t>
  </si>
  <si>
    <t>3300</t>
  </si>
  <si>
    <t>Інші установи та заклади</t>
  </si>
  <si>
    <t>1413400</t>
  </si>
  <si>
    <t>3400</t>
  </si>
  <si>
    <t>Інші видатки на соціальний захист населення  </t>
  </si>
  <si>
    <t>1416310</t>
  </si>
  <si>
    <t>6310</t>
  </si>
  <si>
    <t>Реалізація заходів щодо інвестиційного розвитку території</t>
  </si>
  <si>
    <t>1500000</t>
  </si>
  <si>
    <t>Орган з питань праці та соціального захисту населення</t>
  </si>
  <si>
    <t>1060</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</si>
  <si>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</si>
  <si>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</si>
  <si>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</si>
  <si>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</si>
  <si>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</si>
  <si>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</si>
  <si>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</si>
  <si>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</si>
  <si>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</si>
  <si>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</si>
  <si>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3021</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</si>
  <si>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</si>
  <si>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</si>
  <si>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</si>
  <si>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</si>
  <si>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</si>
  <si>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</si>
  <si>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</si>
  <si>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</si>
  <si>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</si>
  <si>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</si>
  <si>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</si>
  <si>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</si>
  <si>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</si>
  <si>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</si>
  <si>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</si>
  <si>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</si>
  <si>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</si>
  <si>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</si>
  <si>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</si>
  <si>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</si>
  <si>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</si>
  <si>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</si>
  <si>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</si>
  <si>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соціальних та реабілітаційних послуг громадянам в установах соціального обслуговування</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</si>
  <si>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</si>
  <si>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</si>
  <si>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</si>
  <si>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</si>
  <si>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</si>
  <si>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</si>
  <si>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</si>
  <si>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2000000</t>
  </si>
  <si>
    <t>Орган у справах дітей</t>
  </si>
  <si>
    <t>2010000</t>
  </si>
  <si>
    <t>2010180</t>
  </si>
  <si>
    <t>2013110</t>
  </si>
  <si>
    <t>Заклади і заходи з питань дітей та їх соціального захисту</t>
  </si>
  <si>
    <t>2013111</t>
  </si>
  <si>
    <t>3111</t>
  </si>
  <si>
    <t>Утримання закладів, що надають соціальні послуги дітям, які опинились у складних життєвих обставинах</t>
  </si>
  <si>
    <t>2013112</t>
  </si>
  <si>
    <t>3112</t>
  </si>
  <si>
    <t>Заходи державної політики з питань дітей та їх соціального захисту</t>
  </si>
  <si>
    <t>2013500</t>
  </si>
  <si>
    <t>2900000</t>
  </si>
  <si>
    <t>Архівна установа</t>
  </si>
  <si>
    <t>2910000</t>
  </si>
  <si>
    <t>2910180</t>
  </si>
  <si>
    <t>3100000</t>
  </si>
  <si>
    <t>Орган з питань реклами</t>
  </si>
  <si>
    <t>3110000</t>
  </si>
  <si>
    <t>Відділ реклами міської ради</t>
  </si>
  <si>
    <t>3110180</t>
  </si>
  <si>
    <t>3200000</t>
  </si>
  <si>
    <t>Орган з питань регуляторної політики і підприємництва</t>
  </si>
  <si>
    <t>3210000</t>
  </si>
  <si>
    <t>'Департмент муніципальних послуг та регуляторної політики міської ради</t>
  </si>
  <si>
    <t>3210180</t>
  </si>
  <si>
    <t>3217450</t>
  </si>
  <si>
    <t>0411</t>
  </si>
  <si>
    <t>7450</t>
  </si>
  <si>
    <t>Сприяння розвитку малого та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</si>
  <si>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</si>
  <si>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</si>
  <si>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</si>
  <si>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</si>
  <si>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4510180</t>
  </si>
  <si>
    <t>4517310</t>
  </si>
  <si>
    <t>0421</t>
  </si>
  <si>
    <t>7310</t>
  </si>
  <si>
    <t>Проведення заходів із землеустрою</t>
  </si>
  <si>
    <t>4700000</t>
  </si>
  <si>
    <t>Орган з питань будівництва</t>
  </si>
  <si>
    <t>4710000</t>
  </si>
  <si>
    <t>Департамент житлово-комунального господарства та будівництва міської ради</t>
  </si>
  <si>
    <t>4710180</t>
  </si>
  <si>
    <t>4713240</t>
  </si>
  <si>
    <t>4716010</t>
  </si>
  <si>
    <t>0610</t>
  </si>
  <si>
    <t>6010</t>
  </si>
  <si>
    <t>Забезпечення надійного та безперебійного функціонування житлово-експлуатаційного господарства</t>
  </si>
  <si>
    <t>4716020</t>
  </si>
  <si>
    <t>Капітальний ремонт об`єктів житлового господарства</t>
  </si>
  <si>
    <t>4716021</t>
  </si>
  <si>
    <t>6021</t>
  </si>
  <si>
    <t>Капітальний ремонт житлового фонду</t>
  </si>
  <si>
    <t>4716050</t>
  </si>
  <si>
    <t>Фінансова підтримка об`єктів комунального господарства</t>
  </si>
  <si>
    <t>4716051</t>
  </si>
  <si>
    <t>6051</t>
  </si>
  <si>
    <t>Забезпечення функціонування теплових мереж</t>
  </si>
  <si>
    <t>4716060</t>
  </si>
  <si>
    <t>4716130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</si>
  <si>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</si>
  <si>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</si>
  <si>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4716310</t>
  </si>
  <si>
    <t>4716350</t>
  </si>
  <si>
    <t>6350</t>
  </si>
  <si>
    <t>Проведення невідкладних відновлювальних робіт, будівництво та реконструкція позашкільних навчальних закладів</t>
  </si>
  <si>
    <t>4716650</t>
  </si>
  <si>
    <t>0456</t>
  </si>
  <si>
    <t>6650</t>
  </si>
  <si>
    <t>Утримання та розвиток інфраструктури доріг</t>
  </si>
  <si>
    <t>4717470</t>
  </si>
  <si>
    <t>4718600</t>
  </si>
  <si>
    <t>4718800</t>
  </si>
  <si>
    <t>8800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</si>
  <si>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</si>
  <si>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</si>
  <si>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</si>
  <si>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</si>
  <si>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</si>
  <si>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4810180</t>
  </si>
  <si>
    <t>4816430</t>
  </si>
  <si>
    <t>0443</t>
  </si>
  <si>
    <t>6430</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</si>
  <si>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</si>
  <si>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</si>
  <si>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</si>
  <si>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</si>
  <si>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</si>
  <si>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</si>
  <si>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Кам'янської міської ради</t>
  </si>
  <si>
    <t>6010180</t>
  </si>
  <si>
    <t>6017470</t>
  </si>
  <si>
    <t>6019110</t>
  </si>
  <si>
    <t>6019120</t>
  </si>
  <si>
    <t>0512</t>
  </si>
  <si>
    <t>9120</t>
  </si>
  <si>
    <t>Утилізація відходів</t>
  </si>
  <si>
    <t>6019130</t>
  </si>
  <si>
    <t>0513</t>
  </si>
  <si>
    <t>9130</t>
  </si>
  <si>
    <t>Ліквідація іншого забруднення навколишнього природного середовища</t>
  </si>
  <si>
    <t>6019140</t>
  </si>
  <si>
    <t>0540</t>
  </si>
  <si>
    <t>9140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</si>
  <si>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</si>
  <si>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</si>
  <si>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</si>
  <si>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</si>
  <si>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</si>
  <si>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6510180</t>
  </si>
  <si>
    <t>6516640</t>
  </si>
  <si>
    <t>0455</t>
  </si>
  <si>
    <t>6640</t>
  </si>
  <si>
    <t>Інші заходи у сфері електротранспорту</t>
  </si>
  <si>
    <t>6516700</t>
  </si>
  <si>
    <t>0460</t>
  </si>
  <si>
    <t>6700</t>
  </si>
  <si>
    <t>Діяльність і послуги, не віднесені до інших категорій</t>
  </si>
  <si>
    <t>6516800</t>
  </si>
  <si>
    <t>0451</t>
  </si>
  <si>
    <t>6800</t>
  </si>
  <si>
    <t>Інші заходи у сфері автомобільного транспорту</t>
  </si>
  <si>
    <t>6517470</t>
  </si>
  <si>
    <t>6700000</t>
  </si>
  <si>
    <t>Орган з питань надзвичайних ситуацій</t>
  </si>
  <si>
    <t>6710000</t>
  </si>
  <si>
    <t>Управління з надзвичайних ситуацій та цивільного захисту населення міської ради</t>
  </si>
  <si>
    <t>6710180</t>
  </si>
  <si>
    <t>6717810</t>
  </si>
  <si>
    <t>0320</t>
  </si>
  <si>
    <t>7810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</si>
  <si>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</si>
  <si>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</si>
  <si>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</si>
  <si>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</si>
  <si>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</si>
  <si>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7310180</t>
  </si>
  <si>
    <t>7317410</t>
  </si>
  <si>
    <t>0470</t>
  </si>
  <si>
    <t>7410</t>
  </si>
  <si>
    <t>Заходи з енергозбереження</t>
  </si>
  <si>
    <t>7500000</t>
  </si>
  <si>
    <t>Фінансовий орган</t>
  </si>
  <si>
    <t>7510000</t>
  </si>
  <si>
    <t>7510180</t>
  </si>
  <si>
    <t>7600000</t>
  </si>
  <si>
    <t>7610000</t>
  </si>
  <si>
    <t>7618010</t>
  </si>
  <si>
    <t>8010</t>
  </si>
  <si>
    <t>Резервний фонд</t>
  </si>
  <si>
    <t>7618600</t>
  </si>
  <si>
    <t>7618800</t>
  </si>
  <si>
    <t xml:space="preserve"> </t>
  </si>
  <si>
    <t>Орган* з питань охорони здоров'я</t>
  </si>
  <si>
    <t>Управління державного будівельно-архітектурного контролю</t>
  </si>
  <si>
    <t>Кам'янська міська рада</t>
  </si>
  <si>
    <t>0310000</t>
  </si>
  <si>
    <t>0310180</t>
  </si>
  <si>
    <t>Адміністрація Південного району міської ради</t>
  </si>
  <si>
    <t>0313240</t>
  </si>
  <si>
    <t>0316060</t>
  </si>
  <si>
    <t>Адміністрація Дніпровського району міської ради</t>
  </si>
  <si>
    <t>Адміністрація Заводського району міської ради</t>
  </si>
  <si>
    <t>Департамент охорони здоров'я та соціальної політики міської ради</t>
  </si>
  <si>
    <t>Управління соціального захисту населення адміністрації Південного району міської ради</t>
  </si>
  <si>
    <t>1510000</t>
  </si>
  <si>
    <t>1510180</t>
  </si>
  <si>
    <t>1513010</t>
  </si>
  <si>
    <t>1511060</t>
  </si>
  <si>
    <t>1513011</t>
  </si>
  <si>
    <t>1513012</t>
  </si>
  <si>
    <t>1513013</t>
  </si>
  <si>
    <t>1513014</t>
  </si>
  <si>
    <t>1513015</t>
  </si>
  <si>
    <t>1513016</t>
  </si>
  <si>
    <t>1513020</t>
  </si>
  <si>
    <t>1513021</t>
  </si>
  <si>
    <t>1513025</t>
  </si>
  <si>
    <t>1513026</t>
  </si>
  <si>
    <t>1513040</t>
  </si>
  <si>
    <t>1513041</t>
  </si>
  <si>
    <t>1513042</t>
  </si>
  <si>
    <t>1513043</t>
  </si>
  <si>
    <t>1513044</t>
  </si>
  <si>
    <t>1513045</t>
  </si>
  <si>
    <t>1513046</t>
  </si>
  <si>
    <t>1513047</t>
  </si>
  <si>
    <t>1513048</t>
  </si>
  <si>
    <t>1513049</t>
  </si>
  <si>
    <t>1513080</t>
  </si>
  <si>
    <t>1513100</t>
  </si>
  <si>
    <t>1513104</t>
  </si>
  <si>
    <t>1513180</t>
  </si>
  <si>
    <t>1513181</t>
  </si>
  <si>
    <t>1513190</t>
  </si>
  <si>
    <t>1513200</t>
  </si>
  <si>
    <t>1513202</t>
  </si>
  <si>
    <t>1513400</t>
  </si>
  <si>
    <t>1516310</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</si>
  <si>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</si>
  <si>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</si>
  <si>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</si>
  <si>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</si>
  <si>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</si>
  <si>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</si>
  <si>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Архівне управління міської ради</t>
  </si>
  <si>
    <t>Департамент фінансів  міської ради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</si>
  <si>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</si>
  <si>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4518600</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</si>
  <si>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</si>
  <si>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</si>
  <si>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</si>
  <si>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</si>
  <si>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</si>
  <si>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</si>
  <si>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</si>
  <si>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</si>
  <si>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8603</t>
  </si>
  <si>
    <t>у тому числі:</t>
  </si>
  <si>
    <t>4518603</t>
  </si>
  <si>
    <t>4718801</t>
  </si>
  <si>
    <t>8802</t>
  </si>
  <si>
    <t>4818802</t>
  </si>
  <si>
    <t>Субвенція Петриківському району на виготовлення планів земельних ділянок для учасників АТО</t>
  </si>
  <si>
    <t>Субвенція до обласного бюджету на капітальний ремонт об`єктів соціально-культурної сфери та інфраструктури міста</t>
  </si>
  <si>
    <t>Відшкодування за рішеннями суду, постанов, виконавчих проваджень</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</si>
  <si>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</si>
  <si>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</si>
  <si>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</si>
  <si>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0118601</t>
  </si>
  <si>
    <t>8601</t>
  </si>
  <si>
    <t>0318602</t>
  </si>
  <si>
    <t>8602</t>
  </si>
  <si>
    <t>1418601</t>
  </si>
  <si>
    <t>3118601</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</si>
  <si>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</si>
  <si>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</si>
  <si>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4718604</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</si>
  <si>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</si>
  <si>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Додаток 3</t>
  </si>
  <si>
    <t>до рішення міської ради</t>
  </si>
  <si>
    <t>( у редакції рішення міської ради</t>
  </si>
  <si>
    <t>Секретар міської ради</t>
  </si>
  <si>
    <t xml:space="preserve">О.Ю.Залевський </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</si>
  <si>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</si>
  <si>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</si>
  <si>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</si>
  <si>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</si>
  <si>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у тому числі за рахунок додаткової дотації </t>
  </si>
  <si>
    <t>в тому числі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</si>
  <si>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</si>
  <si>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Проведення невідкладних відновлювальних робіт, будівництво та реконструкція лікарень загального профілю</t>
  </si>
  <si>
    <t>Інші видатки, в тому числі:</t>
  </si>
  <si>
    <t>0318600</t>
  </si>
  <si>
    <t>3118600</t>
  </si>
  <si>
    <t>0118600</t>
  </si>
  <si>
    <t>1418600</t>
  </si>
  <si>
    <t>Реалізація державної політики у молодіжній сфері</t>
  </si>
  <si>
    <t xml:space="preserve"> у тому числі субвенція з обласного бюджету до місцевих бюджетів на виконання доручень виборців</t>
  </si>
  <si>
    <t>4716360</t>
  </si>
  <si>
    <t>6360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</si>
  <si>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</si>
  <si>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6716400</t>
  </si>
  <si>
    <t>6400</t>
  </si>
  <si>
    <t>4518607</t>
  </si>
  <si>
    <t>8607</t>
  </si>
  <si>
    <t>Здійснення заходів по проведенню технічної інвентаризації об’єктів комунальної власності територіальної громади</t>
  </si>
  <si>
    <t>7618370</t>
  </si>
  <si>
    <t>Субвенція з місцевого бюджету державному бюджету на виконання програм соціально-економічного та культурного розвитку регіонів</t>
  </si>
  <si>
    <t>8370</t>
  </si>
  <si>
    <t>Орган з питань освіти і науки, молоді та спорту</t>
  </si>
  <si>
    <r>
      <t xml:space="preserve">Фінансовий орган                                        </t>
    </r>
    <r>
      <rPr>
        <sz val="12"/>
        <rFont val="Times New Roman"/>
        <family val="1"/>
      </rPr>
      <t xml:space="preserve"> (в частині міжбюджетних трансфертів, резервного фонду)</t>
    </r>
  </si>
  <si>
    <r>
      <t xml:space="preserve">Департамент фінансів міської ради </t>
    </r>
    <r>
      <rPr>
        <sz val="11"/>
        <rFont val="Times New Roman"/>
        <family val="1"/>
      </rPr>
      <t xml:space="preserve"> (в частині міжбюджетних трансфертів, резервного фонду)</t>
    </r>
  </si>
  <si>
    <r>
      <t>від  16.12.2016  № 560-12/VII</t>
    </r>
    <r>
      <rPr>
        <u val="single"/>
        <sz val="16"/>
        <rFont val="Times New Roman"/>
        <family val="1"/>
      </rPr>
      <t xml:space="preserve">                     </t>
    </r>
    <r>
      <rPr>
        <sz val="16"/>
        <rFont val="Times New Roman"/>
        <family val="1"/>
      </rPr>
      <t xml:space="preserve"> </t>
    </r>
  </si>
  <si>
    <t>Здійснення підтримки териториальної виборчої комісії у міжвиборчий період</t>
  </si>
  <si>
    <t>0118608</t>
  </si>
  <si>
    <t>8608</t>
  </si>
  <si>
    <t>в т.ч. виконання доручень, наданих виборцям депутатами обласної ради у 2017 році</t>
  </si>
  <si>
    <t>.0180</t>
  </si>
  <si>
    <t>6018600</t>
  </si>
  <si>
    <t>6018604</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</si>
  <si>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</si>
  <si>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</si>
  <si>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державного бюджету місцевим бюджетам на надання державної підтримки особам з особливими освітніми потребами</t>
  </si>
  <si>
    <t>в тому числі за рахунок субвенції з обласного бюджету за рахунок залишку коштів освітньої субвенції, що утворився на початок бюджетного періоду, на підтримку інклюзивної освіти</t>
  </si>
  <si>
    <t>10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</si>
  <si>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</si>
  <si>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Керівництво і управління у відповідній сфері у містах, селищах, селах</t>
  </si>
  <si>
    <t>8070</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</si>
  <si>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</si>
  <si>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в тому числі за рахунок субвенції з державного бюджету місцевим бюджетам на відшкодування вартості лікарських засобів для лікувіання окремих захворювань</t>
  </si>
  <si>
    <t>видатків міського бюджету  на 2017 рік</t>
  </si>
  <si>
    <t>від 21.04.2017 № 710-16/  VII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</si>
</sst>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35">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b/>
      <sz val="14"/>
      <name val="Times New Roman"/>
      <family val="1"/>
    </font>
    <font>
      <sz val="22"/>
      <name val="Times New Roman"/>
      <family val="1"/>
    </font>
    <font>
      <sz val="11"/>
      <name val="Times New Roman"/>
      <family val="1"/>
    </font>
    <font>
      <b/>
      <sz val="11"/>
      <name val="Times New Roman"/>
      <family val="1"/>
    </font>
    <font>
      <sz val="10"/>
      <name val="Times New Roman"/>
      <family val="1"/>
    </font>
    <font>
      <sz val="7"/>
      <name val="Times New Roman"/>
      <family val="1"/>
    </font>
    <font>
      <i/>
      <sz val="11"/>
      <name val="Times New Roman"/>
      <family val="1"/>
    </font>
    <font>
      <b/>
      <i/>
      <sz val="11"/>
      <name val="Times New Roman"/>
      <family val="1"/>
    </font>
    <font>
      <b/>
      <sz val="12"/>
      <name val="Times New Roman"/>
      <family val="1"/>
    </font>
    <font>
      <sz val="12"/>
      <name val="Times New Roman"/>
      <family val="1"/>
    </font>
    <font>
      <sz val="16"/>
      <name val="Times New Roman"/>
      <family val="1"/>
    </font>
    <font>
      <u val="single"/>
      <sz val="16"/>
      <name val="Times New Roman"/>
      <family val="1"/>
    </font>
    <font>
      <b/>
      <sz val="16"/>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147">
    <xf numFmtId="0" fontId="0" fillId="0" borderId="0" xfId="0" applyAlignment="1">
      <alignment/>
    </xf>
    <xf numFmtId="0" fontId="4" fillId="0" borderId="0" xfId="0" applyFont="1" applyAlignment="1">
      <alignment vertical="center" wrapText="1"/>
    </xf>
    <xf numFmtId="0" fontId="5" fillId="0" borderId="0" xfId="0" applyFont="1" applyAlignment="1">
      <alignment horizontal="left" vertical="center" wrapText="1"/>
    </xf>
    <xf numFmtId="3" fontId="7" fillId="24" borderId="10" xfId="0" applyNumberFormat="1" applyFont="1" applyFill="1" applyBorder="1" applyAlignment="1">
      <alignment vertical="center" wrapText="1"/>
    </xf>
    <xf numFmtId="3" fontId="7" fillId="0" borderId="10" xfId="0" applyNumberFormat="1" applyFont="1" applyBorder="1" applyAlignment="1">
      <alignment vertical="center" wrapText="1"/>
    </xf>
    <xf numFmtId="0" fontId="8" fillId="0" borderId="10" xfId="0" applyFont="1" applyBorder="1" applyAlignment="1" quotePrefix="1">
      <alignment horizontal="center" vertical="center" wrapText="1"/>
    </xf>
    <xf numFmtId="2" fontId="8" fillId="0" borderId="10" xfId="0" applyNumberFormat="1" applyFont="1" applyBorder="1" applyAlignment="1" quotePrefix="1">
      <alignment horizontal="center" vertical="center" wrapText="1"/>
    </xf>
    <xf numFmtId="49" fontId="8" fillId="0" borderId="10" xfId="0" applyNumberFormat="1" applyFont="1" applyBorder="1" applyAlignment="1" quotePrefix="1">
      <alignment horizontal="center" vertical="center" wrapText="1"/>
    </xf>
    <xf numFmtId="0" fontId="9" fillId="0" borderId="0" xfId="0" applyFont="1" applyAlignment="1">
      <alignment vertical="center" wrapText="1"/>
    </xf>
    <xf numFmtId="0" fontId="9" fillId="0" borderId="0" xfId="0" applyFont="1" applyAlignment="1">
      <alignment horizontal="right" vertical="center" wrapText="1"/>
    </xf>
    <xf numFmtId="0" fontId="10" fillId="0" borderId="0" xfId="0" applyFont="1" applyAlignment="1">
      <alignment vertical="center" wrapText="1"/>
    </xf>
    <xf numFmtId="0" fontId="7" fillId="0" borderId="10" xfId="0" applyFont="1" applyBorder="1" applyAlignment="1">
      <alignment horizontal="center" vertical="center" wrapText="1"/>
    </xf>
    <xf numFmtId="0" fontId="7" fillId="24" borderId="10" xfId="0" applyFont="1" applyFill="1" applyBorder="1" applyAlignment="1">
      <alignment horizontal="center" vertical="center" wrapText="1"/>
    </xf>
    <xf numFmtId="0" fontId="7" fillId="0" borderId="0" xfId="0" applyFont="1" applyAlignment="1">
      <alignment vertical="center" wrapText="1"/>
    </xf>
    <xf numFmtId="0" fontId="8" fillId="4" borderId="10" xfId="0" applyFont="1" applyFill="1" applyBorder="1" applyAlignment="1" quotePrefix="1">
      <alignment horizontal="center" vertical="center" wrapText="1"/>
    </xf>
    <xf numFmtId="49" fontId="8" fillId="4" borderId="10" xfId="0" applyNumberFormat="1" applyFont="1" applyFill="1" applyBorder="1" applyAlignment="1">
      <alignment horizontal="center" vertical="center" wrapText="1"/>
    </xf>
    <xf numFmtId="2" fontId="8" fillId="4" borderId="10" xfId="0" applyNumberFormat="1" applyFont="1" applyFill="1" applyBorder="1" applyAlignment="1">
      <alignment horizontal="center" vertical="center" wrapText="1"/>
    </xf>
    <xf numFmtId="4" fontId="8" fillId="4" borderId="10" xfId="0" applyNumberFormat="1" applyFont="1" applyFill="1" applyBorder="1" applyAlignment="1">
      <alignment vertical="center" wrapText="1"/>
    </xf>
    <xf numFmtId="0" fontId="8" fillId="22" borderId="10" xfId="0" applyFont="1" applyFill="1" applyBorder="1" applyAlignment="1" quotePrefix="1">
      <alignment horizontal="center" vertical="center" wrapText="1"/>
    </xf>
    <xf numFmtId="49" fontId="8" fillId="22" borderId="10" xfId="0" applyNumberFormat="1" applyFont="1" applyFill="1" applyBorder="1" applyAlignment="1">
      <alignment horizontal="center" vertical="center" wrapText="1"/>
    </xf>
    <xf numFmtId="2" fontId="8" fillId="22" borderId="10" xfId="0" applyNumberFormat="1" applyFont="1" applyFill="1" applyBorder="1" applyAlignment="1">
      <alignment horizontal="center" vertical="center" wrapText="1"/>
    </xf>
    <xf numFmtId="4" fontId="8" fillId="22" borderId="10" xfId="0" applyNumberFormat="1" applyFont="1" applyFill="1" applyBorder="1" applyAlignment="1">
      <alignment vertical="center" wrapText="1"/>
    </xf>
    <xf numFmtId="4" fontId="8" fillId="24" borderId="10" xfId="0" applyNumberFormat="1" applyFont="1" applyFill="1" applyBorder="1" applyAlignment="1">
      <alignment vertical="center" wrapText="1"/>
    </xf>
    <xf numFmtId="4" fontId="8" fillId="0" borderId="10" xfId="0" applyNumberFormat="1" applyFont="1" applyBorder="1" applyAlignment="1">
      <alignment vertical="center" wrapText="1"/>
    </xf>
    <xf numFmtId="0" fontId="7" fillId="0" borderId="10" xfId="0" applyFont="1" applyBorder="1" applyAlignment="1" quotePrefix="1">
      <alignment horizontal="center" vertical="center" wrapText="1"/>
    </xf>
    <xf numFmtId="49" fontId="7" fillId="0" borderId="10" xfId="0" applyNumberFormat="1" applyFont="1" applyBorder="1" applyAlignment="1" quotePrefix="1">
      <alignment horizontal="center" vertical="center" wrapText="1"/>
    </xf>
    <xf numFmtId="2" fontId="7" fillId="0" borderId="10" xfId="0" applyNumberFormat="1" applyFont="1" applyBorder="1" applyAlignment="1" quotePrefix="1">
      <alignment horizontal="center" vertical="center" wrapText="1"/>
    </xf>
    <xf numFmtId="4" fontId="7" fillId="24" borderId="10" xfId="0" applyNumberFormat="1" applyFont="1" applyFill="1" applyBorder="1" applyAlignment="1">
      <alignment vertical="center" wrapText="1"/>
    </xf>
    <xf numFmtId="4" fontId="7" fillId="0" borderId="10" xfId="0" applyNumberFormat="1" applyFont="1" applyBorder="1" applyAlignment="1">
      <alignment vertical="center" wrapText="1"/>
    </xf>
    <xf numFmtId="0" fontId="8" fillId="24" borderId="10" xfId="0" applyFont="1" applyFill="1" applyBorder="1" applyAlignment="1" quotePrefix="1">
      <alignment horizontal="center" vertical="center" wrapText="1"/>
    </xf>
    <xf numFmtId="49" fontId="8" fillId="24" borderId="10" xfId="0" applyNumberFormat="1" applyFont="1" applyFill="1" applyBorder="1" applyAlignment="1">
      <alignment horizontal="center" vertical="center" wrapText="1"/>
    </xf>
    <xf numFmtId="2" fontId="8" fillId="24"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0" fontId="7" fillId="0" borderId="11"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2" fontId="7" fillId="0" borderId="12" xfId="0" applyNumberFormat="1" applyFont="1" applyBorder="1" applyAlignment="1" quotePrefix="1">
      <alignment horizontal="center" vertical="center" wrapText="1"/>
    </xf>
    <xf numFmtId="4" fontId="7" fillId="0" borderId="11" xfId="0" applyNumberFormat="1" applyFont="1" applyBorder="1" applyAlignment="1">
      <alignment vertical="center" wrapText="1"/>
    </xf>
    <xf numFmtId="0" fontId="7" fillId="0" borderId="13" xfId="0"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0" borderId="13" xfId="0" applyNumberFormat="1" applyFont="1" applyBorder="1" applyAlignment="1">
      <alignment horizontal="center" vertical="center" wrapText="1"/>
    </xf>
    <xf numFmtId="4" fontId="7" fillId="24" borderId="13" xfId="0" applyNumberFormat="1" applyFont="1" applyFill="1" applyBorder="1" applyAlignment="1">
      <alignment horizontal="center" vertical="center" wrapText="1"/>
    </xf>
    <xf numFmtId="0" fontId="7" fillId="22" borderId="0" xfId="0" applyFont="1" applyFill="1" applyAlignment="1">
      <alignment vertical="center" wrapText="1"/>
    </xf>
    <xf numFmtId="0" fontId="11" fillId="0" borderId="10" xfId="0" applyFont="1" applyBorder="1" applyAlignment="1" quotePrefix="1">
      <alignment horizontal="center" vertical="center" wrapText="1"/>
    </xf>
    <xf numFmtId="49" fontId="11" fillId="0" borderId="10" xfId="0" applyNumberFormat="1" applyFont="1" applyBorder="1" applyAlignment="1" quotePrefix="1">
      <alignment horizontal="center" vertical="center" wrapText="1"/>
    </xf>
    <xf numFmtId="2" fontId="11" fillId="0" borderId="10" xfId="0" applyNumberFormat="1" applyFont="1" applyBorder="1" applyAlignment="1" quotePrefix="1">
      <alignment horizontal="center" vertical="center" wrapText="1"/>
    </xf>
    <xf numFmtId="4" fontId="11" fillId="24" borderId="10" xfId="0" applyNumberFormat="1" applyFont="1" applyFill="1" applyBorder="1" applyAlignment="1">
      <alignment vertical="center" wrapText="1"/>
    </xf>
    <xf numFmtId="4" fontId="11" fillId="0" borderId="10" xfId="0" applyNumberFormat="1" applyFont="1" applyBorder="1" applyAlignment="1">
      <alignment vertical="center" wrapText="1"/>
    </xf>
    <xf numFmtId="0" fontId="11" fillId="0" borderId="0" xfId="0" applyFont="1" applyAlignment="1">
      <alignment vertical="center" wrapText="1"/>
    </xf>
    <xf numFmtId="0" fontId="12" fillId="0" borderId="10" xfId="0" applyFont="1" applyBorder="1" applyAlignment="1" quotePrefix="1">
      <alignment horizontal="center" vertical="center" wrapText="1"/>
    </xf>
    <xf numFmtId="49" fontId="12" fillId="0" borderId="10" xfId="0" applyNumberFormat="1" applyFont="1" applyBorder="1" applyAlignment="1" quotePrefix="1">
      <alignment horizontal="center" vertical="center" wrapText="1"/>
    </xf>
    <xf numFmtId="2" fontId="12" fillId="0" borderId="10" xfId="0" applyNumberFormat="1" applyFont="1" applyBorder="1" applyAlignment="1" quotePrefix="1">
      <alignment horizontal="center" vertical="center" wrapText="1"/>
    </xf>
    <xf numFmtId="4" fontId="12" fillId="0" borderId="10" xfId="0" applyNumberFormat="1" applyFont="1" applyBorder="1" applyAlignment="1">
      <alignment vertical="center" wrapText="1"/>
    </xf>
    <xf numFmtId="4" fontId="12" fillId="24" borderId="10" xfId="0" applyNumberFormat="1" applyFont="1" applyFill="1" applyBorder="1" applyAlignment="1">
      <alignment vertical="center" wrapText="1"/>
    </xf>
    <xf numFmtId="0" fontId="8" fillId="0" borderId="0" xfId="0" applyFont="1" applyAlignment="1">
      <alignment vertical="center" wrapText="1"/>
    </xf>
    <xf numFmtId="49" fontId="12" fillId="0" borderId="10" xfId="0" applyNumberFormat="1" applyFont="1" applyBorder="1" applyAlignment="1">
      <alignment horizontal="center" vertical="center" wrapText="1"/>
    </xf>
    <xf numFmtId="0" fontId="12" fillId="0" borderId="0" xfId="0" applyFont="1" applyAlignment="1">
      <alignment vertical="center" wrapText="1"/>
    </xf>
    <xf numFmtId="0" fontId="8" fillId="24" borderId="10" xfId="0" applyFont="1" applyFill="1" applyBorder="1" applyAlignment="1">
      <alignment horizontal="center" vertical="center" wrapText="1"/>
    </xf>
    <xf numFmtId="0" fontId="7" fillId="24" borderId="10" xfId="0" applyFont="1" applyFill="1" applyBorder="1" applyAlignment="1">
      <alignment horizontal="right" vertical="center" wrapText="1"/>
    </xf>
    <xf numFmtId="4" fontId="8" fillId="4" borderId="10" xfId="0" applyNumberFormat="1" applyFont="1" applyFill="1" applyBorder="1" applyAlignment="1">
      <alignment horizontal="right" vertical="center" wrapText="1"/>
    </xf>
    <xf numFmtId="4" fontId="8" fillId="22" borderId="10" xfId="0" applyNumberFormat="1" applyFont="1" applyFill="1" applyBorder="1" applyAlignment="1">
      <alignment horizontal="right" vertical="center" wrapText="1"/>
    </xf>
    <xf numFmtId="4" fontId="8" fillId="24" borderId="10" xfId="0" applyNumberFormat="1" applyFont="1" applyFill="1" applyBorder="1" applyAlignment="1">
      <alignment horizontal="right" vertical="center" wrapText="1"/>
    </xf>
    <xf numFmtId="4" fontId="7" fillId="24" borderId="10"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4" fontId="11" fillId="24" borderId="10" xfId="0" applyNumberFormat="1" applyFont="1" applyFill="1" applyBorder="1" applyAlignment="1">
      <alignment horizontal="right" vertical="center" wrapText="1"/>
    </xf>
    <xf numFmtId="4" fontId="12" fillId="24" borderId="10" xfId="0" applyNumberFormat="1" applyFont="1" applyFill="1" applyBorder="1" applyAlignment="1">
      <alignment horizontal="right" vertical="center" wrapText="1"/>
    </xf>
    <xf numFmtId="0" fontId="4" fillId="0" borderId="0" xfId="0" applyFont="1" applyAlignment="1">
      <alignment horizontal="right" vertical="center" wrapText="1"/>
    </xf>
    <xf numFmtId="49" fontId="8" fillId="22" borderId="10" xfId="0" applyNumberFormat="1" applyFont="1" applyFill="1" applyBorder="1" applyAlignment="1" quotePrefix="1">
      <alignment horizontal="center" vertical="center" wrapText="1"/>
    </xf>
    <xf numFmtId="2" fontId="8" fillId="22" borderId="10" xfId="0" applyNumberFormat="1" applyFont="1" applyFill="1" applyBorder="1" applyAlignment="1" quotePrefix="1">
      <alignment horizontal="center" vertical="center" wrapText="1"/>
    </xf>
    <xf numFmtId="0" fontId="13" fillId="4" borderId="10" xfId="0" applyFont="1" applyFill="1" applyBorder="1" applyAlignment="1" quotePrefix="1">
      <alignment horizontal="center" vertical="center" wrapText="1"/>
    </xf>
    <xf numFmtId="49" fontId="13" fillId="4" borderId="10" xfId="0" applyNumberFormat="1" applyFont="1" applyFill="1" applyBorder="1" applyAlignment="1">
      <alignment horizontal="center" vertical="center" wrapText="1"/>
    </xf>
    <xf numFmtId="2" fontId="13" fillId="4" borderId="10" xfId="0" applyNumberFormat="1" applyFont="1" applyFill="1" applyBorder="1" applyAlignment="1">
      <alignment horizontal="center" vertical="center" wrapText="1"/>
    </xf>
    <xf numFmtId="4" fontId="13" fillId="4" borderId="10" xfId="0" applyNumberFormat="1" applyFont="1" applyFill="1" applyBorder="1" applyAlignment="1">
      <alignment horizontal="right" vertical="center" wrapText="1"/>
    </xf>
    <xf numFmtId="4" fontId="13" fillId="4" borderId="10" xfId="0" applyNumberFormat="1" applyFont="1" applyFill="1" applyBorder="1" applyAlignment="1">
      <alignment vertical="center" wrapText="1"/>
    </xf>
    <xf numFmtId="0" fontId="14" fillId="0" borderId="0" xfId="0" applyFont="1" applyAlignment="1">
      <alignment vertical="center" wrapText="1"/>
    </xf>
    <xf numFmtId="2" fontId="13" fillId="4" borderId="10" xfId="0" applyNumberFormat="1" applyFont="1" applyFill="1" applyBorder="1" applyAlignment="1" quotePrefix="1">
      <alignment vertical="center" wrapText="1"/>
    </xf>
    <xf numFmtId="2" fontId="8" fillId="0" borderId="10" xfId="0" applyNumberFormat="1" applyFont="1" applyBorder="1" applyAlignment="1" quotePrefix="1">
      <alignment vertical="center" wrapText="1"/>
    </xf>
    <xf numFmtId="2" fontId="8" fillId="22" borderId="10" xfId="0" applyNumberFormat="1" applyFont="1" applyFill="1" applyBorder="1" applyAlignment="1" quotePrefix="1">
      <alignment vertical="center" wrapText="1"/>
    </xf>
    <xf numFmtId="2" fontId="7" fillId="0" borderId="10" xfId="0" applyNumberFormat="1" applyFont="1" applyBorder="1" applyAlignment="1" quotePrefix="1">
      <alignment vertical="center" wrapText="1"/>
    </xf>
    <xf numFmtId="2" fontId="8" fillId="22" borderId="10" xfId="0" applyNumberFormat="1" applyFont="1" applyFill="1" applyBorder="1" applyAlignment="1">
      <alignment vertical="center" wrapText="1"/>
    </xf>
    <xf numFmtId="2" fontId="7" fillId="0" borderId="10" xfId="0" applyNumberFormat="1" applyFont="1" applyBorder="1" applyAlignment="1">
      <alignment vertical="center" wrapText="1"/>
    </xf>
    <xf numFmtId="2" fontId="8" fillId="24" borderId="10" xfId="0" applyNumberFormat="1" applyFont="1" applyFill="1" applyBorder="1" applyAlignment="1" quotePrefix="1">
      <alignment vertical="center" wrapText="1"/>
    </xf>
    <xf numFmtId="2" fontId="8" fillId="4" borderId="10" xfId="0" applyNumberFormat="1" applyFont="1" applyFill="1" applyBorder="1" applyAlignment="1" quotePrefix="1">
      <alignment vertical="center" wrapText="1"/>
    </xf>
    <xf numFmtId="0" fontId="7" fillId="22" borderId="10" xfId="0" applyFont="1" applyFill="1" applyBorder="1" applyAlignment="1">
      <alignment horizontal="justify" vertical="center" wrapText="1"/>
    </xf>
    <xf numFmtId="2" fontId="7" fillId="0" borderId="0" xfId="0" applyNumberFormat="1" applyFont="1" applyAlignment="1">
      <alignment vertical="center" wrapText="1"/>
    </xf>
    <xf numFmtId="2" fontId="7" fillId="0" borderId="16" xfId="0" applyNumberFormat="1" applyFont="1" applyBorder="1" applyAlignment="1">
      <alignment vertical="center" wrapText="1"/>
    </xf>
    <xf numFmtId="0" fontId="8" fillId="22" borderId="16" xfId="0" applyFont="1" applyFill="1" applyBorder="1" applyAlignment="1">
      <alignment horizontal="justify" vertical="center" wrapText="1"/>
    </xf>
    <xf numFmtId="0" fontId="7" fillId="0" borderId="16" xfId="0" applyFont="1" applyBorder="1" applyAlignment="1">
      <alignment vertical="center" wrapText="1"/>
    </xf>
    <xf numFmtId="0" fontId="7" fillId="0" borderId="12" xfId="0" applyFont="1" applyBorder="1" applyAlignment="1">
      <alignment horizontal="justify" vertical="center" wrapText="1"/>
    </xf>
    <xf numFmtId="0" fontId="7" fillId="0" borderId="14" xfId="0" applyNumberFormat="1" applyFont="1" applyBorder="1" applyAlignment="1">
      <alignment horizontal="justify" vertical="center" wrapText="1"/>
    </xf>
    <xf numFmtId="2" fontId="7" fillId="0" borderId="14" xfId="0" applyNumberFormat="1" applyFont="1" applyBorder="1" applyAlignment="1" quotePrefix="1">
      <alignment vertical="center" wrapText="1"/>
    </xf>
    <xf numFmtId="0" fontId="7" fillId="0" borderId="0" xfId="0" applyFont="1" applyAlignment="1">
      <alignment horizontal="justify" vertical="center" wrapText="1"/>
    </xf>
    <xf numFmtId="2" fontId="7" fillId="0" borderId="16" xfId="0" applyNumberFormat="1" applyFont="1" applyBorder="1" applyAlignment="1" quotePrefix="1">
      <alignment vertical="center" wrapText="1"/>
    </xf>
    <xf numFmtId="2" fontId="8" fillId="22" borderId="16" xfId="0" applyNumberFormat="1" applyFont="1" applyFill="1" applyBorder="1" applyAlignment="1" quotePrefix="1">
      <alignment vertical="center" wrapText="1"/>
    </xf>
    <xf numFmtId="0" fontId="8" fillId="22" borderId="10" xfId="0" applyFont="1" applyFill="1" applyBorder="1" applyAlignment="1">
      <alignment horizontal="justify" vertical="center" wrapText="1"/>
    </xf>
    <xf numFmtId="0" fontId="7" fillId="0" borderId="10" xfId="0" applyFont="1" applyBorder="1" applyAlignment="1">
      <alignment vertical="center" wrapText="1"/>
    </xf>
    <xf numFmtId="0" fontId="7" fillId="0" borderId="11" xfId="0" applyFont="1" applyBorder="1" applyAlignment="1">
      <alignment horizontal="justify" vertical="center" wrapText="1"/>
    </xf>
    <xf numFmtId="0" fontId="7" fillId="0" borderId="13" xfId="0" applyNumberFormat="1" applyFont="1" applyBorder="1" applyAlignment="1">
      <alignment horizontal="justify" vertical="center" wrapText="1"/>
    </xf>
    <xf numFmtId="2" fontId="7" fillId="0" borderId="13" xfId="0" applyNumberFormat="1" applyFont="1" applyBorder="1" applyAlignment="1" quotePrefix="1">
      <alignment vertical="center" wrapText="1"/>
    </xf>
    <xf numFmtId="2" fontId="11" fillId="0" borderId="10" xfId="0" applyNumberFormat="1" applyFont="1" applyBorder="1" applyAlignment="1">
      <alignment horizontal="right" vertical="center" wrapText="1"/>
    </xf>
    <xf numFmtId="2" fontId="12" fillId="0" borderId="10" xfId="0" applyNumberFormat="1" applyFont="1" applyBorder="1" applyAlignment="1">
      <alignment vertical="center" wrapText="1"/>
    </xf>
    <xf numFmtId="2" fontId="8" fillId="0" borderId="10" xfId="0" applyNumberFormat="1" applyFont="1" applyBorder="1" applyAlignment="1">
      <alignment vertical="center" wrapText="1"/>
    </xf>
    <xf numFmtId="2" fontId="8" fillId="24" borderId="10" xfId="0" applyNumberFormat="1" applyFont="1" applyFill="1" applyBorder="1" applyAlignment="1">
      <alignment vertical="center" wrapText="1"/>
    </xf>
    <xf numFmtId="0" fontId="7" fillId="4" borderId="0" xfId="0" applyFont="1" applyFill="1" applyAlignment="1">
      <alignment vertical="center" wrapText="1"/>
    </xf>
    <xf numFmtId="0" fontId="14" fillId="4" borderId="0" xfId="0" applyFont="1" applyFill="1" applyAlignment="1">
      <alignment vertical="center" wrapText="1"/>
    </xf>
    <xf numFmtId="0" fontId="7" fillId="24" borderId="0" xfId="0" applyFont="1" applyFill="1" applyAlignment="1">
      <alignment vertical="center" wrapText="1"/>
    </xf>
    <xf numFmtId="0" fontId="8" fillId="24" borderId="0" xfId="0" applyFont="1" applyFill="1" applyAlignment="1">
      <alignment vertical="center" wrapText="1"/>
    </xf>
    <xf numFmtId="0" fontId="15" fillId="0" borderId="0" xfId="0" applyFont="1" applyAlignment="1">
      <alignment vertical="center" wrapText="1"/>
    </xf>
    <xf numFmtId="0" fontId="15" fillId="0" borderId="0" xfId="0" applyFont="1" applyAlignment="1">
      <alignment horizontal="right" vertical="center" wrapText="1"/>
    </xf>
    <xf numFmtId="0" fontId="17" fillId="0" borderId="0" xfId="0" applyFont="1" applyAlignment="1">
      <alignment horizontal="left" vertical="center" wrapText="1"/>
    </xf>
    <xf numFmtId="0" fontId="7" fillId="0" borderId="10" xfId="0" applyFont="1" applyBorder="1" applyAlignment="1">
      <alignment horizontal="justify" vertical="center" wrapText="1"/>
    </xf>
    <xf numFmtId="4" fontId="7" fillId="0" borderId="10" xfId="0" applyNumberFormat="1" applyFont="1" applyBorder="1" applyAlignment="1">
      <alignment horizontal="center" vertical="center" wrapText="1"/>
    </xf>
    <xf numFmtId="4" fontId="7" fillId="24" borderId="10" xfId="0" applyNumberFormat="1" applyFont="1" applyFill="1" applyBorder="1" applyAlignment="1">
      <alignment horizontal="center" vertical="center" wrapText="1"/>
    </xf>
    <xf numFmtId="0" fontId="7" fillId="0" borderId="10" xfId="0" applyNumberFormat="1" applyFont="1" applyBorder="1" applyAlignment="1">
      <alignment horizontal="justify" vertical="center" wrapText="1"/>
    </xf>
    <xf numFmtId="4" fontId="7" fillId="0" borderId="0" xfId="0" applyNumberFormat="1" applyFont="1" applyAlignment="1">
      <alignment vertical="center" wrapText="1"/>
    </xf>
    <xf numFmtId="49" fontId="7" fillId="0" borderId="10" xfId="0" applyNumberFormat="1" applyFont="1" applyBorder="1" applyAlignment="1">
      <alignment horizontal="center" vertical="center" wrapText="1"/>
    </xf>
    <xf numFmtId="2" fontId="14" fillId="0" borderId="10" xfId="0" applyNumberFormat="1" applyFont="1" applyBorder="1" applyAlignment="1">
      <alignment vertical="center" wrapText="1"/>
    </xf>
    <xf numFmtId="4" fontId="15" fillId="0" borderId="0" xfId="0" applyNumberFormat="1" applyFont="1" applyAlignment="1">
      <alignment vertical="center" wrapText="1"/>
    </xf>
    <xf numFmtId="1" fontId="8" fillId="0" borderId="10" xfId="0" applyNumberFormat="1" applyFont="1" applyBorder="1" applyAlignment="1">
      <alignment horizontal="center" vertical="center" wrapText="1"/>
    </xf>
    <xf numFmtId="49" fontId="9" fillId="0" borderId="0" xfId="0" applyNumberFormat="1" applyFont="1" applyAlignment="1">
      <alignment horizontal="right" vertical="center" wrapText="1"/>
    </xf>
    <xf numFmtId="4" fontId="9" fillId="0" borderId="0" xfId="0" applyNumberFormat="1" applyFont="1" applyAlignment="1">
      <alignment vertical="center" wrapText="1"/>
    </xf>
    <xf numFmtId="4" fontId="9" fillId="0" borderId="0" xfId="0" applyNumberFormat="1" applyFont="1" applyAlignment="1">
      <alignment horizontal="right" vertical="center" wrapText="1"/>
    </xf>
    <xf numFmtId="0" fontId="7" fillId="0" borderId="10" xfId="0" applyFont="1" applyBorder="1" applyAlignment="1">
      <alignment horizontal="center" vertical="center" wrapText="1"/>
    </xf>
    <xf numFmtId="2" fontId="7" fillId="0" borderId="12"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24" borderId="17"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0" fontId="7" fillId="24" borderId="10" xfId="0" applyFont="1" applyFill="1" applyBorder="1" applyAlignment="1">
      <alignment horizontal="right" vertical="center" wrapText="1"/>
    </xf>
    <xf numFmtId="0" fontId="7" fillId="0" borderId="10" xfId="0" applyFont="1" applyBorder="1" applyAlignment="1">
      <alignment horizontal="right" vertical="center" wrapText="1"/>
    </xf>
    <xf numFmtId="4" fontId="7" fillId="24" borderId="10" xfId="0" applyNumberFormat="1" applyFont="1" applyFill="1" applyBorder="1" applyAlignment="1">
      <alignment horizontal="right" vertical="center" wrapText="1"/>
    </xf>
    <xf numFmtId="0" fontId="7" fillId="0" borderId="11" xfId="0" applyFont="1" applyBorder="1" applyAlignment="1" quotePrefix="1">
      <alignment horizontal="center" vertical="center" wrapText="1"/>
    </xf>
    <xf numFmtId="0" fontId="7" fillId="0" borderId="13"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5" fillId="0" borderId="0" xfId="0" applyFont="1" applyAlignment="1">
      <alignment vertical="center" wrapText="1"/>
    </xf>
    <xf numFmtId="4" fontId="7" fillId="0" borderId="10" xfId="0" applyNumberFormat="1" applyFont="1" applyBorder="1" applyAlignment="1">
      <alignment horizontal="center" vertical="center" wrapText="1"/>
    </xf>
    <xf numFmtId="0" fontId="15" fillId="0" borderId="0" xfId="0" applyFont="1" applyAlignment="1">
      <alignment horizontal="left" vertical="center" wrapText="1"/>
    </xf>
    <xf numFmtId="4" fontId="7" fillId="0" borderId="11"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4" fontId="7" fillId="24" borderId="11" xfId="0" applyNumberFormat="1" applyFont="1" applyFill="1" applyBorder="1" applyAlignment="1">
      <alignment horizontal="center" vertical="center" wrapText="1"/>
    </xf>
    <xf numFmtId="4" fontId="7" fillId="24" borderId="13" xfId="0" applyNumberFormat="1" applyFont="1" applyFill="1" applyBorder="1" applyAlignment="1">
      <alignment horizontal="center" vertical="center" wrapText="1"/>
    </xf>
    <xf numFmtId="4" fontId="7" fillId="24" borderId="10" xfId="0" applyNumberFormat="1" applyFont="1" applyFill="1" applyBorder="1" applyAlignment="1">
      <alignment horizontal="center" vertical="center" wrapText="1"/>
    </xf>
    <xf numFmtId="0" fontId="15" fillId="0" borderId="0" xfId="0" applyFont="1" applyAlignment="1">
      <alignment horizontal="center" vertical="center" wrapText="1"/>
    </xf>
    <xf numFmtId="0" fontId="7" fillId="24"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18"/>
  <sheetViews>
    <sheetView tabSelected="1" view="pageBreakPreview" zoomScale="70" zoomScaleNormal="65" zoomScaleSheetLayoutView="70" zoomScalePageLayoutView="0" workbookViewId="0" topLeftCell="A3">
      <pane xSplit="5" ySplit="12" topLeftCell="F15" activePane="bottomRight" state="frozen"/>
      <selection pane="topLeft" activeCell="A3" sqref="A3"/>
      <selection pane="topRight" activeCell="F3" sqref="F3"/>
      <selection pane="bottomLeft" activeCell="A15" sqref="A15"/>
      <selection pane="bottomRight" activeCell="D17" sqref="D17"/>
    </sheetView>
  </sheetViews>
  <sheetFormatPr defaultColWidth="9.00390625" defaultRowHeight="12.75"/>
  <cols>
    <col min="1" max="2" width="12.00390625" style="8" customWidth="1"/>
    <col min="3" max="3" width="10.125" style="8" bestFit="1" customWidth="1"/>
    <col min="4" max="4" width="40.75390625" style="8" customWidth="1"/>
    <col min="5" max="5" width="17.75390625" style="9" customWidth="1"/>
    <col min="6" max="6" width="18.00390625" style="8" customWidth="1"/>
    <col min="7" max="7" width="16.00390625" style="8" customWidth="1"/>
    <col min="8" max="8" width="14.75390625" style="8" customWidth="1"/>
    <col min="9" max="9" width="16.75390625" style="8" customWidth="1"/>
    <col min="10" max="10" width="16.625" style="9" customWidth="1"/>
    <col min="11" max="11" width="20.00390625" style="8" customWidth="1"/>
    <col min="12" max="12" width="13.375" style="8" customWidth="1"/>
    <col min="13" max="13" width="12.00390625" style="8" customWidth="1"/>
    <col min="14" max="14" width="17.125" style="8" customWidth="1"/>
    <col min="15" max="15" width="17.625" style="8" customWidth="1"/>
    <col min="16" max="16" width="22.125" style="8" customWidth="1"/>
    <col min="17" max="17" width="9.125" style="8" customWidth="1"/>
    <col min="18" max="18" width="13.25390625" style="8" bestFit="1" customWidth="1"/>
    <col min="19" max="16384" width="9.125" style="8" customWidth="1"/>
  </cols>
  <sheetData>
    <row r="1" spans="5:16" s="108" customFormat="1" ht="20.25">
      <c r="E1" s="109"/>
      <c r="J1" s="109"/>
      <c r="L1" s="139" t="s">
        <v>510</v>
      </c>
      <c r="M1" s="139"/>
      <c r="N1" s="139"/>
      <c r="O1" s="139"/>
      <c r="P1" s="139"/>
    </row>
    <row r="2" spans="5:16" s="108" customFormat="1" ht="20.25">
      <c r="E2" s="109"/>
      <c r="J2" s="109"/>
      <c r="L2" s="139" t="s">
        <v>511</v>
      </c>
      <c r="M2" s="139"/>
      <c r="N2" s="139"/>
      <c r="O2" s="139"/>
      <c r="P2" s="139"/>
    </row>
    <row r="3" spans="5:16" s="108" customFormat="1" ht="20.25">
      <c r="E3" s="109"/>
      <c r="J3" s="109"/>
      <c r="L3" s="139" t="s">
        <v>544</v>
      </c>
      <c r="M3" s="139"/>
      <c r="N3" s="139"/>
      <c r="O3" s="139"/>
      <c r="P3" s="139"/>
    </row>
    <row r="4" spans="4:16" s="108" customFormat="1" ht="20.25">
      <c r="D4" s="118"/>
      <c r="E4" s="109"/>
      <c r="J4" s="109"/>
      <c r="L4" s="139" t="s">
        <v>512</v>
      </c>
      <c r="M4" s="139"/>
      <c r="N4" s="139"/>
      <c r="O4" s="139"/>
      <c r="P4" s="139"/>
    </row>
    <row r="5" spans="5:16" s="108" customFormat="1" ht="20.25">
      <c r="E5" s="109"/>
      <c r="J5" s="109"/>
      <c r="L5" s="139" t="s">
        <v>563</v>
      </c>
      <c r="M5" s="139"/>
      <c r="N5" s="139"/>
      <c r="O5" s="139"/>
      <c r="P5" s="139"/>
    </row>
    <row r="6" spans="5:10" s="108" customFormat="1" ht="20.25">
      <c r="E6" s="109"/>
      <c r="J6" s="109"/>
    </row>
    <row r="7" spans="1:16" s="108" customFormat="1" ht="20.25">
      <c r="A7" s="145" t="s">
        <v>0</v>
      </c>
      <c r="B7" s="145"/>
      <c r="C7" s="145"/>
      <c r="D7" s="145"/>
      <c r="E7" s="145"/>
      <c r="F7" s="145"/>
      <c r="G7" s="145"/>
      <c r="H7" s="145"/>
      <c r="I7" s="145"/>
      <c r="J7" s="145"/>
      <c r="K7" s="145"/>
      <c r="L7" s="145"/>
      <c r="M7" s="145"/>
      <c r="N7" s="145"/>
      <c r="O7" s="145"/>
      <c r="P7" s="145"/>
    </row>
    <row r="8" spans="1:16" s="108" customFormat="1" ht="20.25">
      <c r="A8" s="145" t="s">
        <v>562</v>
      </c>
      <c r="B8" s="145"/>
      <c r="C8" s="145"/>
      <c r="D8" s="145"/>
      <c r="E8" s="145"/>
      <c r="F8" s="145"/>
      <c r="G8" s="145"/>
      <c r="H8" s="145"/>
      <c r="I8" s="145"/>
      <c r="J8" s="145"/>
      <c r="K8" s="145"/>
      <c r="L8" s="145"/>
      <c r="M8" s="145"/>
      <c r="N8" s="145"/>
      <c r="O8" s="145"/>
      <c r="P8" s="145"/>
    </row>
    <row r="9" ht="12.75">
      <c r="P9" s="9" t="s">
        <v>1</v>
      </c>
    </row>
    <row r="10" spans="1:16" s="13" customFormat="1" ht="18" customHeight="1">
      <c r="A10" s="123" t="s">
        <v>2</v>
      </c>
      <c r="B10" s="123" t="s">
        <v>3</v>
      </c>
      <c r="C10" s="123" t="s">
        <v>4</v>
      </c>
      <c r="D10" s="123" t="s">
        <v>5</v>
      </c>
      <c r="E10" s="123" t="s">
        <v>6</v>
      </c>
      <c r="F10" s="123"/>
      <c r="G10" s="123"/>
      <c r="H10" s="123"/>
      <c r="I10" s="123"/>
      <c r="J10" s="123" t="s">
        <v>13</v>
      </c>
      <c r="K10" s="123"/>
      <c r="L10" s="123"/>
      <c r="M10" s="123"/>
      <c r="N10" s="123"/>
      <c r="O10" s="123"/>
      <c r="P10" s="146" t="s">
        <v>15</v>
      </c>
    </row>
    <row r="11" spans="1:16" s="13" customFormat="1" ht="18.75" customHeight="1">
      <c r="A11" s="123"/>
      <c r="B11" s="123"/>
      <c r="C11" s="123"/>
      <c r="D11" s="123"/>
      <c r="E11" s="128" t="s">
        <v>7</v>
      </c>
      <c r="F11" s="123" t="s">
        <v>8</v>
      </c>
      <c r="G11" s="123" t="s">
        <v>9</v>
      </c>
      <c r="H11" s="123"/>
      <c r="I11" s="123" t="s">
        <v>12</v>
      </c>
      <c r="J11" s="128" t="s">
        <v>7</v>
      </c>
      <c r="K11" s="123" t="s">
        <v>8</v>
      </c>
      <c r="L11" s="123" t="s">
        <v>9</v>
      </c>
      <c r="M11" s="123"/>
      <c r="N11" s="123" t="s">
        <v>12</v>
      </c>
      <c r="O11" s="11" t="s">
        <v>9</v>
      </c>
      <c r="P11" s="123"/>
    </row>
    <row r="12" spans="1:16" s="13" customFormat="1" ht="25.5" customHeight="1">
      <c r="A12" s="123"/>
      <c r="B12" s="123"/>
      <c r="C12" s="123"/>
      <c r="D12" s="123"/>
      <c r="E12" s="129"/>
      <c r="F12" s="123"/>
      <c r="G12" s="123" t="s">
        <v>10</v>
      </c>
      <c r="H12" s="123" t="s">
        <v>11</v>
      </c>
      <c r="I12" s="123"/>
      <c r="J12" s="129"/>
      <c r="K12" s="123"/>
      <c r="L12" s="123" t="s">
        <v>10</v>
      </c>
      <c r="M12" s="123" t="s">
        <v>11</v>
      </c>
      <c r="N12" s="123"/>
      <c r="O12" s="123" t="s">
        <v>14</v>
      </c>
      <c r="P12" s="123"/>
    </row>
    <row r="13" spans="1:16" s="13" customFormat="1" ht="35.25" customHeight="1">
      <c r="A13" s="123"/>
      <c r="B13" s="123"/>
      <c r="C13" s="123"/>
      <c r="D13" s="123"/>
      <c r="E13" s="129"/>
      <c r="F13" s="123"/>
      <c r="G13" s="123"/>
      <c r="H13" s="123"/>
      <c r="I13" s="123"/>
      <c r="J13" s="129"/>
      <c r="K13" s="123"/>
      <c r="L13" s="123"/>
      <c r="M13" s="123"/>
      <c r="N13" s="123"/>
      <c r="O13" s="123"/>
      <c r="P13" s="123"/>
    </row>
    <row r="14" spans="1:16" s="13" customFormat="1" ht="15">
      <c r="A14" s="11">
        <v>1</v>
      </c>
      <c r="B14" s="11">
        <v>2</v>
      </c>
      <c r="C14" s="11">
        <v>3</v>
      </c>
      <c r="D14" s="11">
        <v>4</v>
      </c>
      <c r="E14" s="59">
        <v>5</v>
      </c>
      <c r="F14" s="11">
        <v>6</v>
      </c>
      <c r="G14" s="11">
        <v>7</v>
      </c>
      <c r="H14" s="11">
        <v>8</v>
      </c>
      <c r="I14" s="11">
        <v>9</v>
      </c>
      <c r="J14" s="59">
        <v>5</v>
      </c>
      <c r="K14" s="11">
        <v>11</v>
      </c>
      <c r="L14" s="11">
        <v>12</v>
      </c>
      <c r="M14" s="11">
        <v>13</v>
      </c>
      <c r="N14" s="11">
        <v>14</v>
      </c>
      <c r="O14" s="11">
        <v>15</v>
      </c>
      <c r="P14" s="12">
        <v>16</v>
      </c>
    </row>
    <row r="15" spans="1:16" s="75" customFormat="1" ht="15.75">
      <c r="A15" s="70" t="s">
        <v>16</v>
      </c>
      <c r="B15" s="71"/>
      <c r="C15" s="72"/>
      <c r="D15" s="76" t="s">
        <v>17</v>
      </c>
      <c r="E15" s="73">
        <f aca="true" t="shared" si="0" ref="E15:E20">F15+I15</f>
        <v>14830066</v>
      </c>
      <c r="F15" s="74">
        <f>F16</f>
        <v>14830066</v>
      </c>
      <c r="G15" s="74">
        <f>G16</f>
        <v>8082160</v>
      </c>
      <c r="H15" s="74">
        <f>H16</f>
        <v>1230706</v>
      </c>
      <c r="I15" s="74">
        <f>I16</f>
        <v>0</v>
      </c>
      <c r="J15" s="73">
        <f aca="true" t="shared" si="1" ref="J15:J20">K15+N15</f>
        <v>550000</v>
      </c>
      <c r="K15" s="74">
        <f>K16</f>
        <v>0</v>
      </c>
      <c r="L15" s="74">
        <f>L16</f>
        <v>0</v>
      </c>
      <c r="M15" s="74">
        <f>M16</f>
        <v>0</v>
      </c>
      <c r="N15" s="74">
        <f>N16</f>
        <v>550000</v>
      </c>
      <c r="O15" s="74">
        <f>O16</f>
        <v>550000</v>
      </c>
      <c r="P15" s="74">
        <f aca="true" t="shared" si="2" ref="P15:P91">E15+J15</f>
        <v>15380066</v>
      </c>
    </row>
    <row r="16" spans="1:16" s="106" customFormat="1" ht="15">
      <c r="A16" s="29" t="s">
        <v>18</v>
      </c>
      <c r="B16" s="30"/>
      <c r="C16" s="31"/>
      <c r="D16" s="82" t="s">
        <v>426</v>
      </c>
      <c r="E16" s="62">
        <f t="shared" si="0"/>
        <v>14830066</v>
      </c>
      <c r="F16" s="22">
        <f>F17+F18+F21</f>
        <v>14830066</v>
      </c>
      <c r="G16" s="22">
        <f>G17+G18+G21</f>
        <v>8082160</v>
      </c>
      <c r="H16" s="22">
        <f>H17+H18+H21</f>
        <v>1230706</v>
      </c>
      <c r="I16" s="22">
        <f>I17+I18+I21</f>
        <v>0</v>
      </c>
      <c r="J16" s="62">
        <f t="shared" si="1"/>
        <v>550000</v>
      </c>
      <c r="K16" s="22">
        <f>K17+K18+K21</f>
        <v>0</v>
      </c>
      <c r="L16" s="22">
        <f>L17+L18+L21</f>
        <v>0</v>
      </c>
      <c r="M16" s="22">
        <f>M17+M18+M21</f>
        <v>0</v>
      </c>
      <c r="N16" s="22">
        <f>N17+N18+N21</f>
        <v>550000</v>
      </c>
      <c r="O16" s="22">
        <f>O17+O18+O21</f>
        <v>550000</v>
      </c>
      <c r="P16" s="22">
        <f t="shared" si="2"/>
        <v>15380066</v>
      </c>
    </row>
    <row r="17" spans="1:16" s="13" customFormat="1" ht="85.5">
      <c r="A17" s="5" t="s">
        <v>19</v>
      </c>
      <c r="B17" s="7" t="s">
        <v>21</v>
      </c>
      <c r="C17" s="6" t="s">
        <v>20</v>
      </c>
      <c r="D17" s="77" t="s">
        <v>557</v>
      </c>
      <c r="E17" s="62">
        <f t="shared" si="0"/>
        <v>13650766</v>
      </c>
      <c r="F17" s="23">
        <f>13650766</f>
        <v>13650766</v>
      </c>
      <c r="G17" s="23">
        <v>8082160</v>
      </c>
      <c r="H17" s="23">
        <v>1230706</v>
      </c>
      <c r="I17" s="23">
        <v>0</v>
      </c>
      <c r="J17" s="62">
        <f t="shared" si="1"/>
        <v>550000</v>
      </c>
      <c r="K17" s="23">
        <v>0</v>
      </c>
      <c r="L17" s="23">
        <v>0</v>
      </c>
      <c r="M17" s="23">
        <v>0</v>
      </c>
      <c r="N17" s="23">
        <f>200000+350000</f>
        <v>550000</v>
      </c>
      <c r="O17" s="23">
        <f>200000+350000</f>
        <v>550000</v>
      </c>
      <c r="P17" s="22">
        <f t="shared" si="2"/>
        <v>14200766</v>
      </c>
    </row>
    <row r="18" spans="1:16" s="13" customFormat="1" ht="15">
      <c r="A18" s="18" t="s">
        <v>22</v>
      </c>
      <c r="B18" s="19"/>
      <c r="C18" s="20"/>
      <c r="D18" s="78" t="s">
        <v>23</v>
      </c>
      <c r="E18" s="61">
        <f t="shared" si="0"/>
        <v>850000</v>
      </c>
      <c r="F18" s="21">
        <f>F19+F20</f>
        <v>850000</v>
      </c>
      <c r="G18" s="21">
        <f>G19+G20</f>
        <v>0</v>
      </c>
      <c r="H18" s="21">
        <f>H19+H20</f>
        <v>0</v>
      </c>
      <c r="I18" s="21">
        <f>I19+I20</f>
        <v>0</v>
      </c>
      <c r="J18" s="61">
        <f t="shared" si="1"/>
        <v>0</v>
      </c>
      <c r="K18" s="21">
        <f>K19+K20</f>
        <v>0</v>
      </c>
      <c r="L18" s="21">
        <f>L19+L20</f>
        <v>0</v>
      </c>
      <c r="M18" s="21">
        <f>M19+M20</f>
        <v>0</v>
      </c>
      <c r="N18" s="21">
        <f>N19+N20</f>
        <v>0</v>
      </c>
      <c r="O18" s="21">
        <f>O19+O20</f>
        <v>0</v>
      </c>
      <c r="P18" s="21">
        <f t="shared" si="2"/>
        <v>850000</v>
      </c>
    </row>
    <row r="19" spans="1:16" s="13" customFormat="1" ht="30">
      <c r="A19" s="24" t="s">
        <v>24</v>
      </c>
      <c r="B19" s="25" t="s">
        <v>26</v>
      </c>
      <c r="C19" s="26" t="s">
        <v>25</v>
      </c>
      <c r="D19" s="79" t="s">
        <v>27</v>
      </c>
      <c r="E19" s="63">
        <f t="shared" si="0"/>
        <v>450000</v>
      </c>
      <c r="F19" s="28">
        <v>450000</v>
      </c>
      <c r="G19" s="28">
        <v>0</v>
      </c>
      <c r="H19" s="28">
        <v>0</v>
      </c>
      <c r="I19" s="28">
        <v>0</v>
      </c>
      <c r="J19" s="63">
        <f t="shared" si="1"/>
        <v>0</v>
      </c>
      <c r="K19" s="28">
        <v>0</v>
      </c>
      <c r="L19" s="28">
        <v>0</v>
      </c>
      <c r="M19" s="28">
        <v>0</v>
      </c>
      <c r="N19" s="28">
        <f>450000-450000</f>
        <v>0</v>
      </c>
      <c r="O19" s="28">
        <f>450000-450000</f>
        <v>0</v>
      </c>
      <c r="P19" s="27">
        <f t="shared" si="2"/>
        <v>450000</v>
      </c>
    </row>
    <row r="20" spans="1:16" s="13" customFormat="1" ht="30">
      <c r="A20" s="24" t="s">
        <v>28</v>
      </c>
      <c r="B20" s="25" t="s">
        <v>29</v>
      </c>
      <c r="C20" s="26" t="s">
        <v>25</v>
      </c>
      <c r="D20" s="79" t="s">
        <v>30</v>
      </c>
      <c r="E20" s="63">
        <f t="shared" si="0"/>
        <v>400000</v>
      </c>
      <c r="F20" s="28">
        <v>400000</v>
      </c>
      <c r="G20" s="28">
        <v>0</v>
      </c>
      <c r="H20" s="28">
        <v>0</v>
      </c>
      <c r="I20" s="28">
        <v>0</v>
      </c>
      <c r="J20" s="63">
        <f t="shared" si="1"/>
        <v>0</v>
      </c>
      <c r="K20" s="28">
        <v>0</v>
      </c>
      <c r="L20" s="28">
        <v>0</v>
      </c>
      <c r="M20" s="28">
        <v>0</v>
      </c>
      <c r="N20" s="28">
        <v>0</v>
      </c>
      <c r="O20" s="28">
        <v>0</v>
      </c>
      <c r="P20" s="27">
        <f t="shared" si="2"/>
        <v>400000</v>
      </c>
    </row>
    <row r="21" spans="1:16" s="13" customFormat="1" ht="15">
      <c r="A21" s="19" t="s">
        <v>526</v>
      </c>
      <c r="B21" s="19" t="s">
        <v>32</v>
      </c>
      <c r="C21" s="19" t="s">
        <v>31</v>
      </c>
      <c r="D21" s="80" t="s">
        <v>523</v>
      </c>
      <c r="E21" s="63">
        <f>F21+I21</f>
        <v>329300</v>
      </c>
      <c r="F21" s="21">
        <f>SUM(F22+F23)</f>
        <v>329300</v>
      </c>
      <c r="G21" s="21">
        <f>G22</f>
        <v>0</v>
      </c>
      <c r="H21" s="21">
        <f>H22</f>
        <v>0</v>
      </c>
      <c r="I21" s="21">
        <f>I22</f>
        <v>0</v>
      </c>
      <c r="J21" s="61">
        <f>SUM(J22)</f>
        <v>0</v>
      </c>
      <c r="K21" s="21">
        <f>K22</f>
        <v>0</v>
      </c>
      <c r="L21" s="21">
        <f>L22</f>
        <v>0</v>
      </c>
      <c r="M21" s="21">
        <f>M22</f>
        <v>0</v>
      </c>
      <c r="N21" s="21">
        <f>N22</f>
        <v>0</v>
      </c>
      <c r="O21" s="21">
        <f>O22</f>
        <v>0</v>
      </c>
      <c r="P21" s="21">
        <f>E21+J21</f>
        <v>329300</v>
      </c>
    </row>
    <row r="22" spans="1:16" s="13" customFormat="1" ht="30">
      <c r="A22" s="24" t="s">
        <v>500</v>
      </c>
      <c r="B22" s="25" t="s">
        <v>501</v>
      </c>
      <c r="C22" s="26" t="s">
        <v>31</v>
      </c>
      <c r="D22" s="81" t="s">
        <v>506</v>
      </c>
      <c r="E22" s="63">
        <f>F22+I22</f>
        <v>209300</v>
      </c>
      <c r="F22" s="28">
        <v>209300</v>
      </c>
      <c r="G22" s="28">
        <v>0</v>
      </c>
      <c r="H22" s="28">
        <v>0</v>
      </c>
      <c r="I22" s="28">
        <v>0</v>
      </c>
      <c r="J22" s="63">
        <f>K22+N22</f>
        <v>0</v>
      </c>
      <c r="K22" s="28">
        <v>0</v>
      </c>
      <c r="L22" s="28">
        <v>0</v>
      </c>
      <c r="M22" s="28">
        <v>0</v>
      </c>
      <c r="N22" s="28">
        <v>0</v>
      </c>
      <c r="O22" s="28">
        <v>0</v>
      </c>
      <c r="P22" s="27">
        <f t="shared" si="2"/>
        <v>209300</v>
      </c>
    </row>
    <row r="23" spans="1:16" s="13" customFormat="1" ht="36.75" customHeight="1">
      <c r="A23" s="116" t="s">
        <v>546</v>
      </c>
      <c r="B23" s="116" t="s">
        <v>547</v>
      </c>
      <c r="C23" s="116" t="s">
        <v>31</v>
      </c>
      <c r="D23" s="117" t="s">
        <v>545</v>
      </c>
      <c r="E23" s="63">
        <f>F23+I23</f>
        <v>120000</v>
      </c>
      <c r="F23" s="28">
        <v>120000</v>
      </c>
      <c r="G23" s="28"/>
      <c r="H23" s="28"/>
      <c r="I23" s="28"/>
      <c r="J23" s="63"/>
      <c r="K23" s="28"/>
      <c r="L23" s="28"/>
      <c r="M23" s="28"/>
      <c r="N23" s="28"/>
      <c r="O23" s="28"/>
      <c r="P23" s="27">
        <f t="shared" si="2"/>
        <v>120000</v>
      </c>
    </row>
    <row r="24" spans="1:16" s="75" customFormat="1" ht="159.75" customHeight="1">
      <c r="A24" s="70" t="s">
        <v>34</v>
      </c>
      <c r="B24" s="71"/>
      <c r="C24" s="72"/>
      <c r="D24" s="76" t="s">
        <v>509</v>
      </c>
      <c r="E24" s="60">
        <f>F24+I24</f>
        <v>23092564</v>
      </c>
      <c r="F24" s="74">
        <f>F25+F31+F37</f>
        <v>23092564</v>
      </c>
      <c r="G24" s="74">
        <f>G25+G31+G37</f>
        <v>8583098</v>
      </c>
      <c r="H24" s="74">
        <f>H25+H31+H37</f>
        <v>2317329</v>
      </c>
      <c r="I24" s="74">
        <f>I25+I31+I37</f>
        <v>0</v>
      </c>
      <c r="J24" s="60">
        <f>K24+N24</f>
        <v>590014</v>
      </c>
      <c r="K24" s="74">
        <f>K25+K31+K37</f>
        <v>410014</v>
      </c>
      <c r="L24" s="74">
        <f>L25+L31+L37</f>
        <v>0</v>
      </c>
      <c r="M24" s="74">
        <f>M25+M31+M37</f>
        <v>351514</v>
      </c>
      <c r="N24" s="74">
        <f>N25+N31+N37</f>
        <v>180000</v>
      </c>
      <c r="O24" s="74">
        <f>O25+O31+O37</f>
        <v>180000</v>
      </c>
      <c r="P24" s="74">
        <f t="shared" si="2"/>
        <v>23682578</v>
      </c>
    </row>
    <row r="25" spans="1:16" s="13" customFormat="1" ht="28.5">
      <c r="A25" s="29" t="s">
        <v>427</v>
      </c>
      <c r="B25" s="30"/>
      <c r="C25" s="31"/>
      <c r="D25" s="82" t="s">
        <v>429</v>
      </c>
      <c r="E25" s="62">
        <f aca="true" t="shared" si="3" ref="E25:E69">F25+I25</f>
        <v>7902757</v>
      </c>
      <c r="F25" s="22">
        <f>F26+F27+F28+F29</f>
        <v>7902757</v>
      </c>
      <c r="G25" s="22">
        <f>G26+G27+G28+G29</f>
        <v>2852211</v>
      </c>
      <c r="H25" s="22">
        <f>H26+H27+H28+H29</f>
        <v>685207</v>
      </c>
      <c r="I25" s="22">
        <f>I26+I27+I28+I29</f>
        <v>0</v>
      </c>
      <c r="J25" s="62">
        <f aca="true" t="shared" si="4" ref="J25:J69">K25+N25</f>
        <v>20000</v>
      </c>
      <c r="K25" s="22">
        <f>K26+K27+K28+K29</f>
        <v>0</v>
      </c>
      <c r="L25" s="22">
        <f>L26+L27+L28+L29</f>
        <v>0</v>
      </c>
      <c r="M25" s="22">
        <f>M26+M27+M28+M29</f>
        <v>0</v>
      </c>
      <c r="N25" s="22">
        <f>N26+N27+N28+N29</f>
        <v>20000</v>
      </c>
      <c r="O25" s="22">
        <f>O26+O27+O28+O29</f>
        <v>20000</v>
      </c>
      <c r="P25" s="22">
        <f t="shared" si="2"/>
        <v>7922757</v>
      </c>
    </row>
    <row r="26" spans="1:16" s="13" customFormat="1" ht="42.75">
      <c r="A26" s="5" t="s">
        <v>428</v>
      </c>
      <c r="B26" s="7" t="s">
        <v>35</v>
      </c>
      <c r="C26" s="6" t="s">
        <v>20</v>
      </c>
      <c r="D26" s="77" t="s">
        <v>558</v>
      </c>
      <c r="E26" s="62">
        <f t="shared" si="3"/>
        <v>4634404</v>
      </c>
      <c r="F26" s="23">
        <f>4634404+20000-20000</f>
        <v>4634404</v>
      </c>
      <c r="G26" s="23">
        <v>2802293</v>
      </c>
      <c r="H26" s="23">
        <v>685207</v>
      </c>
      <c r="I26" s="23">
        <v>0</v>
      </c>
      <c r="J26" s="62">
        <f t="shared" si="4"/>
        <v>20000</v>
      </c>
      <c r="K26" s="23">
        <v>0</v>
      </c>
      <c r="L26" s="23">
        <v>0</v>
      </c>
      <c r="M26" s="23">
        <v>0</v>
      </c>
      <c r="N26" s="23">
        <v>20000</v>
      </c>
      <c r="O26" s="23">
        <v>20000</v>
      </c>
      <c r="P26" s="22">
        <f t="shared" si="2"/>
        <v>4654404</v>
      </c>
    </row>
    <row r="27" spans="1:16" s="13" customFormat="1" ht="28.5">
      <c r="A27" s="5" t="s">
        <v>430</v>
      </c>
      <c r="B27" s="7" t="s">
        <v>37</v>
      </c>
      <c r="C27" s="6" t="s">
        <v>36</v>
      </c>
      <c r="D27" s="77" t="s">
        <v>38</v>
      </c>
      <c r="E27" s="62">
        <f t="shared" si="3"/>
        <v>60900</v>
      </c>
      <c r="F27" s="23">
        <v>60900</v>
      </c>
      <c r="G27" s="23">
        <v>49918</v>
      </c>
      <c r="H27" s="23">
        <v>0</v>
      </c>
      <c r="I27" s="23">
        <v>0</v>
      </c>
      <c r="J27" s="62">
        <f t="shared" si="4"/>
        <v>0</v>
      </c>
      <c r="K27" s="23">
        <v>0</v>
      </c>
      <c r="L27" s="23">
        <v>0</v>
      </c>
      <c r="M27" s="23">
        <v>0</v>
      </c>
      <c r="N27" s="23">
        <v>0</v>
      </c>
      <c r="O27" s="23">
        <v>0</v>
      </c>
      <c r="P27" s="22">
        <f>E27+J27</f>
        <v>60900</v>
      </c>
    </row>
    <row r="28" spans="1:16" s="13" customFormat="1" ht="15">
      <c r="A28" s="5" t="s">
        <v>431</v>
      </c>
      <c r="B28" s="7" t="s">
        <v>40</v>
      </c>
      <c r="C28" s="6" t="s">
        <v>39</v>
      </c>
      <c r="D28" s="77" t="s">
        <v>41</v>
      </c>
      <c r="E28" s="62">
        <f t="shared" si="3"/>
        <v>2380000</v>
      </c>
      <c r="F28" s="23">
        <f>2400000-20000</f>
        <v>2380000</v>
      </c>
      <c r="G28" s="23">
        <v>0</v>
      </c>
      <c r="H28" s="23">
        <v>0</v>
      </c>
      <c r="I28" s="23">
        <v>0</v>
      </c>
      <c r="J28" s="62">
        <f t="shared" si="4"/>
        <v>0</v>
      </c>
      <c r="K28" s="23">
        <v>0</v>
      </c>
      <c r="L28" s="23">
        <v>0</v>
      </c>
      <c r="M28" s="23">
        <v>0</v>
      </c>
      <c r="N28" s="23">
        <v>0</v>
      </c>
      <c r="O28" s="23">
        <v>0</v>
      </c>
      <c r="P28" s="22">
        <f t="shared" si="2"/>
        <v>2380000</v>
      </c>
    </row>
    <row r="29" spans="1:16" s="13" customFormat="1" ht="15">
      <c r="A29" s="19" t="s">
        <v>524</v>
      </c>
      <c r="B29" s="19" t="s">
        <v>32</v>
      </c>
      <c r="C29" s="19" t="s">
        <v>31</v>
      </c>
      <c r="D29" s="80" t="s">
        <v>523</v>
      </c>
      <c r="E29" s="61">
        <f t="shared" si="3"/>
        <v>827453</v>
      </c>
      <c r="F29" s="21">
        <f>F30</f>
        <v>827453</v>
      </c>
      <c r="G29" s="21">
        <f>G30</f>
        <v>0</v>
      </c>
      <c r="H29" s="21">
        <f>H30</f>
        <v>0</v>
      </c>
      <c r="I29" s="21">
        <f>I30</f>
        <v>0</v>
      </c>
      <c r="J29" s="61">
        <f t="shared" si="4"/>
        <v>0</v>
      </c>
      <c r="K29" s="21">
        <f>K30</f>
        <v>0</v>
      </c>
      <c r="L29" s="21">
        <f>L30</f>
        <v>0</v>
      </c>
      <c r="M29" s="21">
        <f>M30</f>
        <v>0</v>
      </c>
      <c r="N29" s="21">
        <f>N30</f>
        <v>0</v>
      </c>
      <c r="O29" s="21">
        <f>O30</f>
        <v>0</v>
      </c>
      <c r="P29" s="21">
        <f>E29+J29</f>
        <v>827453</v>
      </c>
    </row>
    <row r="30" spans="1:16" s="13" customFormat="1" ht="45">
      <c r="A30" s="24" t="s">
        <v>502</v>
      </c>
      <c r="B30" s="25" t="s">
        <v>503</v>
      </c>
      <c r="C30" s="26" t="s">
        <v>31</v>
      </c>
      <c r="D30" s="81" t="s">
        <v>507</v>
      </c>
      <c r="E30" s="63">
        <f t="shared" si="3"/>
        <v>827453</v>
      </c>
      <c r="F30" s="28">
        <v>827453</v>
      </c>
      <c r="G30" s="28">
        <v>0</v>
      </c>
      <c r="H30" s="28">
        <v>0</v>
      </c>
      <c r="I30" s="28">
        <v>0</v>
      </c>
      <c r="J30" s="63">
        <f t="shared" si="4"/>
        <v>0</v>
      </c>
      <c r="K30" s="28">
        <v>0</v>
      </c>
      <c r="L30" s="28">
        <v>0</v>
      </c>
      <c r="M30" s="28">
        <v>0</v>
      </c>
      <c r="N30" s="28">
        <v>0</v>
      </c>
      <c r="O30" s="28">
        <v>0</v>
      </c>
      <c r="P30" s="27">
        <f t="shared" si="2"/>
        <v>827453</v>
      </c>
    </row>
    <row r="31" spans="1:16" s="13" customFormat="1" ht="28.5">
      <c r="A31" s="29" t="s">
        <v>427</v>
      </c>
      <c r="B31" s="30"/>
      <c r="C31" s="31"/>
      <c r="D31" s="82" t="s">
        <v>432</v>
      </c>
      <c r="E31" s="62">
        <f t="shared" si="3"/>
        <v>7770619</v>
      </c>
      <c r="F31" s="22">
        <f>F32+F33+F34+F35</f>
        <v>7770619</v>
      </c>
      <c r="G31" s="22">
        <f>G32+G33+G34+G35</f>
        <v>2824786</v>
      </c>
      <c r="H31" s="22">
        <f>H32+H33+H34+H35</f>
        <v>1120966</v>
      </c>
      <c r="I31" s="22">
        <f>I32+I33+I34+I35</f>
        <v>0</v>
      </c>
      <c r="J31" s="62">
        <f t="shared" si="4"/>
        <v>570014</v>
      </c>
      <c r="K31" s="22">
        <f>K32+K33+K34+K35</f>
        <v>410014</v>
      </c>
      <c r="L31" s="22">
        <f>L32+L33+L34+L35</f>
        <v>0</v>
      </c>
      <c r="M31" s="22">
        <f>M32+M33+M34+M35</f>
        <v>351514</v>
      </c>
      <c r="N31" s="22">
        <f>N32+N33+N34+N35</f>
        <v>160000</v>
      </c>
      <c r="O31" s="22">
        <f>O32+O33+O34+O35</f>
        <v>160000</v>
      </c>
      <c r="P31" s="22">
        <f t="shared" si="2"/>
        <v>8340633</v>
      </c>
    </row>
    <row r="32" spans="1:16" s="13" customFormat="1" ht="42.75">
      <c r="A32" s="5" t="s">
        <v>428</v>
      </c>
      <c r="B32" s="32" t="s">
        <v>35</v>
      </c>
      <c r="C32" s="32" t="s">
        <v>20</v>
      </c>
      <c r="D32" s="77" t="s">
        <v>558</v>
      </c>
      <c r="E32" s="62">
        <f t="shared" si="3"/>
        <v>5062805</v>
      </c>
      <c r="F32" s="23">
        <v>5062805</v>
      </c>
      <c r="G32" s="23">
        <v>2791999</v>
      </c>
      <c r="H32" s="23">
        <v>1120966</v>
      </c>
      <c r="I32" s="23">
        <v>0</v>
      </c>
      <c r="J32" s="62">
        <f t="shared" si="4"/>
        <v>410014</v>
      </c>
      <c r="K32" s="23">
        <v>410014</v>
      </c>
      <c r="L32" s="23">
        <v>0</v>
      </c>
      <c r="M32" s="23">
        <v>351514</v>
      </c>
      <c r="N32" s="23">
        <v>0</v>
      </c>
      <c r="O32" s="23">
        <v>0</v>
      </c>
      <c r="P32" s="22">
        <f t="shared" si="2"/>
        <v>5472819</v>
      </c>
    </row>
    <row r="33" spans="1:16" s="13" customFormat="1" ht="28.5">
      <c r="A33" s="5" t="s">
        <v>430</v>
      </c>
      <c r="B33" s="7" t="s">
        <v>37</v>
      </c>
      <c r="C33" s="6" t="s">
        <v>36</v>
      </c>
      <c r="D33" s="77" t="s">
        <v>42</v>
      </c>
      <c r="E33" s="62">
        <f t="shared" si="3"/>
        <v>40000</v>
      </c>
      <c r="F33" s="23">
        <v>40000</v>
      </c>
      <c r="G33" s="23">
        <v>32787</v>
      </c>
      <c r="H33" s="23">
        <v>0</v>
      </c>
      <c r="I33" s="23">
        <v>0</v>
      </c>
      <c r="J33" s="62">
        <f t="shared" si="4"/>
        <v>0</v>
      </c>
      <c r="K33" s="23">
        <v>0</v>
      </c>
      <c r="L33" s="23">
        <v>0</v>
      </c>
      <c r="M33" s="23">
        <v>0</v>
      </c>
      <c r="N33" s="23">
        <v>0</v>
      </c>
      <c r="O33" s="23">
        <v>0</v>
      </c>
      <c r="P33" s="22">
        <f>E33+J33</f>
        <v>40000</v>
      </c>
    </row>
    <row r="34" spans="1:16" s="13" customFormat="1" ht="15">
      <c r="A34" s="5" t="s">
        <v>431</v>
      </c>
      <c r="B34" s="7" t="s">
        <v>40</v>
      </c>
      <c r="C34" s="6" t="s">
        <v>39</v>
      </c>
      <c r="D34" s="77" t="s">
        <v>41</v>
      </c>
      <c r="E34" s="62">
        <f t="shared" si="3"/>
        <v>2035000</v>
      </c>
      <c r="F34" s="23">
        <v>2035000</v>
      </c>
      <c r="G34" s="23">
        <v>0</v>
      </c>
      <c r="H34" s="23">
        <v>0</v>
      </c>
      <c r="I34" s="23">
        <v>0</v>
      </c>
      <c r="J34" s="62">
        <f t="shared" si="4"/>
        <v>160000</v>
      </c>
      <c r="K34" s="23">
        <v>0</v>
      </c>
      <c r="L34" s="23">
        <v>0</v>
      </c>
      <c r="M34" s="23">
        <v>0</v>
      </c>
      <c r="N34" s="23">
        <v>160000</v>
      </c>
      <c r="O34" s="23">
        <v>160000</v>
      </c>
      <c r="P34" s="22">
        <f t="shared" si="2"/>
        <v>2195000</v>
      </c>
    </row>
    <row r="35" spans="1:16" s="13" customFormat="1" ht="15">
      <c r="A35" s="19" t="s">
        <v>524</v>
      </c>
      <c r="B35" s="19" t="s">
        <v>32</v>
      </c>
      <c r="C35" s="19" t="s">
        <v>31</v>
      </c>
      <c r="D35" s="80" t="s">
        <v>523</v>
      </c>
      <c r="E35" s="61">
        <f t="shared" si="3"/>
        <v>632814</v>
      </c>
      <c r="F35" s="21">
        <f>SUM(F36)</f>
        <v>632814</v>
      </c>
      <c r="G35" s="21">
        <f aca="true" t="shared" si="5" ref="G35:O35">SUM(G36)</f>
        <v>0</v>
      </c>
      <c r="H35" s="21">
        <f t="shared" si="5"/>
        <v>0</v>
      </c>
      <c r="I35" s="21">
        <f t="shared" si="5"/>
        <v>0</v>
      </c>
      <c r="J35" s="61">
        <f t="shared" si="4"/>
        <v>0</v>
      </c>
      <c r="K35" s="21">
        <f t="shared" si="5"/>
        <v>0</v>
      </c>
      <c r="L35" s="21">
        <f t="shared" si="5"/>
        <v>0</v>
      </c>
      <c r="M35" s="21">
        <f t="shared" si="5"/>
        <v>0</v>
      </c>
      <c r="N35" s="21">
        <f t="shared" si="5"/>
        <v>0</v>
      </c>
      <c r="O35" s="21">
        <f t="shared" si="5"/>
        <v>0</v>
      </c>
      <c r="P35" s="21">
        <f>E35+J35</f>
        <v>632814</v>
      </c>
    </row>
    <row r="36" spans="1:16" s="13" customFormat="1" ht="45">
      <c r="A36" s="24" t="s">
        <v>502</v>
      </c>
      <c r="B36" s="25" t="s">
        <v>503</v>
      </c>
      <c r="C36" s="26" t="s">
        <v>31</v>
      </c>
      <c r="D36" s="81" t="s">
        <v>507</v>
      </c>
      <c r="E36" s="63">
        <f t="shared" si="3"/>
        <v>632814</v>
      </c>
      <c r="F36" s="28">
        <v>632814</v>
      </c>
      <c r="G36" s="28">
        <v>0</v>
      </c>
      <c r="H36" s="28">
        <v>0</v>
      </c>
      <c r="I36" s="28">
        <v>0</v>
      </c>
      <c r="J36" s="63">
        <f t="shared" si="4"/>
        <v>0</v>
      </c>
      <c r="K36" s="28">
        <v>0</v>
      </c>
      <c r="L36" s="28">
        <v>0</v>
      </c>
      <c r="M36" s="28">
        <v>0</v>
      </c>
      <c r="N36" s="28">
        <v>0</v>
      </c>
      <c r="O36" s="28">
        <v>0</v>
      </c>
      <c r="P36" s="27">
        <f t="shared" si="2"/>
        <v>632814</v>
      </c>
    </row>
    <row r="37" spans="1:16" s="13" customFormat="1" ht="28.5">
      <c r="A37" s="29" t="s">
        <v>427</v>
      </c>
      <c r="B37" s="30"/>
      <c r="C37" s="31"/>
      <c r="D37" s="82" t="s">
        <v>433</v>
      </c>
      <c r="E37" s="62">
        <f t="shared" si="3"/>
        <v>7419188</v>
      </c>
      <c r="F37" s="22">
        <f>F38+F39+F40+F41</f>
        <v>7419188</v>
      </c>
      <c r="G37" s="22">
        <f>G38+G39+G40+G41</f>
        <v>2906101</v>
      </c>
      <c r="H37" s="22">
        <f>H38+H39+H40+H41</f>
        <v>511156</v>
      </c>
      <c r="I37" s="22">
        <f>I38+I39+I40+I41</f>
        <v>0</v>
      </c>
      <c r="J37" s="62">
        <f t="shared" si="4"/>
        <v>0</v>
      </c>
      <c r="K37" s="22">
        <f>K38+K39+K40+K41</f>
        <v>0</v>
      </c>
      <c r="L37" s="22">
        <f>L38+L39+L40+L41</f>
        <v>0</v>
      </c>
      <c r="M37" s="22">
        <f>M38+M39+M40+M41</f>
        <v>0</v>
      </c>
      <c r="N37" s="22">
        <f>N38+N39+N40+N41</f>
        <v>0</v>
      </c>
      <c r="O37" s="22">
        <f>O38+O39+O40+O41</f>
        <v>0</v>
      </c>
      <c r="P37" s="22">
        <f t="shared" si="2"/>
        <v>7419188</v>
      </c>
    </row>
    <row r="38" spans="1:16" s="13" customFormat="1" ht="42.75">
      <c r="A38" s="5" t="s">
        <v>428</v>
      </c>
      <c r="B38" s="32" t="s">
        <v>35</v>
      </c>
      <c r="C38" s="32" t="s">
        <v>20</v>
      </c>
      <c r="D38" s="77" t="s">
        <v>558</v>
      </c>
      <c r="E38" s="62">
        <f t="shared" si="3"/>
        <v>4390899</v>
      </c>
      <c r="F38" s="23">
        <v>4390899</v>
      </c>
      <c r="G38" s="23">
        <v>2824134</v>
      </c>
      <c r="H38" s="23">
        <v>511156</v>
      </c>
      <c r="I38" s="23">
        <v>0</v>
      </c>
      <c r="J38" s="62">
        <f t="shared" si="4"/>
        <v>0</v>
      </c>
      <c r="K38" s="23">
        <v>0</v>
      </c>
      <c r="L38" s="23">
        <v>0</v>
      </c>
      <c r="M38" s="23">
        <v>0</v>
      </c>
      <c r="N38" s="23">
        <v>0</v>
      </c>
      <c r="O38" s="23">
        <v>0</v>
      </c>
      <c r="P38" s="22">
        <f t="shared" si="2"/>
        <v>4390899</v>
      </c>
    </row>
    <row r="39" spans="1:16" s="13" customFormat="1" ht="28.5">
      <c r="A39" s="5" t="s">
        <v>430</v>
      </c>
      <c r="B39" s="7" t="s">
        <v>37</v>
      </c>
      <c r="C39" s="6" t="s">
        <v>36</v>
      </c>
      <c r="D39" s="77" t="s">
        <v>42</v>
      </c>
      <c r="E39" s="62">
        <f t="shared" si="3"/>
        <v>100000</v>
      </c>
      <c r="F39" s="23">
        <v>100000</v>
      </c>
      <c r="G39" s="23">
        <v>81967</v>
      </c>
      <c r="H39" s="23">
        <v>0</v>
      </c>
      <c r="I39" s="23">
        <v>0</v>
      </c>
      <c r="J39" s="62">
        <f t="shared" si="4"/>
        <v>0</v>
      </c>
      <c r="K39" s="23">
        <v>0</v>
      </c>
      <c r="L39" s="23">
        <v>0</v>
      </c>
      <c r="M39" s="23">
        <v>0</v>
      </c>
      <c r="N39" s="23">
        <v>0</v>
      </c>
      <c r="O39" s="23">
        <v>0</v>
      </c>
      <c r="P39" s="22">
        <f>E39+J39</f>
        <v>100000</v>
      </c>
    </row>
    <row r="40" spans="1:16" s="13" customFormat="1" ht="15">
      <c r="A40" s="5" t="s">
        <v>431</v>
      </c>
      <c r="B40" s="7" t="s">
        <v>40</v>
      </c>
      <c r="C40" s="6" t="s">
        <v>39</v>
      </c>
      <c r="D40" s="77" t="s">
        <v>41</v>
      </c>
      <c r="E40" s="62">
        <f t="shared" si="3"/>
        <v>2405000</v>
      </c>
      <c r="F40" s="23">
        <v>2405000</v>
      </c>
      <c r="G40" s="23">
        <v>0</v>
      </c>
      <c r="H40" s="23">
        <v>0</v>
      </c>
      <c r="I40" s="23">
        <v>0</v>
      </c>
      <c r="J40" s="62">
        <f t="shared" si="4"/>
        <v>0</v>
      </c>
      <c r="K40" s="23">
        <v>0</v>
      </c>
      <c r="L40" s="23">
        <v>0</v>
      </c>
      <c r="M40" s="23">
        <v>0</v>
      </c>
      <c r="N40" s="23">
        <v>0</v>
      </c>
      <c r="O40" s="23">
        <v>0</v>
      </c>
      <c r="P40" s="22">
        <f t="shared" si="2"/>
        <v>2405000</v>
      </c>
    </row>
    <row r="41" spans="1:16" s="13" customFormat="1" ht="15">
      <c r="A41" s="19" t="s">
        <v>524</v>
      </c>
      <c r="B41" s="19" t="s">
        <v>32</v>
      </c>
      <c r="C41" s="19" t="s">
        <v>31</v>
      </c>
      <c r="D41" s="80" t="s">
        <v>523</v>
      </c>
      <c r="E41" s="61">
        <f t="shared" si="3"/>
        <v>523289</v>
      </c>
      <c r="F41" s="21">
        <f>F42</f>
        <v>523289</v>
      </c>
      <c r="G41" s="21">
        <f>G42</f>
        <v>0</v>
      </c>
      <c r="H41" s="21">
        <f>H42</f>
        <v>0</v>
      </c>
      <c r="I41" s="21">
        <f>I42</f>
        <v>0</v>
      </c>
      <c r="J41" s="61">
        <f t="shared" si="4"/>
        <v>0</v>
      </c>
      <c r="K41" s="21">
        <f>K42</f>
        <v>0</v>
      </c>
      <c r="L41" s="21">
        <f>L42</f>
        <v>0</v>
      </c>
      <c r="M41" s="21">
        <f>M42</f>
        <v>0</v>
      </c>
      <c r="N41" s="21">
        <f>N42</f>
        <v>0</v>
      </c>
      <c r="O41" s="21">
        <f>O42</f>
        <v>0</v>
      </c>
      <c r="P41" s="21">
        <f>E41+J41</f>
        <v>523289</v>
      </c>
    </row>
    <row r="42" spans="1:16" s="13" customFormat="1" ht="45">
      <c r="A42" s="24" t="s">
        <v>502</v>
      </c>
      <c r="B42" s="25" t="s">
        <v>503</v>
      </c>
      <c r="C42" s="26" t="s">
        <v>31</v>
      </c>
      <c r="D42" s="81" t="s">
        <v>507</v>
      </c>
      <c r="E42" s="63">
        <f t="shared" si="3"/>
        <v>523289</v>
      </c>
      <c r="F42" s="28">
        <v>523289</v>
      </c>
      <c r="G42" s="28">
        <v>0</v>
      </c>
      <c r="H42" s="28">
        <v>0</v>
      </c>
      <c r="I42" s="28">
        <v>0</v>
      </c>
      <c r="J42" s="63">
        <f t="shared" si="4"/>
        <v>0</v>
      </c>
      <c r="K42" s="28">
        <v>0</v>
      </c>
      <c r="L42" s="28">
        <v>0</v>
      </c>
      <c r="M42" s="28">
        <v>0</v>
      </c>
      <c r="N42" s="28">
        <v>0</v>
      </c>
      <c r="O42" s="28">
        <v>0</v>
      </c>
      <c r="P42" s="27">
        <f t="shared" si="2"/>
        <v>523289</v>
      </c>
    </row>
    <row r="43" spans="1:16" s="13" customFormat="1" ht="30.75" customHeight="1">
      <c r="A43" s="14" t="s">
        <v>43</v>
      </c>
      <c r="B43" s="15"/>
      <c r="C43" s="16"/>
      <c r="D43" s="83" t="s">
        <v>541</v>
      </c>
      <c r="E43" s="60">
        <f t="shared" si="3"/>
        <v>612247999.95</v>
      </c>
      <c r="F43" s="17">
        <f>F44</f>
        <v>612247999.95</v>
      </c>
      <c r="G43" s="17">
        <f>G44</f>
        <v>360225517</v>
      </c>
      <c r="H43" s="17">
        <f>H44</f>
        <v>80038900</v>
      </c>
      <c r="I43" s="17">
        <f>I44</f>
        <v>0</v>
      </c>
      <c r="J43" s="60">
        <f t="shared" si="4"/>
        <v>49742359</v>
      </c>
      <c r="K43" s="17">
        <f>K44</f>
        <v>28791900</v>
      </c>
      <c r="L43" s="17">
        <f>L44</f>
        <v>690200</v>
      </c>
      <c r="M43" s="17">
        <f>M44</f>
        <v>145200</v>
      </c>
      <c r="N43" s="17">
        <f>N44</f>
        <v>20950459</v>
      </c>
      <c r="O43" s="17">
        <f>O44</f>
        <v>20614159</v>
      </c>
      <c r="P43" s="17">
        <f>E43+J43</f>
        <v>661990358.95</v>
      </c>
    </row>
    <row r="44" spans="1:16" s="13" customFormat="1" ht="28.5">
      <c r="A44" s="29" t="s">
        <v>45</v>
      </c>
      <c r="B44" s="30"/>
      <c r="C44" s="31"/>
      <c r="D44" s="82" t="s">
        <v>44</v>
      </c>
      <c r="E44" s="62">
        <f t="shared" si="3"/>
        <v>612247999.95</v>
      </c>
      <c r="F44" s="22">
        <f>F45+F46+F48+F52+F55+F57+F58+F59+F60+F61+F63+F64+F65+F66+F67+F68+F69+F70+F73+F76+F79+F81+F83+F86+F87+F88</f>
        <v>612247999.95</v>
      </c>
      <c r="G44" s="22">
        <f>G45+G46+G48+G52+G55+G57+G58+G59+G60+G61+G63+G64+G65+G66+G67+G68+G69+G70+G73+G76+G79+G81+G83+G86+G87+G88</f>
        <v>360225517</v>
      </c>
      <c r="H44" s="22">
        <f>H45+H46+H48+H52+H55+H57+H58+H59+H60+H61+H63+H64+H65+H66+H67+H68+H69+H70+H73+H76+H79+H81+H83+H86+H87+H88</f>
        <v>80038900</v>
      </c>
      <c r="I44" s="22">
        <f>I45+I46+I48+I52+I55+I57+I58+I59+I60+I61+I63+I64+I65+I66+I67+I68+I69+I70+I73+I76+I79+I81+I83+I86+I87+I88</f>
        <v>0</v>
      </c>
      <c r="J44" s="62">
        <f t="shared" si="4"/>
        <v>49742359</v>
      </c>
      <c r="K44" s="22">
        <f>K45+K46+K48+K52+K55+K57+K58+K59+K60+K61+K63+K64+K65+K66+K67+K68+K69+K70+K73+K76+K79+K81+K83+K86+K87+K88</f>
        <v>28791900</v>
      </c>
      <c r="L44" s="22">
        <f>L45+L46+L48+L52+L55+L57+L58+L59+L60+L61+L63+L64+L65+L66+L67+L68+L69+L70+L73+L76+L79+L81+L83+L86+L87+L88</f>
        <v>690200</v>
      </c>
      <c r="M44" s="22">
        <f>M45+M46+M48+M52+M55+M57+M58+M59+M60+M61+M63+M64+M65+M66+M67+M68+M69+M70+M73+M76+M79+M81+M83+M86+M87+M88</f>
        <v>145200</v>
      </c>
      <c r="N44" s="22">
        <f>N45+N46+N48+N52+N55+N57+N58+N59+N60+N61+N63+N64+N65+N66+N67+N68+N69+N70+N73+N76+N79+N81+N83+N86+N87+N88</f>
        <v>20950459</v>
      </c>
      <c r="O44" s="22">
        <f>O45+O46+O48+O52+O55+O57+O58+O59+O60+O61+O63+O64+O65+O66+O67+O68+O69+O70+O73+O76+O79+O81+O83+O86+O87+O88</f>
        <v>20614159</v>
      </c>
      <c r="P44" s="22">
        <f>E44+J44</f>
        <v>661990358.95</v>
      </c>
    </row>
    <row r="45" spans="1:16" s="13" customFormat="1" ht="42.75">
      <c r="A45" s="5" t="s">
        <v>46</v>
      </c>
      <c r="B45" s="32" t="s">
        <v>35</v>
      </c>
      <c r="C45" s="32" t="s">
        <v>20</v>
      </c>
      <c r="D45" s="77" t="s">
        <v>558</v>
      </c>
      <c r="E45" s="62">
        <f t="shared" si="3"/>
        <v>1592232</v>
      </c>
      <c r="F45" s="23">
        <v>1592232</v>
      </c>
      <c r="G45" s="23">
        <v>1118387</v>
      </c>
      <c r="H45" s="23">
        <v>75000</v>
      </c>
      <c r="I45" s="23">
        <v>0</v>
      </c>
      <c r="J45" s="62">
        <f t="shared" si="4"/>
        <v>16000</v>
      </c>
      <c r="K45" s="23">
        <v>16000</v>
      </c>
      <c r="L45" s="23">
        <v>0</v>
      </c>
      <c r="M45" s="23">
        <v>0</v>
      </c>
      <c r="N45" s="23">
        <v>0</v>
      </c>
      <c r="O45" s="23">
        <v>0</v>
      </c>
      <c r="P45" s="22">
        <f t="shared" si="2"/>
        <v>1608232</v>
      </c>
    </row>
    <row r="46" spans="1:16" s="13" customFormat="1" ht="15">
      <c r="A46" s="5" t="s">
        <v>47</v>
      </c>
      <c r="B46" s="7" t="s">
        <v>49</v>
      </c>
      <c r="C46" s="6" t="s">
        <v>48</v>
      </c>
      <c r="D46" s="77" t="s">
        <v>50</v>
      </c>
      <c r="E46" s="62">
        <f t="shared" si="3"/>
        <v>168876433</v>
      </c>
      <c r="F46" s="23">
        <f>168693700+142377+40356</f>
        <v>168876433</v>
      </c>
      <c r="G46" s="23">
        <v>96109100</v>
      </c>
      <c r="H46" s="23">
        <v>27220100</v>
      </c>
      <c r="I46" s="23">
        <v>0</v>
      </c>
      <c r="J46" s="62">
        <f t="shared" si="4"/>
        <v>19428000</v>
      </c>
      <c r="K46" s="23">
        <v>13878000</v>
      </c>
      <c r="L46" s="23">
        <v>0</v>
      </c>
      <c r="M46" s="23">
        <v>0</v>
      </c>
      <c r="N46" s="23">
        <v>5550000</v>
      </c>
      <c r="O46" s="23">
        <v>5550000</v>
      </c>
      <c r="P46" s="22">
        <f t="shared" si="2"/>
        <v>188304433</v>
      </c>
    </row>
    <row r="47" spans="1:16" s="13" customFormat="1" ht="36" customHeight="1">
      <c r="A47" s="5"/>
      <c r="B47" s="7"/>
      <c r="C47" s="6"/>
      <c r="D47" s="81" t="s">
        <v>519</v>
      </c>
      <c r="E47" s="62">
        <f t="shared" si="3"/>
        <v>5917100</v>
      </c>
      <c r="F47" s="4">
        <v>5917100</v>
      </c>
      <c r="G47" s="4">
        <v>4850100</v>
      </c>
      <c r="H47" s="4"/>
      <c r="I47" s="4"/>
      <c r="J47" s="62">
        <f t="shared" si="4"/>
        <v>0</v>
      </c>
      <c r="K47" s="4"/>
      <c r="L47" s="4"/>
      <c r="M47" s="4"/>
      <c r="N47" s="4"/>
      <c r="O47" s="4"/>
      <c r="P47" s="3">
        <f t="shared" si="2"/>
        <v>5917100</v>
      </c>
    </row>
    <row r="48" spans="1:16" s="13" customFormat="1" ht="85.5">
      <c r="A48" s="5" t="s">
        <v>51</v>
      </c>
      <c r="B48" s="7" t="s">
        <v>53</v>
      </c>
      <c r="C48" s="6" t="s">
        <v>52</v>
      </c>
      <c r="D48" s="77" t="s">
        <v>54</v>
      </c>
      <c r="E48" s="62">
        <f t="shared" si="3"/>
        <v>309742070.95</v>
      </c>
      <c r="F48" s="23">
        <f>306731300+52000+425000+536490.95+886859+576921+389900+93600-50000+100000</f>
        <v>309742070.95</v>
      </c>
      <c r="G48" s="23">
        <f>199244800+693330+389900</f>
        <v>200328030</v>
      </c>
      <c r="H48" s="23">
        <v>42388800</v>
      </c>
      <c r="I48" s="23">
        <v>0</v>
      </c>
      <c r="J48" s="62">
        <f t="shared" si="4"/>
        <v>23664283</v>
      </c>
      <c r="K48" s="23">
        <v>12598000</v>
      </c>
      <c r="L48" s="23">
        <v>85600</v>
      </c>
      <c r="M48" s="23">
        <v>96600</v>
      </c>
      <c r="N48" s="23">
        <f>8917000+125000+1529200+17497+170462+307124</f>
        <v>11066283</v>
      </c>
      <c r="O48" s="23">
        <f>8900000+125000+1529200+17497+170462+307124</f>
        <v>11049283</v>
      </c>
      <c r="P48" s="22">
        <f t="shared" si="2"/>
        <v>333406353.95</v>
      </c>
    </row>
    <row r="49" spans="1:16" s="13" customFormat="1" ht="45">
      <c r="A49" s="24"/>
      <c r="B49" s="25"/>
      <c r="C49" s="26"/>
      <c r="D49" s="81" t="s">
        <v>520</v>
      </c>
      <c r="E49" s="63">
        <f t="shared" si="3"/>
        <v>212970700</v>
      </c>
      <c r="F49" s="4">
        <f>212545700+425000</f>
        <v>212970700</v>
      </c>
      <c r="G49" s="4">
        <v>174217800</v>
      </c>
      <c r="H49" s="4"/>
      <c r="I49" s="4"/>
      <c r="J49" s="63">
        <f t="shared" si="4"/>
        <v>1529200</v>
      </c>
      <c r="K49" s="4"/>
      <c r="L49" s="4"/>
      <c r="M49" s="4"/>
      <c r="N49" s="4">
        <f>1529200</f>
        <v>1529200</v>
      </c>
      <c r="O49" s="4">
        <f>1529200</f>
        <v>1529200</v>
      </c>
      <c r="P49" s="3">
        <f t="shared" si="2"/>
        <v>214499900</v>
      </c>
    </row>
    <row r="50" spans="1:16" s="13" customFormat="1" ht="60">
      <c r="A50" s="24"/>
      <c r="B50" s="25"/>
      <c r="C50" s="26"/>
      <c r="D50" s="81" t="s">
        <v>554</v>
      </c>
      <c r="E50" s="63">
        <f t="shared" si="3"/>
        <v>886859</v>
      </c>
      <c r="F50" s="4">
        <v>886859</v>
      </c>
      <c r="G50" s="4">
        <v>693330</v>
      </c>
      <c r="H50" s="4"/>
      <c r="I50" s="4"/>
      <c r="J50" s="63">
        <f t="shared" si="4"/>
        <v>170462</v>
      </c>
      <c r="K50" s="4"/>
      <c r="L50" s="4"/>
      <c r="M50" s="4"/>
      <c r="N50" s="4">
        <v>170462</v>
      </c>
      <c r="O50" s="4">
        <v>170462</v>
      </c>
      <c r="P50" s="3">
        <f t="shared" si="2"/>
        <v>1057321</v>
      </c>
    </row>
    <row r="51" spans="1:16" s="13" customFormat="1" ht="75">
      <c r="A51" s="24"/>
      <c r="B51" s="25"/>
      <c r="C51" s="26"/>
      <c r="D51" s="81" t="s">
        <v>555</v>
      </c>
      <c r="E51" s="63">
        <f t="shared" si="3"/>
        <v>576921</v>
      </c>
      <c r="F51" s="4">
        <v>576921</v>
      </c>
      <c r="G51" s="4"/>
      <c r="H51" s="4"/>
      <c r="I51" s="4"/>
      <c r="J51" s="63">
        <f t="shared" si="4"/>
        <v>0</v>
      </c>
      <c r="K51" s="4"/>
      <c r="L51" s="4"/>
      <c r="M51" s="4"/>
      <c r="N51" s="4"/>
      <c r="O51" s="4"/>
      <c r="P51" s="3">
        <f t="shared" si="2"/>
        <v>576921</v>
      </c>
    </row>
    <row r="52" spans="1:16" s="13" customFormat="1" ht="63" customHeight="1">
      <c r="A52" s="5" t="s">
        <v>55</v>
      </c>
      <c r="B52" s="7" t="s">
        <v>57</v>
      </c>
      <c r="C52" s="6" t="s">
        <v>56</v>
      </c>
      <c r="D52" s="77" t="s">
        <v>58</v>
      </c>
      <c r="E52" s="62">
        <f t="shared" si="3"/>
        <v>26147107</v>
      </c>
      <c r="F52" s="23">
        <f>25756200+12900+192307+152600+33100</f>
        <v>26147107</v>
      </c>
      <c r="G52" s="23">
        <f>14199900+11600+152600</f>
        <v>14364100</v>
      </c>
      <c r="H52" s="23">
        <v>3041200</v>
      </c>
      <c r="I52" s="23">
        <v>0</v>
      </c>
      <c r="J52" s="62">
        <f t="shared" si="4"/>
        <v>197000</v>
      </c>
      <c r="K52" s="23">
        <v>7000</v>
      </c>
      <c r="L52" s="23">
        <v>0</v>
      </c>
      <c r="M52" s="23">
        <v>0</v>
      </c>
      <c r="N52" s="23">
        <f>190000</f>
        <v>190000</v>
      </c>
      <c r="O52" s="23">
        <f>190000</f>
        <v>190000</v>
      </c>
      <c r="P52" s="22">
        <f t="shared" si="2"/>
        <v>26344107</v>
      </c>
    </row>
    <row r="53" spans="1:16" s="13" customFormat="1" ht="45">
      <c r="A53" s="24"/>
      <c r="B53" s="25"/>
      <c r="C53" s="26"/>
      <c r="D53" s="81" t="s">
        <v>520</v>
      </c>
      <c r="E53" s="63">
        <f t="shared" si="3"/>
        <v>14688900</v>
      </c>
      <c r="F53" s="4">
        <f>14676000+12900</f>
        <v>14688900</v>
      </c>
      <c r="G53" s="4">
        <f>12029500+10600</f>
        <v>12040100</v>
      </c>
      <c r="H53" s="4"/>
      <c r="I53" s="4"/>
      <c r="J53" s="63">
        <f t="shared" si="4"/>
        <v>190000</v>
      </c>
      <c r="K53" s="4"/>
      <c r="L53" s="4"/>
      <c r="M53" s="4"/>
      <c r="N53" s="4">
        <f>190000</f>
        <v>190000</v>
      </c>
      <c r="O53" s="4">
        <f>190000</f>
        <v>190000</v>
      </c>
      <c r="P53" s="3">
        <f t="shared" si="2"/>
        <v>14878900</v>
      </c>
    </row>
    <row r="54" spans="1:16" s="13" customFormat="1" ht="75">
      <c r="A54" s="24"/>
      <c r="B54" s="25"/>
      <c r="C54" s="26"/>
      <c r="D54" s="81" t="s">
        <v>555</v>
      </c>
      <c r="E54" s="63">
        <f t="shared" si="3"/>
        <v>192307</v>
      </c>
      <c r="F54" s="4">
        <v>192307</v>
      </c>
      <c r="G54" s="4"/>
      <c r="H54" s="4"/>
      <c r="I54" s="4"/>
      <c r="J54" s="63">
        <f t="shared" si="4"/>
        <v>0</v>
      </c>
      <c r="K54" s="4"/>
      <c r="L54" s="4"/>
      <c r="M54" s="4"/>
      <c r="N54" s="4"/>
      <c r="O54" s="4"/>
      <c r="P54" s="3">
        <f t="shared" si="2"/>
        <v>192307</v>
      </c>
    </row>
    <row r="55" spans="1:16" s="13" customFormat="1" ht="57.75" customHeight="1">
      <c r="A55" s="5" t="s">
        <v>59</v>
      </c>
      <c r="B55" s="7" t="s">
        <v>61</v>
      </c>
      <c r="C55" s="6" t="s">
        <v>60</v>
      </c>
      <c r="D55" s="77" t="s">
        <v>62</v>
      </c>
      <c r="E55" s="62">
        <f t="shared" si="3"/>
        <v>19229657</v>
      </c>
      <c r="F55" s="23">
        <f>19083100+34000+112557</f>
        <v>19229657</v>
      </c>
      <c r="G55" s="23">
        <v>13373700</v>
      </c>
      <c r="H55" s="23">
        <v>2364000</v>
      </c>
      <c r="I55" s="23">
        <v>0</v>
      </c>
      <c r="J55" s="62">
        <f t="shared" si="4"/>
        <v>210000</v>
      </c>
      <c r="K55" s="23">
        <v>44000</v>
      </c>
      <c r="L55" s="23">
        <v>0</v>
      </c>
      <c r="M55" s="23">
        <v>2000</v>
      </c>
      <c r="N55" s="23">
        <f>66000+100000</f>
        <v>166000</v>
      </c>
      <c r="O55" s="23">
        <f>66000+100000</f>
        <v>166000</v>
      </c>
      <c r="P55" s="22">
        <f t="shared" si="2"/>
        <v>19439657</v>
      </c>
    </row>
    <row r="56" spans="1:16" s="13" customFormat="1" ht="36.75" customHeight="1">
      <c r="A56" s="24"/>
      <c r="B56" s="25"/>
      <c r="C56" s="26"/>
      <c r="D56" s="81" t="s">
        <v>519</v>
      </c>
      <c r="E56" s="63">
        <f t="shared" si="3"/>
        <v>924300</v>
      </c>
      <c r="F56" s="4">
        <v>924300</v>
      </c>
      <c r="G56" s="4">
        <v>757600</v>
      </c>
      <c r="H56" s="4"/>
      <c r="I56" s="4"/>
      <c r="J56" s="63">
        <f t="shared" si="4"/>
        <v>0</v>
      </c>
      <c r="K56" s="4"/>
      <c r="L56" s="4"/>
      <c r="M56" s="4"/>
      <c r="N56" s="4"/>
      <c r="O56" s="4"/>
      <c r="P56" s="3">
        <f t="shared" si="2"/>
        <v>924300</v>
      </c>
    </row>
    <row r="57" spans="1:16" s="13" customFormat="1" ht="42.75">
      <c r="A57" s="5" t="s">
        <v>63</v>
      </c>
      <c r="B57" s="7" t="s">
        <v>65</v>
      </c>
      <c r="C57" s="6" t="s">
        <v>64</v>
      </c>
      <c r="D57" s="77" t="s">
        <v>66</v>
      </c>
      <c r="E57" s="62">
        <f t="shared" si="3"/>
        <v>4177500</v>
      </c>
      <c r="F57" s="23">
        <f>4846700-548100-121100</f>
        <v>4177500</v>
      </c>
      <c r="G57" s="23">
        <f>3246100-548100</f>
        <v>2698000</v>
      </c>
      <c r="H57" s="23">
        <v>237000</v>
      </c>
      <c r="I57" s="23">
        <v>0</v>
      </c>
      <c r="J57" s="62">
        <f t="shared" si="4"/>
        <v>151000</v>
      </c>
      <c r="K57" s="23">
        <v>106000</v>
      </c>
      <c r="L57" s="23">
        <v>3600</v>
      </c>
      <c r="M57" s="23">
        <v>12000</v>
      </c>
      <c r="N57" s="23">
        <v>45000</v>
      </c>
      <c r="O57" s="23">
        <v>0</v>
      </c>
      <c r="P57" s="22">
        <f t="shared" si="2"/>
        <v>4328500</v>
      </c>
    </row>
    <row r="58" spans="1:16" s="13" customFormat="1" ht="35.25" customHeight="1">
      <c r="A58" s="5" t="s">
        <v>67</v>
      </c>
      <c r="B58" s="7" t="s">
        <v>68</v>
      </c>
      <c r="C58" s="6" t="s">
        <v>64</v>
      </c>
      <c r="D58" s="77" t="s">
        <v>69</v>
      </c>
      <c r="E58" s="62">
        <f t="shared" si="3"/>
        <v>2034700</v>
      </c>
      <c r="F58" s="23">
        <v>2034700</v>
      </c>
      <c r="G58" s="23">
        <v>1344000</v>
      </c>
      <c r="H58" s="23">
        <v>90900</v>
      </c>
      <c r="I58" s="23">
        <v>0</v>
      </c>
      <c r="J58" s="62">
        <f t="shared" si="4"/>
        <v>0</v>
      </c>
      <c r="K58" s="23">
        <v>0</v>
      </c>
      <c r="L58" s="23">
        <v>0</v>
      </c>
      <c r="M58" s="23">
        <v>0</v>
      </c>
      <c r="N58" s="23">
        <v>0</v>
      </c>
      <c r="O58" s="23">
        <v>0</v>
      </c>
      <c r="P58" s="22">
        <f t="shared" si="2"/>
        <v>2034700</v>
      </c>
    </row>
    <row r="59" spans="1:16" s="13" customFormat="1" ht="28.5">
      <c r="A59" s="5" t="s">
        <v>70</v>
      </c>
      <c r="B59" s="7" t="s">
        <v>71</v>
      </c>
      <c r="C59" s="6" t="s">
        <v>64</v>
      </c>
      <c r="D59" s="77" t="s">
        <v>72</v>
      </c>
      <c r="E59" s="62">
        <f t="shared" si="3"/>
        <v>1760100</v>
      </c>
      <c r="F59" s="23">
        <v>1760100</v>
      </c>
      <c r="G59" s="23">
        <v>938700</v>
      </c>
      <c r="H59" s="23">
        <v>142700</v>
      </c>
      <c r="I59" s="23">
        <v>0</v>
      </c>
      <c r="J59" s="62">
        <f t="shared" si="4"/>
        <v>0</v>
      </c>
      <c r="K59" s="23">
        <v>0</v>
      </c>
      <c r="L59" s="23">
        <v>0</v>
      </c>
      <c r="M59" s="23">
        <v>0</v>
      </c>
      <c r="N59" s="23">
        <v>0</v>
      </c>
      <c r="O59" s="23">
        <v>0</v>
      </c>
      <c r="P59" s="22">
        <f t="shared" si="2"/>
        <v>1760100</v>
      </c>
    </row>
    <row r="60" spans="1:16" s="13" customFormat="1" ht="57">
      <c r="A60" s="5" t="s">
        <v>73</v>
      </c>
      <c r="B60" s="7" t="s">
        <v>74</v>
      </c>
      <c r="C60" s="6" t="s">
        <v>64</v>
      </c>
      <c r="D60" s="77" t="s">
        <v>75</v>
      </c>
      <c r="E60" s="62">
        <f t="shared" si="3"/>
        <v>126700</v>
      </c>
      <c r="F60" s="23">
        <v>126700</v>
      </c>
      <c r="G60" s="23">
        <v>0</v>
      </c>
      <c r="H60" s="23">
        <v>0</v>
      </c>
      <c r="I60" s="23">
        <v>0</v>
      </c>
      <c r="J60" s="62">
        <f t="shared" si="4"/>
        <v>0</v>
      </c>
      <c r="K60" s="23">
        <v>0</v>
      </c>
      <c r="L60" s="23">
        <v>0</v>
      </c>
      <c r="M60" s="23">
        <v>0</v>
      </c>
      <c r="N60" s="23">
        <v>0</v>
      </c>
      <c r="O60" s="23">
        <v>0</v>
      </c>
      <c r="P60" s="22">
        <f t="shared" si="2"/>
        <v>126700</v>
      </c>
    </row>
    <row r="61" spans="1:16" s="13" customFormat="1" ht="35.25" customHeight="1">
      <c r="A61" s="18" t="s">
        <v>76</v>
      </c>
      <c r="B61" s="19"/>
      <c r="C61" s="20"/>
      <c r="D61" s="78" t="s">
        <v>528</v>
      </c>
      <c r="E61" s="61">
        <f>F61+I61</f>
        <v>59000</v>
      </c>
      <c r="F61" s="21">
        <f>F62</f>
        <v>59000</v>
      </c>
      <c r="G61" s="21">
        <f>G62</f>
        <v>20900</v>
      </c>
      <c r="H61" s="21">
        <f>H62</f>
        <v>0</v>
      </c>
      <c r="I61" s="21">
        <f>I62</f>
        <v>0</v>
      </c>
      <c r="J61" s="61">
        <f>K61+N61</f>
        <v>0</v>
      </c>
      <c r="K61" s="21">
        <f>K62</f>
        <v>0</v>
      </c>
      <c r="L61" s="21">
        <f>L62</f>
        <v>0</v>
      </c>
      <c r="M61" s="21">
        <f>M62</f>
        <v>0</v>
      </c>
      <c r="N61" s="21">
        <f>N62</f>
        <v>0</v>
      </c>
      <c r="O61" s="21">
        <f>O62</f>
        <v>0</v>
      </c>
      <c r="P61" s="21">
        <f t="shared" si="2"/>
        <v>59000</v>
      </c>
    </row>
    <row r="62" spans="1:16" s="13" customFormat="1" ht="48.75" customHeight="1">
      <c r="A62" s="24" t="s">
        <v>77</v>
      </c>
      <c r="B62" s="25" t="s">
        <v>78</v>
      </c>
      <c r="C62" s="26" t="s">
        <v>57</v>
      </c>
      <c r="D62" s="79" t="s">
        <v>79</v>
      </c>
      <c r="E62" s="63">
        <f t="shared" si="3"/>
        <v>59000</v>
      </c>
      <c r="F62" s="28">
        <v>59000</v>
      </c>
      <c r="G62" s="28">
        <v>20900</v>
      </c>
      <c r="H62" s="28">
        <v>0</v>
      </c>
      <c r="I62" s="28">
        <v>0</v>
      </c>
      <c r="J62" s="63">
        <f t="shared" si="4"/>
        <v>0</v>
      </c>
      <c r="K62" s="28">
        <v>0</v>
      </c>
      <c r="L62" s="28">
        <v>0</v>
      </c>
      <c r="M62" s="28">
        <v>0</v>
      </c>
      <c r="N62" s="28">
        <v>0</v>
      </c>
      <c r="O62" s="28">
        <v>0</v>
      </c>
      <c r="P62" s="27">
        <f t="shared" si="2"/>
        <v>59000</v>
      </c>
    </row>
    <row r="63" spans="1:16" s="13" customFormat="1" ht="75" customHeight="1">
      <c r="A63" s="5" t="s">
        <v>80</v>
      </c>
      <c r="B63" s="7" t="s">
        <v>81</v>
      </c>
      <c r="C63" s="6" t="s">
        <v>57</v>
      </c>
      <c r="D63" s="77" t="s">
        <v>82</v>
      </c>
      <c r="E63" s="62">
        <f t="shared" si="3"/>
        <v>3752100</v>
      </c>
      <c r="F63" s="23">
        <v>3752100</v>
      </c>
      <c r="G63" s="23">
        <v>0</v>
      </c>
      <c r="H63" s="23">
        <v>0</v>
      </c>
      <c r="I63" s="23">
        <v>0</v>
      </c>
      <c r="J63" s="62">
        <f t="shared" si="4"/>
        <v>450000</v>
      </c>
      <c r="K63" s="23">
        <v>450000</v>
      </c>
      <c r="L63" s="23">
        <v>0</v>
      </c>
      <c r="M63" s="23">
        <v>0</v>
      </c>
      <c r="N63" s="23">
        <v>0</v>
      </c>
      <c r="O63" s="23">
        <v>0</v>
      </c>
      <c r="P63" s="22">
        <f t="shared" si="2"/>
        <v>4202100</v>
      </c>
    </row>
    <row r="64" spans="1:16" s="13" customFormat="1" ht="15">
      <c r="A64" s="5" t="s">
        <v>83</v>
      </c>
      <c r="B64" s="7" t="s">
        <v>84</v>
      </c>
      <c r="C64" s="6" t="s">
        <v>57</v>
      </c>
      <c r="D64" s="77" t="s">
        <v>33</v>
      </c>
      <c r="E64" s="62">
        <f t="shared" si="3"/>
        <v>375900</v>
      </c>
      <c r="F64" s="23">
        <v>375900</v>
      </c>
      <c r="G64" s="23">
        <v>0</v>
      </c>
      <c r="H64" s="23">
        <v>0</v>
      </c>
      <c r="I64" s="23">
        <v>0</v>
      </c>
      <c r="J64" s="62">
        <f t="shared" si="4"/>
        <v>0</v>
      </c>
      <c r="K64" s="23">
        <v>0</v>
      </c>
      <c r="L64" s="23">
        <v>0</v>
      </c>
      <c r="M64" s="23">
        <v>0</v>
      </c>
      <c r="N64" s="23">
        <v>0</v>
      </c>
      <c r="O64" s="23">
        <v>0</v>
      </c>
      <c r="P64" s="22">
        <f t="shared" si="2"/>
        <v>375900</v>
      </c>
    </row>
    <row r="65" spans="1:16" s="13" customFormat="1" ht="15">
      <c r="A65" s="5" t="s">
        <v>85</v>
      </c>
      <c r="B65" s="7" t="s">
        <v>87</v>
      </c>
      <c r="C65" s="6" t="s">
        <v>86</v>
      </c>
      <c r="D65" s="77" t="s">
        <v>88</v>
      </c>
      <c r="E65" s="62">
        <f t="shared" si="3"/>
        <v>18771500</v>
      </c>
      <c r="F65" s="23">
        <f>18191300+507200+73000</f>
        <v>18771500</v>
      </c>
      <c r="G65" s="23">
        <v>0</v>
      </c>
      <c r="H65" s="23">
        <v>0</v>
      </c>
      <c r="I65" s="23">
        <v>0</v>
      </c>
      <c r="J65" s="62">
        <f t="shared" si="4"/>
        <v>1937000</v>
      </c>
      <c r="K65" s="23">
        <v>0</v>
      </c>
      <c r="L65" s="23">
        <v>0</v>
      </c>
      <c r="M65" s="23">
        <v>0</v>
      </c>
      <c r="N65" s="23">
        <f>703000+1234000</f>
        <v>1937000</v>
      </c>
      <c r="O65" s="23">
        <f>703000+1234000</f>
        <v>1937000</v>
      </c>
      <c r="P65" s="22">
        <f t="shared" si="2"/>
        <v>20708500</v>
      </c>
    </row>
    <row r="66" spans="1:16" s="13" customFormat="1" ht="42.75">
      <c r="A66" s="5" t="s">
        <v>89</v>
      </c>
      <c r="B66" s="7" t="s">
        <v>91</v>
      </c>
      <c r="C66" s="6" t="s">
        <v>90</v>
      </c>
      <c r="D66" s="77" t="s">
        <v>92</v>
      </c>
      <c r="E66" s="62">
        <f t="shared" si="3"/>
        <v>1247200</v>
      </c>
      <c r="F66" s="23">
        <f>747200+500000-500000+500000</f>
        <v>1247200</v>
      </c>
      <c r="G66" s="23">
        <v>0</v>
      </c>
      <c r="H66" s="23">
        <v>0</v>
      </c>
      <c r="I66" s="23">
        <v>0</v>
      </c>
      <c r="J66" s="62">
        <f t="shared" si="4"/>
        <v>0</v>
      </c>
      <c r="K66" s="23">
        <v>0</v>
      </c>
      <c r="L66" s="23">
        <v>0</v>
      </c>
      <c r="M66" s="23">
        <v>0</v>
      </c>
      <c r="N66" s="23">
        <v>0</v>
      </c>
      <c r="O66" s="23">
        <v>0</v>
      </c>
      <c r="P66" s="22">
        <f t="shared" si="2"/>
        <v>1247200</v>
      </c>
    </row>
    <row r="67" spans="1:16" s="13" customFormat="1" ht="15">
      <c r="A67" s="5" t="s">
        <v>93</v>
      </c>
      <c r="B67" s="7" t="s">
        <v>95</v>
      </c>
      <c r="C67" s="6" t="s">
        <v>94</v>
      </c>
      <c r="D67" s="77" t="s">
        <v>96</v>
      </c>
      <c r="E67" s="62">
        <f t="shared" si="3"/>
        <v>5152560</v>
      </c>
      <c r="F67" s="23">
        <f>5144760+7800</f>
        <v>5152560</v>
      </c>
      <c r="G67" s="23">
        <v>3308700</v>
      </c>
      <c r="H67" s="23">
        <v>565100</v>
      </c>
      <c r="I67" s="23">
        <v>0</v>
      </c>
      <c r="J67" s="62">
        <f t="shared" si="4"/>
        <v>50000</v>
      </c>
      <c r="K67" s="23">
        <v>0</v>
      </c>
      <c r="L67" s="23">
        <v>0</v>
      </c>
      <c r="M67" s="23">
        <v>0</v>
      </c>
      <c r="N67" s="23">
        <f>50000</f>
        <v>50000</v>
      </c>
      <c r="O67" s="23">
        <f>50000</f>
        <v>50000</v>
      </c>
      <c r="P67" s="22">
        <f t="shared" si="2"/>
        <v>5202560</v>
      </c>
    </row>
    <row r="68" spans="1:16" s="13" customFormat="1" ht="15">
      <c r="A68" s="5" t="s">
        <v>97</v>
      </c>
      <c r="B68" s="7" t="s">
        <v>98</v>
      </c>
      <c r="C68" s="6" t="s">
        <v>94</v>
      </c>
      <c r="D68" s="77" t="s">
        <v>99</v>
      </c>
      <c r="E68" s="62">
        <f t="shared" si="3"/>
        <v>2992870</v>
      </c>
      <c r="F68" s="23">
        <v>2992870</v>
      </c>
      <c r="G68" s="23">
        <v>1515000</v>
      </c>
      <c r="H68" s="23">
        <v>359300</v>
      </c>
      <c r="I68" s="23">
        <v>0</v>
      </c>
      <c r="J68" s="62">
        <f t="shared" si="4"/>
        <v>210000</v>
      </c>
      <c r="K68" s="23">
        <v>60000</v>
      </c>
      <c r="L68" s="23">
        <v>1000</v>
      </c>
      <c r="M68" s="23">
        <v>1100</v>
      </c>
      <c r="N68" s="23">
        <v>150000</v>
      </c>
      <c r="O68" s="23">
        <v>140000</v>
      </c>
      <c r="P68" s="22">
        <f t="shared" si="2"/>
        <v>3202870</v>
      </c>
    </row>
    <row r="69" spans="1:16" s="13" customFormat="1" ht="15">
      <c r="A69" s="5" t="s">
        <v>100</v>
      </c>
      <c r="B69" s="7" t="s">
        <v>101</v>
      </c>
      <c r="C69" s="6" t="s">
        <v>60</v>
      </c>
      <c r="D69" s="77" t="s">
        <v>102</v>
      </c>
      <c r="E69" s="62">
        <f t="shared" si="3"/>
        <v>20963370</v>
      </c>
      <c r="F69" s="23">
        <v>20963370</v>
      </c>
      <c r="G69" s="23">
        <v>15121200</v>
      </c>
      <c r="H69" s="23">
        <v>1843200</v>
      </c>
      <c r="I69" s="23">
        <v>0</v>
      </c>
      <c r="J69" s="62">
        <f t="shared" si="4"/>
        <v>1956100</v>
      </c>
      <c r="K69" s="23">
        <v>1466800</v>
      </c>
      <c r="L69" s="23">
        <v>600000</v>
      </c>
      <c r="M69" s="23">
        <v>2800</v>
      </c>
      <c r="N69" s="23">
        <v>489300</v>
      </c>
      <c r="O69" s="23">
        <v>225000</v>
      </c>
      <c r="P69" s="22">
        <f t="shared" si="2"/>
        <v>22919470</v>
      </c>
    </row>
    <row r="70" spans="1:16" s="13" customFormat="1" ht="28.5">
      <c r="A70" s="18" t="s">
        <v>103</v>
      </c>
      <c r="B70" s="19"/>
      <c r="C70" s="20"/>
      <c r="D70" s="78" t="s">
        <v>104</v>
      </c>
      <c r="E70" s="61">
        <f>F70+I70</f>
        <v>531400</v>
      </c>
      <c r="F70" s="21">
        <f>F71+F72</f>
        <v>531400</v>
      </c>
      <c r="G70" s="21">
        <f>G71+G72</f>
        <v>0</v>
      </c>
      <c r="H70" s="21">
        <f>H71+H72</f>
        <v>0</v>
      </c>
      <c r="I70" s="21">
        <f>I71+I72</f>
        <v>0</v>
      </c>
      <c r="J70" s="61">
        <f>K70+N70</f>
        <v>0</v>
      </c>
      <c r="K70" s="21">
        <f>K71+K72</f>
        <v>0</v>
      </c>
      <c r="L70" s="21">
        <f>L71+L72</f>
        <v>0</v>
      </c>
      <c r="M70" s="21">
        <f>M71+M72</f>
        <v>0</v>
      </c>
      <c r="N70" s="21">
        <f>N71+N72</f>
        <v>0</v>
      </c>
      <c r="O70" s="21">
        <f>O71+O72</f>
        <v>0</v>
      </c>
      <c r="P70" s="21">
        <f>E70+J70</f>
        <v>531400</v>
      </c>
    </row>
    <row r="71" spans="1:16" s="13" customFormat="1" ht="45">
      <c r="A71" s="24" t="s">
        <v>105</v>
      </c>
      <c r="B71" s="25" t="s">
        <v>107</v>
      </c>
      <c r="C71" s="26" t="s">
        <v>106</v>
      </c>
      <c r="D71" s="79" t="s">
        <v>108</v>
      </c>
      <c r="E71" s="63">
        <f>F71+I71</f>
        <v>313500</v>
      </c>
      <c r="F71" s="28">
        <v>313500</v>
      </c>
      <c r="G71" s="28">
        <v>0</v>
      </c>
      <c r="H71" s="28">
        <v>0</v>
      </c>
      <c r="I71" s="28">
        <v>0</v>
      </c>
      <c r="J71" s="63">
        <f>K71+N71</f>
        <v>0</v>
      </c>
      <c r="K71" s="28">
        <v>0</v>
      </c>
      <c r="L71" s="28">
        <v>0</v>
      </c>
      <c r="M71" s="28">
        <v>0</v>
      </c>
      <c r="N71" s="28">
        <v>0</v>
      </c>
      <c r="O71" s="28">
        <v>0</v>
      </c>
      <c r="P71" s="27">
        <f t="shared" si="2"/>
        <v>313500</v>
      </c>
    </row>
    <row r="72" spans="1:16" s="13" customFormat="1" ht="45">
      <c r="A72" s="24" t="s">
        <v>109</v>
      </c>
      <c r="B72" s="25" t="s">
        <v>110</v>
      </c>
      <c r="C72" s="26" t="s">
        <v>106</v>
      </c>
      <c r="D72" s="79" t="s">
        <v>111</v>
      </c>
      <c r="E72" s="63">
        <f>F72+I72</f>
        <v>217900</v>
      </c>
      <c r="F72" s="28">
        <v>217900</v>
      </c>
      <c r="G72" s="28">
        <v>0</v>
      </c>
      <c r="H72" s="28">
        <v>0</v>
      </c>
      <c r="I72" s="28">
        <v>0</v>
      </c>
      <c r="J72" s="63">
        <f>K72+N72</f>
        <v>0</v>
      </c>
      <c r="K72" s="28">
        <v>0</v>
      </c>
      <c r="L72" s="28">
        <v>0</v>
      </c>
      <c r="M72" s="28">
        <v>0</v>
      </c>
      <c r="N72" s="28">
        <v>0</v>
      </c>
      <c r="O72" s="28">
        <v>0</v>
      </c>
      <c r="P72" s="27">
        <f t="shared" si="2"/>
        <v>217900</v>
      </c>
    </row>
    <row r="73" spans="1:16" s="13" customFormat="1" ht="42.75">
      <c r="A73" s="18" t="s">
        <v>112</v>
      </c>
      <c r="B73" s="19"/>
      <c r="C73" s="20"/>
      <c r="D73" s="78" t="s">
        <v>113</v>
      </c>
      <c r="E73" s="61">
        <f>F73+I73</f>
        <v>324800</v>
      </c>
      <c r="F73" s="21">
        <f>F74+F75</f>
        <v>324800</v>
      </c>
      <c r="G73" s="21">
        <f>G74+G75</f>
        <v>239700</v>
      </c>
      <c r="H73" s="21">
        <f>H74+H75</f>
        <v>6200</v>
      </c>
      <c r="I73" s="21">
        <f>I74+I75</f>
        <v>0</v>
      </c>
      <c r="J73" s="61">
        <f>K73+N73</f>
        <v>0</v>
      </c>
      <c r="K73" s="21">
        <f>K74+K75</f>
        <v>0</v>
      </c>
      <c r="L73" s="21">
        <f>L74+L75</f>
        <v>0</v>
      </c>
      <c r="M73" s="21">
        <f>M74+M75</f>
        <v>0</v>
      </c>
      <c r="N73" s="21">
        <f>N74+N75</f>
        <v>0</v>
      </c>
      <c r="O73" s="21">
        <f>O74+O75</f>
        <v>0</v>
      </c>
      <c r="P73" s="21">
        <f>E73+J73</f>
        <v>324800</v>
      </c>
    </row>
    <row r="74" spans="1:16" s="13" customFormat="1" ht="30">
      <c r="A74" s="24" t="s">
        <v>114</v>
      </c>
      <c r="B74" s="25" t="s">
        <v>115</v>
      </c>
      <c r="C74" s="26" t="s">
        <v>106</v>
      </c>
      <c r="D74" s="79" t="s">
        <v>116</v>
      </c>
      <c r="E74" s="63">
        <f>F74+I74</f>
        <v>302000</v>
      </c>
      <c r="F74" s="28">
        <v>302000</v>
      </c>
      <c r="G74" s="28">
        <v>239700</v>
      </c>
      <c r="H74" s="28">
        <v>6200</v>
      </c>
      <c r="I74" s="28">
        <v>0</v>
      </c>
      <c r="J74" s="63">
        <f>K74+N74</f>
        <v>0</v>
      </c>
      <c r="K74" s="28">
        <v>0</v>
      </c>
      <c r="L74" s="28">
        <v>0</v>
      </c>
      <c r="M74" s="28">
        <v>0</v>
      </c>
      <c r="N74" s="28">
        <v>0</v>
      </c>
      <c r="O74" s="28">
        <v>0</v>
      </c>
      <c r="P74" s="27">
        <f t="shared" si="2"/>
        <v>302000</v>
      </c>
    </row>
    <row r="75" spans="1:16" s="13" customFormat="1" ht="45">
      <c r="A75" s="24" t="s">
        <v>117</v>
      </c>
      <c r="B75" s="25" t="s">
        <v>118</v>
      </c>
      <c r="C75" s="26" t="s">
        <v>106</v>
      </c>
      <c r="D75" s="79" t="s">
        <v>119</v>
      </c>
      <c r="E75" s="63">
        <f aca="true" t="shared" si="6" ref="E75:E85">F75+I75</f>
        <v>22800</v>
      </c>
      <c r="F75" s="28">
        <v>22800</v>
      </c>
      <c r="G75" s="28">
        <v>0</v>
      </c>
      <c r="H75" s="28">
        <v>0</v>
      </c>
      <c r="I75" s="28">
        <v>0</v>
      </c>
      <c r="J75" s="63">
        <f aca="true" t="shared" si="7" ref="J75:J107">K75+N75</f>
        <v>0</v>
      </c>
      <c r="K75" s="28">
        <v>0</v>
      </c>
      <c r="L75" s="28">
        <v>0</v>
      </c>
      <c r="M75" s="28">
        <v>0</v>
      </c>
      <c r="N75" s="28">
        <v>0</v>
      </c>
      <c r="O75" s="28">
        <v>0</v>
      </c>
      <c r="P75" s="27">
        <f t="shared" si="2"/>
        <v>22800</v>
      </c>
    </row>
    <row r="76" spans="1:16" s="13" customFormat="1" ht="28.5">
      <c r="A76" s="18" t="s">
        <v>120</v>
      </c>
      <c r="B76" s="19"/>
      <c r="C76" s="20"/>
      <c r="D76" s="78" t="s">
        <v>121</v>
      </c>
      <c r="E76" s="61">
        <f>F76+I76</f>
        <v>15523600</v>
      </c>
      <c r="F76" s="21">
        <f>F77+F78</f>
        <v>15523600</v>
      </c>
      <c r="G76" s="21">
        <f>G77+G78</f>
        <v>9521600</v>
      </c>
      <c r="H76" s="21">
        <f>H77+H78</f>
        <v>1669600</v>
      </c>
      <c r="I76" s="21">
        <f>I77+I78</f>
        <v>0</v>
      </c>
      <c r="J76" s="61">
        <f>K76+N76</f>
        <v>104000</v>
      </c>
      <c r="K76" s="21">
        <f>K77+K78</f>
        <v>104000</v>
      </c>
      <c r="L76" s="21">
        <f>L77+L78</f>
        <v>0</v>
      </c>
      <c r="M76" s="21">
        <f>M77+M78</f>
        <v>30700</v>
      </c>
      <c r="N76" s="21">
        <f>N77+N78</f>
        <v>0</v>
      </c>
      <c r="O76" s="21">
        <f>O77+O78</f>
        <v>0</v>
      </c>
      <c r="P76" s="21">
        <f>E76+J76</f>
        <v>15627600</v>
      </c>
    </row>
    <row r="77" spans="1:16" s="13" customFormat="1" ht="45">
      <c r="A77" s="24" t="s">
        <v>122</v>
      </c>
      <c r="B77" s="25" t="s">
        <v>123</v>
      </c>
      <c r="C77" s="26" t="s">
        <v>106</v>
      </c>
      <c r="D77" s="79" t="s">
        <v>124</v>
      </c>
      <c r="E77" s="63">
        <f>F77+I77</f>
        <v>13928800</v>
      </c>
      <c r="F77" s="28">
        <v>13928800</v>
      </c>
      <c r="G77" s="28">
        <v>9521600</v>
      </c>
      <c r="H77" s="28">
        <v>1669600</v>
      </c>
      <c r="I77" s="28">
        <v>0</v>
      </c>
      <c r="J77" s="63">
        <f>K77+N77</f>
        <v>104000</v>
      </c>
      <c r="K77" s="28">
        <v>104000</v>
      </c>
      <c r="L77" s="28">
        <v>0</v>
      </c>
      <c r="M77" s="28">
        <v>30700</v>
      </c>
      <c r="N77" s="28"/>
      <c r="O77" s="28"/>
      <c r="P77" s="27">
        <f t="shared" si="2"/>
        <v>14032800</v>
      </c>
    </row>
    <row r="78" spans="1:16" s="13" customFormat="1" ht="45">
      <c r="A78" s="24" t="s">
        <v>125</v>
      </c>
      <c r="B78" s="25" t="s">
        <v>126</v>
      </c>
      <c r="C78" s="26" t="s">
        <v>106</v>
      </c>
      <c r="D78" s="79" t="s">
        <v>127</v>
      </c>
      <c r="E78" s="63">
        <f t="shared" si="6"/>
        <v>1594800</v>
      </c>
      <c r="F78" s="28">
        <v>1594800</v>
      </c>
      <c r="G78" s="28">
        <v>0</v>
      </c>
      <c r="H78" s="28">
        <v>0</v>
      </c>
      <c r="I78" s="28">
        <v>0</v>
      </c>
      <c r="J78" s="63">
        <f t="shared" si="7"/>
        <v>0</v>
      </c>
      <c r="K78" s="28">
        <v>0</v>
      </c>
      <c r="L78" s="28">
        <v>0</v>
      </c>
      <c r="M78" s="28">
        <v>0</v>
      </c>
      <c r="N78" s="28">
        <v>0</v>
      </c>
      <c r="O78" s="28">
        <v>0</v>
      </c>
      <c r="P78" s="27">
        <f t="shared" si="2"/>
        <v>1594800</v>
      </c>
    </row>
    <row r="79" spans="1:16" s="13" customFormat="1" ht="33.75" customHeight="1">
      <c r="A79" s="18" t="s">
        <v>128</v>
      </c>
      <c r="B79" s="19"/>
      <c r="C79" s="20"/>
      <c r="D79" s="78" t="s">
        <v>129</v>
      </c>
      <c r="E79" s="61">
        <f>F79+I79</f>
        <v>6486700</v>
      </c>
      <c r="F79" s="21">
        <f>F80</f>
        <v>6486700</v>
      </c>
      <c r="G79" s="21">
        <f>G80</f>
        <v>0</v>
      </c>
      <c r="H79" s="21">
        <f>H80</f>
        <v>0</v>
      </c>
      <c r="I79" s="21">
        <f>I80</f>
        <v>0</v>
      </c>
      <c r="J79" s="61">
        <f>K79+N79</f>
        <v>0</v>
      </c>
      <c r="K79" s="21">
        <f>K80</f>
        <v>0</v>
      </c>
      <c r="L79" s="21">
        <f>L80</f>
        <v>0</v>
      </c>
      <c r="M79" s="21">
        <f>M80</f>
        <v>0</v>
      </c>
      <c r="N79" s="21">
        <f>N80</f>
        <v>0</v>
      </c>
      <c r="O79" s="21">
        <f>O80</f>
        <v>0</v>
      </c>
      <c r="P79" s="21">
        <f t="shared" si="2"/>
        <v>6486700</v>
      </c>
    </row>
    <row r="80" spans="1:16" s="13" customFormat="1" ht="33.75" customHeight="1">
      <c r="A80" s="24" t="s">
        <v>130</v>
      </c>
      <c r="B80" s="25" t="s">
        <v>131</v>
      </c>
      <c r="C80" s="26" t="s">
        <v>106</v>
      </c>
      <c r="D80" s="79" t="s">
        <v>132</v>
      </c>
      <c r="E80" s="63">
        <f t="shared" si="6"/>
        <v>6486700</v>
      </c>
      <c r="F80" s="28">
        <f>6416700+70000</f>
        <v>6486700</v>
      </c>
      <c r="G80" s="28">
        <v>0</v>
      </c>
      <c r="H80" s="28">
        <v>0</v>
      </c>
      <c r="I80" s="28">
        <v>0</v>
      </c>
      <c r="J80" s="63">
        <f t="shared" si="7"/>
        <v>0</v>
      </c>
      <c r="K80" s="28">
        <v>0</v>
      </c>
      <c r="L80" s="28">
        <v>0</v>
      </c>
      <c r="M80" s="28">
        <v>0</v>
      </c>
      <c r="N80" s="28">
        <v>0</v>
      </c>
      <c r="O80" s="28">
        <v>0</v>
      </c>
      <c r="P80" s="27">
        <f t="shared" si="2"/>
        <v>6486700</v>
      </c>
    </row>
    <row r="81" spans="1:16" s="13" customFormat="1" ht="28.5">
      <c r="A81" s="18" t="s">
        <v>133</v>
      </c>
      <c r="B81" s="19"/>
      <c r="C81" s="20"/>
      <c r="D81" s="78" t="s">
        <v>134</v>
      </c>
      <c r="E81" s="61">
        <f>F81+I81</f>
        <v>99600</v>
      </c>
      <c r="F81" s="21">
        <f>F82</f>
        <v>99600</v>
      </c>
      <c r="G81" s="21">
        <f>G82</f>
        <v>0</v>
      </c>
      <c r="H81" s="21">
        <f>H82</f>
        <v>0</v>
      </c>
      <c r="I81" s="21">
        <f>I82</f>
        <v>0</v>
      </c>
      <c r="J81" s="61">
        <f>K81+N81</f>
        <v>0</v>
      </c>
      <c r="K81" s="21">
        <f>K82</f>
        <v>0</v>
      </c>
      <c r="L81" s="21">
        <f>L82</f>
        <v>0</v>
      </c>
      <c r="M81" s="21">
        <f>M82</f>
        <v>0</v>
      </c>
      <c r="N81" s="21">
        <f>N82</f>
        <v>0</v>
      </c>
      <c r="O81" s="21">
        <f>O82</f>
        <v>0</v>
      </c>
      <c r="P81" s="21">
        <f>E81+J81</f>
        <v>99600</v>
      </c>
    </row>
    <row r="82" spans="1:16" s="13" customFormat="1" ht="61.5" customHeight="1">
      <c r="A82" s="24" t="s">
        <v>135</v>
      </c>
      <c r="B82" s="25" t="s">
        <v>136</v>
      </c>
      <c r="C82" s="26" t="s">
        <v>106</v>
      </c>
      <c r="D82" s="79" t="s">
        <v>137</v>
      </c>
      <c r="E82" s="63">
        <f>F82+I82</f>
        <v>99600</v>
      </c>
      <c r="F82" s="28">
        <v>99600</v>
      </c>
      <c r="G82" s="28">
        <v>0</v>
      </c>
      <c r="H82" s="28">
        <v>0</v>
      </c>
      <c r="I82" s="28">
        <v>0</v>
      </c>
      <c r="J82" s="63">
        <f>K82+N82</f>
        <v>0</v>
      </c>
      <c r="K82" s="28">
        <v>0</v>
      </c>
      <c r="L82" s="28">
        <v>0</v>
      </c>
      <c r="M82" s="28">
        <v>0</v>
      </c>
      <c r="N82" s="28">
        <v>0</v>
      </c>
      <c r="O82" s="28">
        <v>0</v>
      </c>
      <c r="P82" s="27">
        <f t="shared" si="2"/>
        <v>99600</v>
      </c>
    </row>
    <row r="83" spans="1:16" s="13" customFormat="1" ht="28.5">
      <c r="A83" s="18" t="s">
        <v>138</v>
      </c>
      <c r="B83" s="19"/>
      <c r="C83" s="20"/>
      <c r="D83" s="78" t="s">
        <v>139</v>
      </c>
      <c r="E83" s="61">
        <f>F83+I83</f>
        <v>2280900</v>
      </c>
      <c r="F83" s="21">
        <f>F84+F85</f>
        <v>2280900</v>
      </c>
      <c r="G83" s="21">
        <f>G84+G85</f>
        <v>224400</v>
      </c>
      <c r="H83" s="21">
        <f>H84+H85</f>
        <v>35800</v>
      </c>
      <c r="I83" s="21">
        <f>I84+I85</f>
        <v>0</v>
      </c>
      <c r="J83" s="61">
        <f>K83+N83</f>
        <v>0</v>
      </c>
      <c r="K83" s="21">
        <f>K84+K85</f>
        <v>0</v>
      </c>
      <c r="L83" s="21">
        <f>L84+L85</f>
        <v>0</v>
      </c>
      <c r="M83" s="21">
        <f>M84+M85</f>
        <v>0</v>
      </c>
      <c r="N83" s="21">
        <f>N84+N85</f>
        <v>0</v>
      </c>
      <c r="O83" s="21">
        <f>O84+O85</f>
        <v>0</v>
      </c>
      <c r="P83" s="21">
        <f>E83+J83</f>
        <v>2280900</v>
      </c>
    </row>
    <row r="84" spans="1:16" s="13" customFormat="1" ht="60">
      <c r="A84" s="24" t="s">
        <v>140</v>
      </c>
      <c r="B84" s="25" t="s">
        <v>141</v>
      </c>
      <c r="C84" s="26" t="s">
        <v>106</v>
      </c>
      <c r="D84" s="79" t="s">
        <v>142</v>
      </c>
      <c r="E84" s="63">
        <f t="shared" si="6"/>
        <v>1582600</v>
      </c>
      <c r="F84" s="28">
        <v>1582600</v>
      </c>
      <c r="G84" s="28">
        <v>224400</v>
      </c>
      <c r="H84" s="28">
        <v>35800</v>
      </c>
      <c r="I84" s="28">
        <v>0</v>
      </c>
      <c r="J84" s="63">
        <f t="shared" si="7"/>
        <v>0</v>
      </c>
      <c r="K84" s="28">
        <v>0</v>
      </c>
      <c r="L84" s="28">
        <v>0</v>
      </c>
      <c r="M84" s="28">
        <v>0</v>
      </c>
      <c r="N84" s="28">
        <v>0</v>
      </c>
      <c r="O84" s="28">
        <v>0</v>
      </c>
      <c r="P84" s="27">
        <f t="shared" si="2"/>
        <v>1582600</v>
      </c>
    </row>
    <row r="85" spans="1:16" s="13" customFormat="1" ht="45">
      <c r="A85" s="24" t="s">
        <v>143</v>
      </c>
      <c r="B85" s="25" t="s">
        <v>144</v>
      </c>
      <c r="C85" s="26" t="s">
        <v>106</v>
      </c>
      <c r="D85" s="79" t="s">
        <v>145</v>
      </c>
      <c r="E85" s="63">
        <f t="shared" si="6"/>
        <v>698300</v>
      </c>
      <c r="F85" s="28">
        <v>698300</v>
      </c>
      <c r="G85" s="28">
        <v>0</v>
      </c>
      <c r="H85" s="28">
        <v>0</v>
      </c>
      <c r="I85" s="28">
        <v>0</v>
      </c>
      <c r="J85" s="63">
        <f t="shared" si="7"/>
        <v>0</v>
      </c>
      <c r="K85" s="28">
        <v>0</v>
      </c>
      <c r="L85" s="28">
        <v>0</v>
      </c>
      <c r="M85" s="28">
        <v>0</v>
      </c>
      <c r="N85" s="28">
        <v>0</v>
      </c>
      <c r="O85" s="28">
        <v>0</v>
      </c>
      <c r="P85" s="27">
        <f t="shared" si="2"/>
        <v>698300</v>
      </c>
    </row>
    <row r="86" spans="1:16" s="55" customFormat="1" ht="59.25" customHeight="1">
      <c r="A86" s="5">
        <v>1016350</v>
      </c>
      <c r="B86" s="7">
        <v>6350</v>
      </c>
      <c r="C86" s="6" t="s">
        <v>60</v>
      </c>
      <c r="D86" s="77" t="s">
        <v>336</v>
      </c>
      <c r="E86" s="62">
        <f aca="true" t="shared" si="8" ref="E86:E91">F86+I86</f>
        <v>0</v>
      </c>
      <c r="F86" s="23"/>
      <c r="G86" s="23"/>
      <c r="H86" s="23"/>
      <c r="I86" s="23"/>
      <c r="J86" s="62">
        <f t="shared" si="7"/>
        <v>446876</v>
      </c>
      <c r="K86" s="23"/>
      <c r="L86" s="23"/>
      <c r="M86" s="23"/>
      <c r="N86" s="23">
        <f>200000+246876</f>
        <v>446876</v>
      </c>
      <c r="O86" s="23">
        <f>200000+246876</f>
        <v>446876</v>
      </c>
      <c r="P86" s="22">
        <f>E86+J86</f>
        <v>446876</v>
      </c>
    </row>
    <row r="87" spans="1:16" s="13" customFormat="1" ht="33" customHeight="1">
      <c r="A87" s="5" t="s">
        <v>146</v>
      </c>
      <c r="B87" s="7" t="s">
        <v>148</v>
      </c>
      <c r="C87" s="6" t="s">
        <v>147</v>
      </c>
      <c r="D87" s="77" t="s">
        <v>149</v>
      </c>
      <c r="E87" s="62">
        <f t="shared" si="8"/>
        <v>0</v>
      </c>
      <c r="F87" s="23">
        <v>0</v>
      </c>
      <c r="G87" s="23">
        <v>0</v>
      </c>
      <c r="H87" s="23">
        <v>0</v>
      </c>
      <c r="I87" s="23">
        <v>0</v>
      </c>
      <c r="J87" s="62">
        <f t="shared" si="7"/>
        <v>860000</v>
      </c>
      <c r="K87" s="23">
        <v>0</v>
      </c>
      <c r="L87" s="23">
        <v>0</v>
      </c>
      <c r="M87" s="23">
        <v>0</v>
      </c>
      <c r="N87" s="23">
        <f>550000+300000+10000+500000-500000</f>
        <v>860000</v>
      </c>
      <c r="O87" s="23">
        <f>550000+300000+10000+500000-500000</f>
        <v>860000</v>
      </c>
      <c r="P87" s="22">
        <f>E87+J87</f>
        <v>860000</v>
      </c>
    </row>
    <row r="88" spans="1:16" s="13" customFormat="1" ht="28.5">
      <c r="A88" s="5" t="s">
        <v>150</v>
      </c>
      <c r="B88" s="7" t="s">
        <v>152</v>
      </c>
      <c r="C88" s="6" t="s">
        <v>151</v>
      </c>
      <c r="D88" s="77" t="s">
        <v>153</v>
      </c>
      <c r="E88" s="62">
        <f t="shared" si="8"/>
        <v>0</v>
      </c>
      <c r="F88" s="23">
        <v>0</v>
      </c>
      <c r="G88" s="23">
        <v>0</v>
      </c>
      <c r="H88" s="23">
        <v>0</v>
      </c>
      <c r="I88" s="23">
        <v>0</v>
      </c>
      <c r="J88" s="62">
        <f t="shared" si="7"/>
        <v>62100</v>
      </c>
      <c r="K88" s="23">
        <v>62100</v>
      </c>
      <c r="L88" s="23">
        <v>0</v>
      </c>
      <c r="M88" s="23">
        <v>0</v>
      </c>
      <c r="N88" s="23">
        <v>0</v>
      </c>
      <c r="O88" s="23">
        <v>0</v>
      </c>
      <c r="P88" s="22">
        <f>E88+J88</f>
        <v>62100</v>
      </c>
    </row>
    <row r="89" spans="1:16" s="75" customFormat="1" ht="28.5" customHeight="1">
      <c r="A89" s="70" t="s">
        <v>154</v>
      </c>
      <c r="B89" s="71"/>
      <c r="C89" s="72"/>
      <c r="D89" s="76" t="s">
        <v>424</v>
      </c>
      <c r="E89" s="73">
        <f t="shared" si="8"/>
        <v>382743595</v>
      </c>
      <c r="F89" s="74">
        <f>F90</f>
        <v>382743595</v>
      </c>
      <c r="G89" s="74">
        <f>G90</f>
        <v>4730192</v>
      </c>
      <c r="H89" s="74">
        <f>H90</f>
        <v>499679</v>
      </c>
      <c r="I89" s="74">
        <f>I90</f>
        <v>0</v>
      </c>
      <c r="J89" s="73">
        <f t="shared" si="7"/>
        <v>25977062.4</v>
      </c>
      <c r="K89" s="74">
        <f>K90</f>
        <v>11083704</v>
      </c>
      <c r="L89" s="74">
        <f>L90</f>
        <v>0</v>
      </c>
      <c r="M89" s="74">
        <f>M90</f>
        <v>0</v>
      </c>
      <c r="N89" s="74">
        <f>N90</f>
        <v>14893358.4</v>
      </c>
      <c r="O89" s="74">
        <f>O90</f>
        <v>14328118.4</v>
      </c>
      <c r="P89" s="74">
        <f t="shared" si="2"/>
        <v>408720657.4</v>
      </c>
    </row>
    <row r="90" spans="1:16" s="106" customFormat="1" ht="28.5">
      <c r="A90" s="29" t="s">
        <v>155</v>
      </c>
      <c r="B90" s="30"/>
      <c r="C90" s="31"/>
      <c r="D90" s="82" t="s">
        <v>434</v>
      </c>
      <c r="E90" s="62">
        <f t="shared" si="8"/>
        <v>382743595</v>
      </c>
      <c r="F90" s="22">
        <f>F91+F92+F94+F97+F99+F101+F104+F105+F108+F113+F117+F119+F121+F122+F124+F125+F118+F107</f>
        <v>382743595</v>
      </c>
      <c r="G90" s="22">
        <f>G91+G92+G94+G97+G99+G101+G104+G105+G108+G113+G117+G119+G121+G122+G124+G125</f>
        <v>4730192</v>
      </c>
      <c r="H90" s="22">
        <f>H91+H92+H94+H97+H99+H101+H104+H105+H108+H113+H117+H119+H121+H122+H124+H125</f>
        <v>499679</v>
      </c>
      <c r="I90" s="22">
        <f>I91+I92+I94+I97+I99+I101+I104+I105+I108+I113+I117+I119+I121+I122+I124+I125</f>
        <v>0</v>
      </c>
      <c r="J90" s="62">
        <f t="shared" si="7"/>
        <v>25977062.4</v>
      </c>
      <c r="K90" s="22">
        <f>K91+K92+K94+K97+K99+K101+K104+K105+K108+K113+K117+K119+K121+K122+K124+K125</f>
        <v>11083704</v>
      </c>
      <c r="L90" s="22">
        <f>L91+L92+L94+L97+L99+L101+L104+L105+L108+L113+L117+L119+L121+L122+L124+L125</f>
        <v>0</v>
      </c>
      <c r="M90" s="22">
        <f>M91+M92+M94+M97+M99+M101+M104+M105+M108+M113+M117+M119+M121+M122+M124+M125</f>
        <v>0</v>
      </c>
      <c r="N90" s="22">
        <f>N91+N92+N94+N97+N99+N101+N104+N105+N108+N113+N117+N119+N121+N122+N124+N125</f>
        <v>14893358.4</v>
      </c>
      <c r="O90" s="22">
        <f>O91+O92+O94+O97+O99+O101+O104+O105+O108+O113+O117+O119+O121+O122+O124+O125</f>
        <v>14328118.4</v>
      </c>
      <c r="P90" s="22">
        <f t="shared" si="2"/>
        <v>408720657.4</v>
      </c>
    </row>
    <row r="91" spans="1:16" s="13" customFormat="1" ht="42.75">
      <c r="A91" s="5" t="s">
        <v>156</v>
      </c>
      <c r="B91" s="32" t="s">
        <v>35</v>
      </c>
      <c r="C91" s="32" t="s">
        <v>20</v>
      </c>
      <c r="D91" s="77" t="s">
        <v>558</v>
      </c>
      <c r="E91" s="62">
        <f t="shared" si="8"/>
        <v>2813057</v>
      </c>
      <c r="F91" s="23">
        <v>2813057</v>
      </c>
      <c r="G91" s="23">
        <v>2087892</v>
      </c>
      <c r="H91" s="23">
        <v>129079</v>
      </c>
      <c r="I91" s="23">
        <v>0</v>
      </c>
      <c r="J91" s="62">
        <f t="shared" si="7"/>
        <v>0</v>
      </c>
      <c r="K91" s="23">
        <v>0</v>
      </c>
      <c r="L91" s="23">
        <v>0</v>
      </c>
      <c r="M91" s="23">
        <v>0</v>
      </c>
      <c r="N91" s="23">
        <v>0</v>
      </c>
      <c r="O91" s="23">
        <v>0</v>
      </c>
      <c r="P91" s="22">
        <f t="shared" si="2"/>
        <v>2813057</v>
      </c>
    </row>
    <row r="92" spans="1:16" s="13" customFormat="1" ht="28.5">
      <c r="A92" s="5" t="s">
        <v>157</v>
      </c>
      <c r="B92" s="7" t="s">
        <v>159</v>
      </c>
      <c r="C92" s="6" t="s">
        <v>158</v>
      </c>
      <c r="D92" s="77" t="s">
        <v>160</v>
      </c>
      <c r="E92" s="62">
        <f aca="true" t="shared" si="9" ref="E92:E107">F92+I92</f>
        <v>185978169</v>
      </c>
      <c r="F92" s="23">
        <f>183788510+641034+12906+915465+351662+1258786+276933-915465-351662</f>
        <v>185978169</v>
      </c>
      <c r="G92" s="23">
        <v>0</v>
      </c>
      <c r="H92" s="23">
        <v>0</v>
      </c>
      <c r="I92" s="23">
        <v>0</v>
      </c>
      <c r="J92" s="62">
        <f t="shared" si="7"/>
        <v>2693652.4</v>
      </c>
      <c r="K92" s="23">
        <v>1922324</v>
      </c>
      <c r="L92" s="23">
        <v>0</v>
      </c>
      <c r="M92" s="23">
        <v>0</v>
      </c>
      <c r="N92" s="23">
        <f>703210+68118.4</f>
        <v>771328.4</v>
      </c>
      <c r="O92" s="23">
        <f>637970+68118.4</f>
        <v>706088.4</v>
      </c>
      <c r="P92" s="22">
        <f aca="true" t="shared" si="10" ref="P92:P190">E92+J92</f>
        <v>188671821.4</v>
      </c>
    </row>
    <row r="93" spans="1:16" s="13" customFormat="1" ht="45">
      <c r="A93" s="24"/>
      <c r="B93" s="25"/>
      <c r="C93" s="26"/>
      <c r="D93" s="81" t="s">
        <v>521</v>
      </c>
      <c r="E93" s="63">
        <f t="shared" si="9"/>
        <v>114050062</v>
      </c>
      <c r="F93" s="28">
        <f>112782935+915465+351662</f>
        <v>114050062</v>
      </c>
      <c r="G93" s="28">
        <v>0</v>
      </c>
      <c r="H93" s="28">
        <v>0</v>
      </c>
      <c r="I93" s="28">
        <v>0</v>
      </c>
      <c r="J93" s="63">
        <f t="shared" si="7"/>
        <v>0</v>
      </c>
      <c r="K93" s="28">
        <v>0</v>
      </c>
      <c r="L93" s="28">
        <v>0</v>
      </c>
      <c r="M93" s="28">
        <v>0</v>
      </c>
      <c r="N93" s="28">
        <v>0</v>
      </c>
      <c r="O93" s="28">
        <v>0</v>
      </c>
      <c r="P93" s="27">
        <f t="shared" si="10"/>
        <v>114050062</v>
      </c>
    </row>
    <row r="94" spans="1:16" s="13" customFormat="1" ht="28.5">
      <c r="A94" s="5" t="s">
        <v>161</v>
      </c>
      <c r="B94" s="7" t="s">
        <v>163</v>
      </c>
      <c r="C94" s="6" t="s">
        <v>162</v>
      </c>
      <c r="D94" s="77" t="s">
        <v>164</v>
      </c>
      <c r="E94" s="62">
        <f t="shared" si="9"/>
        <v>33489277</v>
      </c>
      <c r="F94" s="23">
        <f>33080221+23817+39369+100000+22000-39369+263239</f>
        <v>33489277</v>
      </c>
      <c r="G94" s="23">
        <v>0</v>
      </c>
      <c r="H94" s="23">
        <v>0</v>
      </c>
      <c r="I94" s="23">
        <v>0</v>
      </c>
      <c r="J94" s="62">
        <f t="shared" si="7"/>
        <v>325382</v>
      </c>
      <c r="K94" s="23">
        <v>325382</v>
      </c>
      <c r="L94" s="23">
        <v>0</v>
      </c>
      <c r="M94" s="23">
        <v>0</v>
      </c>
      <c r="N94" s="23">
        <v>0</v>
      </c>
      <c r="O94" s="23">
        <v>0</v>
      </c>
      <c r="P94" s="22">
        <f t="shared" si="10"/>
        <v>33814659</v>
      </c>
    </row>
    <row r="95" spans="1:16" s="13" customFormat="1" ht="45">
      <c r="A95" s="24"/>
      <c r="B95" s="25"/>
      <c r="C95" s="26"/>
      <c r="D95" s="81" t="s">
        <v>521</v>
      </c>
      <c r="E95" s="63">
        <f t="shared" si="9"/>
        <v>21765049</v>
      </c>
      <c r="F95" s="28">
        <f>21725680+39369</f>
        <v>21765049</v>
      </c>
      <c r="G95" s="28">
        <v>0</v>
      </c>
      <c r="H95" s="28">
        <v>0</v>
      </c>
      <c r="I95" s="28">
        <v>0</v>
      </c>
      <c r="J95" s="63">
        <f t="shared" si="7"/>
        <v>0</v>
      </c>
      <c r="K95" s="28">
        <v>0</v>
      </c>
      <c r="L95" s="28">
        <v>0</v>
      </c>
      <c r="M95" s="28">
        <v>0</v>
      </c>
      <c r="N95" s="28">
        <v>0</v>
      </c>
      <c r="O95" s="28">
        <v>0</v>
      </c>
      <c r="P95" s="27">
        <f t="shared" si="10"/>
        <v>21765049</v>
      </c>
    </row>
    <row r="96" spans="1:16" s="13" customFormat="1" ht="75">
      <c r="A96" s="24"/>
      <c r="B96" s="25"/>
      <c r="C96" s="26"/>
      <c r="D96" s="81" t="s">
        <v>561</v>
      </c>
      <c r="E96" s="63">
        <f t="shared" si="9"/>
        <v>263239</v>
      </c>
      <c r="F96" s="28">
        <v>263239</v>
      </c>
      <c r="G96" s="28">
        <v>0</v>
      </c>
      <c r="H96" s="28">
        <v>0</v>
      </c>
      <c r="I96" s="28">
        <v>0</v>
      </c>
      <c r="J96" s="63">
        <f t="shared" si="7"/>
        <v>0</v>
      </c>
      <c r="K96" s="28">
        <v>0</v>
      </c>
      <c r="L96" s="28">
        <v>0</v>
      </c>
      <c r="M96" s="28">
        <v>0</v>
      </c>
      <c r="N96" s="28">
        <v>0</v>
      </c>
      <c r="O96" s="28">
        <v>0</v>
      </c>
      <c r="P96" s="27">
        <f t="shared" si="10"/>
        <v>263239</v>
      </c>
    </row>
    <row r="97" spans="1:16" s="13" customFormat="1" ht="28.5">
      <c r="A97" s="5" t="s">
        <v>165</v>
      </c>
      <c r="B97" s="7" t="s">
        <v>167</v>
      </c>
      <c r="C97" s="6" t="s">
        <v>166</v>
      </c>
      <c r="D97" s="77" t="s">
        <v>168</v>
      </c>
      <c r="E97" s="62">
        <f t="shared" si="9"/>
        <v>5671168</v>
      </c>
      <c r="F97" s="23">
        <f>5608676+41218+17438+3836</f>
        <v>5671168</v>
      </c>
      <c r="G97" s="23">
        <v>0</v>
      </c>
      <c r="H97" s="23">
        <v>0</v>
      </c>
      <c r="I97" s="23">
        <v>0</v>
      </c>
      <c r="J97" s="62">
        <f t="shared" si="7"/>
        <v>482178</v>
      </c>
      <c r="K97" s="23">
        <v>482178</v>
      </c>
      <c r="L97" s="23">
        <v>0</v>
      </c>
      <c r="M97" s="23">
        <v>0</v>
      </c>
      <c r="N97" s="23">
        <v>0</v>
      </c>
      <c r="O97" s="23">
        <v>0</v>
      </c>
      <c r="P97" s="22">
        <f t="shared" si="10"/>
        <v>6153346</v>
      </c>
    </row>
    <row r="98" spans="1:16" s="13" customFormat="1" ht="45">
      <c r="A98" s="24"/>
      <c r="B98" s="25"/>
      <c r="C98" s="26"/>
      <c r="D98" s="81" t="s">
        <v>521</v>
      </c>
      <c r="E98" s="63">
        <f t="shared" si="9"/>
        <v>3965722</v>
      </c>
      <c r="F98" s="28">
        <v>3965722</v>
      </c>
      <c r="G98" s="28">
        <v>0</v>
      </c>
      <c r="H98" s="28">
        <v>0</v>
      </c>
      <c r="I98" s="28">
        <v>0</v>
      </c>
      <c r="J98" s="63">
        <f t="shared" si="7"/>
        <v>0</v>
      </c>
      <c r="K98" s="28">
        <v>0</v>
      </c>
      <c r="L98" s="28">
        <v>0</v>
      </c>
      <c r="M98" s="28">
        <v>0</v>
      </c>
      <c r="N98" s="28">
        <v>0</v>
      </c>
      <c r="O98" s="28">
        <v>0</v>
      </c>
      <c r="P98" s="27">
        <f t="shared" si="10"/>
        <v>3965722</v>
      </c>
    </row>
    <row r="99" spans="1:16" s="13" customFormat="1" ht="28.5">
      <c r="A99" s="5" t="s">
        <v>169</v>
      </c>
      <c r="B99" s="7" t="s">
        <v>171</v>
      </c>
      <c r="C99" s="6" t="s">
        <v>170</v>
      </c>
      <c r="D99" s="77" t="s">
        <v>172</v>
      </c>
      <c r="E99" s="62">
        <f t="shared" si="9"/>
        <v>10299858</v>
      </c>
      <c r="F99" s="23">
        <f>10284582+15276</f>
        <v>10299858</v>
      </c>
      <c r="G99" s="23">
        <v>0</v>
      </c>
      <c r="H99" s="23">
        <v>0</v>
      </c>
      <c r="I99" s="23">
        <v>0</v>
      </c>
      <c r="J99" s="62">
        <f t="shared" si="7"/>
        <v>6988015</v>
      </c>
      <c r="K99" s="23">
        <v>6488015</v>
      </c>
      <c r="L99" s="23">
        <v>0</v>
      </c>
      <c r="M99" s="23">
        <v>0</v>
      </c>
      <c r="N99" s="23">
        <v>500000</v>
      </c>
      <c r="O99" s="23">
        <v>0</v>
      </c>
      <c r="P99" s="22">
        <f t="shared" si="10"/>
        <v>17287873</v>
      </c>
    </row>
    <row r="100" spans="1:16" s="13" customFormat="1" ht="45.75" customHeight="1">
      <c r="A100" s="24"/>
      <c r="B100" s="25"/>
      <c r="C100" s="26"/>
      <c r="D100" s="81" t="s">
        <v>521</v>
      </c>
      <c r="E100" s="63">
        <f t="shared" si="9"/>
        <v>6738472</v>
      </c>
      <c r="F100" s="28">
        <v>6738472</v>
      </c>
      <c r="G100" s="28">
        <v>0</v>
      </c>
      <c r="H100" s="28">
        <v>0</v>
      </c>
      <c r="I100" s="28">
        <v>0</v>
      </c>
      <c r="J100" s="63">
        <f t="shared" si="7"/>
        <v>0</v>
      </c>
      <c r="K100" s="28">
        <v>0</v>
      </c>
      <c r="L100" s="28">
        <v>0</v>
      </c>
      <c r="M100" s="28">
        <v>0</v>
      </c>
      <c r="N100" s="28">
        <v>0</v>
      </c>
      <c r="O100" s="28">
        <v>0</v>
      </c>
      <c r="P100" s="27">
        <f t="shared" si="10"/>
        <v>6738472</v>
      </c>
    </row>
    <row r="101" spans="1:16" s="13" customFormat="1" ht="28.5">
      <c r="A101" s="5" t="s">
        <v>173</v>
      </c>
      <c r="B101" s="7" t="s">
        <v>175</v>
      </c>
      <c r="C101" s="6" t="s">
        <v>174</v>
      </c>
      <c r="D101" s="77" t="s">
        <v>176</v>
      </c>
      <c r="E101" s="62">
        <f t="shared" si="9"/>
        <v>96474390</v>
      </c>
      <c r="F101" s="23">
        <f>92482607+195650+937862+463414+101951-937862+3230768</f>
        <v>96474390</v>
      </c>
      <c r="G101" s="23">
        <v>0</v>
      </c>
      <c r="H101" s="23">
        <v>0</v>
      </c>
      <c r="I101" s="23">
        <v>0</v>
      </c>
      <c r="J101" s="62">
        <f t="shared" si="7"/>
        <v>5930605</v>
      </c>
      <c r="K101" s="23">
        <v>1865805</v>
      </c>
      <c r="L101" s="23">
        <v>0</v>
      </c>
      <c r="M101" s="23">
        <v>0</v>
      </c>
      <c r="N101" s="23">
        <f>6362030-2297230</f>
        <v>4064800</v>
      </c>
      <c r="O101" s="23">
        <f>6362030-2297230</f>
        <v>4064800</v>
      </c>
      <c r="P101" s="22">
        <f t="shared" si="10"/>
        <v>102404995</v>
      </c>
    </row>
    <row r="102" spans="1:16" s="13" customFormat="1" ht="46.5" customHeight="1">
      <c r="A102" s="24"/>
      <c r="B102" s="25"/>
      <c r="C102" s="26"/>
      <c r="D102" s="81" t="s">
        <v>521</v>
      </c>
      <c r="E102" s="63">
        <f t="shared" si="9"/>
        <v>62152035</v>
      </c>
      <c r="F102" s="28">
        <f>61214173+937862</f>
        <v>62152035</v>
      </c>
      <c r="G102" s="28">
        <v>0</v>
      </c>
      <c r="H102" s="28">
        <v>0</v>
      </c>
      <c r="I102" s="28">
        <v>0</v>
      </c>
      <c r="J102" s="63">
        <f t="shared" si="7"/>
        <v>0</v>
      </c>
      <c r="K102" s="28">
        <v>0</v>
      </c>
      <c r="L102" s="28">
        <v>0</v>
      </c>
      <c r="M102" s="28">
        <v>0</v>
      </c>
      <c r="N102" s="28">
        <v>0</v>
      </c>
      <c r="O102" s="28">
        <v>0</v>
      </c>
      <c r="P102" s="27">
        <f t="shared" si="10"/>
        <v>62152035</v>
      </c>
    </row>
    <row r="103" spans="1:16" s="13" customFormat="1" ht="76.5" customHeight="1">
      <c r="A103" s="24"/>
      <c r="B103" s="25"/>
      <c r="C103" s="26"/>
      <c r="D103" s="81" t="s">
        <v>561</v>
      </c>
      <c r="E103" s="63">
        <f t="shared" si="9"/>
        <v>3230768</v>
      </c>
      <c r="F103" s="28">
        <v>3230768</v>
      </c>
      <c r="G103" s="28">
        <v>0</v>
      </c>
      <c r="H103" s="28">
        <v>0</v>
      </c>
      <c r="I103" s="28">
        <v>0</v>
      </c>
      <c r="J103" s="63">
        <f t="shared" si="7"/>
        <v>0</v>
      </c>
      <c r="K103" s="28">
        <v>0</v>
      </c>
      <c r="L103" s="28">
        <v>0</v>
      </c>
      <c r="M103" s="28">
        <v>0</v>
      </c>
      <c r="N103" s="28">
        <v>0</v>
      </c>
      <c r="O103" s="28">
        <v>0</v>
      </c>
      <c r="P103" s="27">
        <f t="shared" si="10"/>
        <v>3230768</v>
      </c>
    </row>
    <row r="104" spans="1:16" s="13" customFormat="1" ht="78.75" customHeight="1">
      <c r="A104" s="5" t="s">
        <v>177</v>
      </c>
      <c r="B104" s="7" t="s">
        <v>179</v>
      </c>
      <c r="C104" s="6" t="s">
        <v>178</v>
      </c>
      <c r="D104" s="77" t="s">
        <v>180</v>
      </c>
      <c r="E104" s="62">
        <f t="shared" si="9"/>
        <v>2029546</v>
      </c>
      <c r="F104" s="23">
        <v>2029546</v>
      </c>
      <c r="G104" s="23">
        <v>0</v>
      </c>
      <c r="H104" s="23">
        <v>0</v>
      </c>
      <c r="I104" s="23">
        <v>0</v>
      </c>
      <c r="J104" s="62">
        <f t="shared" si="7"/>
        <v>0</v>
      </c>
      <c r="K104" s="23">
        <v>0</v>
      </c>
      <c r="L104" s="23">
        <v>0</v>
      </c>
      <c r="M104" s="23">
        <v>0</v>
      </c>
      <c r="N104" s="23">
        <v>0</v>
      </c>
      <c r="O104" s="23">
        <v>0</v>
      </c>
      <c r="P104" s="22">
        <f t="shared" si="10"/>
        <v>2029546</v>
      </c>
    </row>
    <row r="105" spans="1:16" s="13" customFormat="1" ht="18.75" customHeight="1">
      <c r="A105" s="5" t="s">
        <v>181</v>
      </c>
      <c r="B105" s="7" t="s">
        <v>182</v>
      </c>
      <c r="C105" s="6" t="s">
        <v>178</v>
      </c>
      <c r="D105" s="77" t="s">
        <v>183</v>
      </c>
      <c r="E105" s="62">
        <f t="shared" si="9"/>
        <v>28941463</v>
      </c>
      <c r="F105" s="23">
        <f>29916958-916995-58500</f>
        <v>28941463</v>
      </c>
      <c r="G105" s="23">
        <v>0</v>
      </c>
      <c r="H105" s="23">
        <v>0</v>
      </c>
      <c r="I105" s="23">
        <v>0</v>
      </c>
      <c r="J105" s="62">
        <f t="shared" si="7"/>
        <v>2297230</v>
      </c>
      <c r="K105" s="23">
        <v>0</v>
      </c>
      <c r="L105" s="23">
        <v>0</v>
      </c>
      <c r="M105" s="23">
        <v>0</v>
      </c>
      <c r="N105" s="23">
        <f>2297230</f>
        <v>2297230</v>
      </c>
      <c r="O105" s="23">
        <f>2297230</f>
        <v>2297230</v>
      </c>
      <c r="P105" s="22">
        <f t="shared" si="10"/>
        <v>31238693</v>
      </c>
    </row>
    <row r="106" spans="1:16" s="13" customFormat="1" ht="48.75" customHeight="1">
      <c r="A106" s="24"/>
      <c r="B106" s="25"/>
      <c r="C106" s="26"/>
      <c r="D106" s="81" t="s">
        <v>521</v>
      </c>
      <c r="E106" s="63">
        <f t="shared" si="9"/>
        <v>1498518</v>
      </c>
      <c r="F106" s="28">
        <v>1498518</v>
      </c>
      <c r="G106" s="28">
        <v>0</v>
      </c>
      <c r="H106" s="28">
        <v>0</v>
      </c>
      <c r="I106" s="28">
        <v>0</v>
      </c>
      <c r="J106" s="63">
        <f t="shared" si="7"/>
        <v>0</v>
      </c>
      <c r="K106" s="28">
        <v>0</v>
      </c>
      <c r="L106" s="28">
        <v>0</v>
      </c>
      <c r="M106" s="28">
        <v>0</v>
      </c>
      <c r="N106" s="28">
        <v>0</v>
      </c>
      <c r="O106" s="28">
        <v>0</v>
      </c>
      <c r="P106" s="27">
        <f t="shared" si="10"/>
        <v>1498518</v>
      </c>
    </row>
    <row r="107" spans="1:16" s="13" customFormat="1" ht="48.75" customHeight="1">
      <c r="A107" s="5">
        <v>1418800</v>
      </c>
      <c r="B107" s="32" t="s">
        <v>344</v>
      </c>
      <c r="C107" s="119" t="s">
        <v>549</v>
      </c>
      <c r="D107" s="102" t="s">
        <v>345</v>
      </c>
      <c r="E107" s="62">
        <f t="shared" si="9"/>
        <v>58500</v>
      </c>
      <c r="F107" s="23">
        <v>58500</v>
      </c>
      <c r="G107" s="23">
        <v>0</v>
      </c>
      <c r="H107" s="23">
        <v>0</v>
      </c>
      <c r="I107" s="23">
        <v>0</v>
      </c>
      <c r="J107" s="62">
        <f t="shared" si="7"/>
        <v>0</v>
      </c>
      <c r="K107" s="23">
        <v>0</v>
      </c>
      <c r="L107" s="23">
        <v>0</v>
      </c>
      <c r="M107" s="23">
        <v>0</v>
      </c>
      <c r="N107" s="23">
        <v>0</v>
      </c>
      <c r="O107" s="23">
        <v>0</v>
      </c>
      <c r="P107" s="22">
        <f t="shared" si="10"/>
        <v>58500</v>
      </c>
    </row>
    <row r="108" spans="1:16" s="13" customFormat="1" ht="234.75" customHeight="1">
      <c r="A108" s="18" t="s">
        <v>184</v>
      </c>
      <c r="B108" s="19"/>
      <c r="C108" s="20"/>
      <c r="D108" s="84" t="s">
        <v>486</v>
      </c>
      <c r="E108" s="61">
        <f>F108+I108</f>
        <v>5000000</v>
      </c>
      <c r="F108" s="21">
        <f>F109+F110+F111+F112</f>
        <v>5000000</v>
      </c>
      <c r="G108" s="21">
        <f>G109+G110+G111+G112</f>
        <v>0</v>
      </c>
      <c r="H108" s="21">
        <f>H109+H110+H111+H112</f>
        <v>0</v>
      </c>
      <c r="I108" s="21">
        <f>I109+I110+I111+I112</f>
        <v>0</v>
      </c>
      <c r="J108" s="61">
        <f>K108+N108</f>
        <v>100000</v>
      </c>
      <c r="K108" s="21">
        <f>K109+K110+K111+K112</f>
        <v>0</v>
      </c>
      <c r="L108" s="21">
        <f>L109+L110+L111+L112</f>
        <v>0</v>
      </c>
      <c r="M108" s="21">
        <f>M109+M110+M111+M112</f>
        <v>0</v>
      </c>
      <c r="N108" s="21">
        <f>N109+N110+N111+N112</f>
        <v>100000</v>
      </c>
      <c r="O108" s="21">
        <f>O109+O110+O111+O112</f>
        <v>100000</v>
      </c>
      <c r="P108" s="21">
        <f t="shared" si="10"/>
        <v>5100000</v>
      </c>
    </row>
    <row r="109" spans="1:16" s="13" customFormat="1" ht="270.75" customHeight="1">
      <c r="A109" s="24" t="s">
        <v>185</v>
      </c>
      <c r="B109" s="25" t="s">
        <v>187</v>
      </c>
      <c r="C109" s="26" t="s">
        <v>186</v>
      </c>
      <c r="D109" s="85" t="s">
        <v>480</v>
      </c>
      <c r="E109" s="63">
        <f aca="true" t="shared" si="11" ref="E109:E134">F109+I109</f>
        <v>0</v>
      </c>
      <c r="F109" s="28">
        <v>0</v>
      </c>
      <c r="G109" s="28">
        <v>0</v>
      </c>
      <c r="H109" s="28">
        <v>0</v>
      </c>
      <c r="I109" s="28">
        <v>0</v>
      </c>
      <c r="J109" s="63">
        <f aca="true" t="shared" si="12" ref="J109:J134">K109+N109</f>
        <v>100000</v>
      </c>
      <c r="K109" s="28">
        <v>0</v>
      </c>
      <c r="L109" s="28">
        <v>0</v>
      </c>
      <c r="M109" s="28">
        <v>0</v>
      </c>
      <c r="N109" s="28">
        <v>100000</v>
      </c>
      <c r="O109" s="28">
        <v>100000</v>
      </c>
      <c r="P109" s="27">
        <f t="shared" si="10"/>
        <v>100000</v>
      </c>
    </row>
    <row r="110" spans="1:16" s="13" customFormat="1" ht="48" customHeight="1">
      <c r="A110" s="24" t="s">
        <v>188</v>
      </c>
      <c r="B110" s="25" t="s">
        <v>190</v>
      </c>
      <c r="C110" s="26" t="s">
        <v>189</v>
      </c>
      <c r="D110" s="79" t="s">
        <v>191</v>
      </c>
      <c r="E110" s="63">
        <f t="shared" si="11"/>
        <v>1000000</v>
      </c>
      <c r="F110" s="28">
        <f>11000000-10000000</f>
        <v>1000000</v>
      </c>
      <c r="G110" s="28">
        <v>0</v>
      </c>
      <c r="H110" s="28">
        <v>0</v>
      </c>
      <c r="I110" s="28">
        <v>0</v>
      </c>
      <c r="J110" s="63">
        <f t="shared" si="12"/>
        <v>0</v>
      </c>
      <c r="K110" s="28">
        <v>0</v>
      </c>
      <c r="L110" s="28">
        <v>0</v>
      </c>
      <c r="M110" s="28">
        <v>0</v>
      </c>
      <c r="N110" s="28">
        <v>0</v>
      </c>
      <c r="O110" s="28">
        <v>0</v>
      </c>
      <c r="P110" s="27">
        <f t="shared" si="10"/>
        <v>1000000</v>
      </c>
    </row>
    <row r="111" spans="1:16" s="13" customFormat="1" ht="45">
      <c r="A111" s="24" t="s">
        <v>192</v>
      </c>
      <c r="B111" s="25" t="s">
        <v>193</v>
      </c>
      <c r="C111" s="26" t="s">
        <v>189</v>
      </c>
      <c r="D111" s="79" t="s">
        <v>194</v>
      </c>
      <c r="E111" s="63">
        <f t="shared" si="11"/>
        <v>1000000</v>
      </c>
      <c r="F111" s="28">
        <v>1000000</v>
      </c>
      <c r="G111" s="28">
        <v>0</v>
      </c>
      <c r="H111" s="28">
        <v>0</v>
      </c>
      <c r="I111" s="28">
        <v>0</v>
      </c>
      <c r="J111" s="63">
        <f t="shared" si="12"/>
        <v>0</v>
      </c>
      <c r="K111" s="28">
        <v>0</v>
      </c>
      <c r="L111" s="28">
        <v>0</v>
      </c>
      <c r="M111" s="28">
        <v>0</v>
      </c>
      <c r="N111" s="28">
        <v>0</v>
      </c>
      <c r="O111" s="28">
        <v>0</v>
      </c>
      <c r="P111" s="27">
        <f t="shared" si="10"/>
        <v>1000000</v>
      </c>
    </row>
    <row r="112" spans="1:16" s="13" customFormat="1" ht="45">
      <c r="A112" s="24" t="s">
        <v>195</v>
      </c>
      <c r="B112" s="25" t="s">
        <v>196</v>
      </c>
      <c r="C112" s="26" t="s">
        <v>189</v>
      </c>
      <c r="D112" s="79" t="s">
        <v>197</v>
      </c>
      <c r="E112" s="63">
        <f t="shared" si="11"/>
        <v>3000000</v>
      </c>
      <c r="F112" s="28">
        <v>3000000</v>
      </c>
      <c r="G112" s="28">
        <v>0</v>
      </c>
      <c r="H112" s="28">
        <v>0</v>
      </c>
      <c r="I112" s="28">
        <v>0</v>
      </c>
      <c r="J112" s="63">
        <f t="shared" si="12"/>
        <v>0</v>
      </c>
      <c r="K112" s="28">
        <v>0</v>
      </c>
      <c r="L112" s="28">
        <v>0</v>
      </c>
      <c r="M112" s="28">
        <v>0</v>
      </c>
      <c r="N112" s="28">
        <v>0</v>
      </c>
      <c r="O112" s="28">
        <v>0</v>
      </c>
      <c r="P112" s="27">
        <f t="shared" si="10"/>
        <v>3000000</v>
      </c>
    </row>
    <row r="113" spans="1:16" s="43" customFormat="1" ht="32.25" customHeight="1">
      <c r="A113" s="18" t="s">
        <v>198</v>
      </c>
      <c r="B113" s="19"/>
      <c r="C113" s="20"/>
      <c r="D113" s="78" t="s">
        <v>199</v>
      </c>
      <c r="E113" s="61">
        <f t="shared" si="11"/>
        <v>2099300</v>
      </c>
      <c r="F113" s="21">
        <f>F114+F115+F116</f>
        <v>2099300</v>
      </c>
      <c r="G113" s="21">
        <f>G114+G115+G116</f>
        <v>1480400</v>
      </c>
      <c r="H113" s="21">
        <f>H114+H115+H116</f>
        <v>73600</v>
      </c>
      <c r="I113" s="21">
        <f>I114+I115+I116</f>
        <v>0</v>
      </c>
      <c r="J113" s="61">
        <f t="shared" si="12"/>
        <v>0</v>
      </c>
      <c r="K113" s="21">
        <f>K114+K115+K116</f>
        <v>0</v>
      </c>
      <c r="L113" s="21">
        <f>L114+L115+L116</f>
        <v>0</v>
      </c>
      <c r="M113" s="21">
        <f>M114+M115+M116</f>
        <v>0</v>
      </c>
      <c r="N113" s="21">
        <f>N114+N115+N116</f>
        <v>0</v>
      </c>
      <c r="O113" s="21">
        <f>O114+O115+O116</f>
        <v>0</v>
      </c>
      <c r="P113" s="21">
        <f t="shared" si="10"/>
        <v>2099300</v>
      </c>
    </row>
    <row r="114" spans="1:16" s="13" customFormat="1" ht="30">
      <c r="A114" s="24" t="s">
        <v>200</v>
      </c>
      <c r="B114" s="25" t="s">
        <v>201</v>
      </c>
      <c r="C114" s="26" t="s">
        <v>57</v>
      </c>
      <c r="D114" s="79" t="s">
        <v>202</v>
      </c>
      <c r="E114" s="63">
        <f t="shared" si="11"/>
        <v>1921800</v>
      </c>
      <c r="F114" s="28">
        <v>1921800</v>
      </c>
      <c r="G114" s="28">
        <v>1480400</v>
      </c>
      <c r="H114" s="28">
        <v>73600</v>
      </c>
      <c r="I114" s="28">
        <v>0</v>
      </c>
      <c r="J114" s="63">
        <f t="shared" si="12"/>
        <v>0</v>
      </c>
      <c r="K114" s="28">
        <v>0</v>
      </c>
      <c r="L114" s="28">
        <v>0</v>
      </c>
      <c r="M114" s="28">
        <v>0</v>
      </c>
      <c r="N114" s="28">
        <v>0</v>
      </c>
      <c r="O114" s="28">
        <v>0</v>
      </c>
      <c r="P114" s="27">
        <f t="shared" si="10"/>
        <v>1921800</v>
      </c>
    </row>
    <row r="115" spans="1:16" s="13" customFormat="1" ht="30">
      <c r="A115" s="24" t="s">
        <v>203</v>
      </c>
      <c r="B115" s="25" t="s">
        <v>204</v>
      </c>
      <c r="C115" s="26" t="s">
        <v>57</v>
      </c>
      <c r="D115" s="79" t="s">
        <v>205</v>
      </c>
      <c r="E115" s="63">
        <f t="shared" si="11"/>
        <v>16500</v>
      </c>
      <c r="F115" s="28">
        <v>16500</v>
      </c>
      <c r="G115" s="28">
        <v>0</v>
      </c>
      <c r="H115" s="28">
        <v>0</v>
      </c>
      <c r="I115" s="28">
        <v>0</v>
      </c>
      <c r="J115" s="63">
        <f t="shared" si="12"/>
        <v>0</v>
      </c>
      <c r="K115" s="28">
        <v>0</v>
      </c>
      <c r="L115" s="28">
        <v>0</v>
      </c>
      <c r="M115" s="28">
        <v>0</v>
      </c>
      <c r="N115" s="28">
        <v>0</v>
      </c>
      <c r="O115" s="28">
        <v>0</v>
      </c>
      <c r="P115" s="27">
        <f t="shared" si="10"/>
        <v>16500</v>
      </c>
    </row>
    <row r="116" spans="1:16" s="13" customFormat="1" ht="25.5" customHeight="1">
      <c r="A116" s="24" t="s">
        <v>206</v>
      </c>
      <c r="B116" s="25" t="s">
        <v>207</v>
      </c>
      <c r="C116" s="26" t="s">
        <v>57</v>
      </c>
      <c r="D116" s="79" t="s">
        <v>208</v>
      </c>
      <c r="E116" s="63">
        <f t="shared" si="11"/>
        <v>161000</v>
      </c>
      <c r="F116" s="28">
        <v>161000</v>
      </c>
      <c r="G116" s="28">
        <v>0</v>
      </c>
      <c r="H116" s="28">
        <v>0</v>
      </c>
      <c r="I116" s="28">
        <v>0</v>
      </c>
      <c r="J116" s="63">
        <f t="shared" si="12"/>
        <v>0</v>
      </c>
      <c r="K116" s="28">
        <v>0</v>
      </c>
      <c r="L116" s="28">
        <v>0</v>
      </c>
      <c r="M116" s="28">
        <v>0</v>
      </c>
      <c r="N116" s="28">
        <v>0</v>
      </c>
      <c r="O116" s="28">
        <v>0</v>
      </c>
      <c r="P116" s="27">
        <f t="shared" si="10"/>
        <v>161000</v>
      </c>
    </row>
    <row r="117" spans="1:16" s="13" customFormat="1" ht="85.5">
      <c r="A117" s="5" t="s">
        <v>209</v>
      </c>
      <c r="B117" s="7" t="s">
        <v>81</v>
      </c>
      <c r="C117" s="6" t="s">
        <v>57</v>
      </c>
      <c r="D117" s="77" t="s">
        <v>82</v>
      </c>
      <c r="E117" s="62">
        <f t="shared" si="11"/>
        <v>1000000</v>
      </c>
      <c r="F117" s="23">
        <v>1000000</v>
      </c>
      <c r="G117" s="23">
        <v>0</v>
      </c>
      <c r="H117" s="23">
        <v>0</v>
      </c>
      <c r="I117" s="23">
        <v>0</v>
      </c>
      <c r="J117" s="62">
        <f t="shared" si="12"/>
        <v>0</v>
      </c>
      <c r="K117" s="23">
        <v>0</v>
      </c>
      <c r="L117" s="23">
        <v>0</v>
      </c>
      <c r="M117" s="23">
        <v>0</v>
      </c>
      <c r="N117" s="23">
        <v>0</v>
      </c>
      <c r="O117" s="23">
        <v>0</v>
      </c>
      <c r="P117" s="22">
        <f t="shared" si="10"/>
        <v>1000000</v>
      </c>
    </row>
    <row r="118" spans="1:16" s="13" customFormat="1" ht="99.75">
      <c r="A118" s="5">
        <v>1413190</v>
      </c>
      <c r="B118" s="32" t="s">
        <v>267</v>
      </c>
      <c r="C118" s="7">
        <v>1060</v>
      </c>
      <c r="D118" s="77" t="s">
        <v>268</v>
      </c>
      <c r="E118" s="62">
        <f t="shared" si="11"/>
        <v>25000</v>
      </c>
      <c r="F118" s="23">
        <v>25000</v>
      </c>
      <c r="G118" s="23"/>
      <c r="H118" s="23"/>
      <c r="I118" s="23"/>
      <c r="J118" s="62">
        <f t="shared" si="12"/>
        <v>0</v>
      </c>
      <c r="K118" s="23"/>
      <c r="L118" s="23"/>
      <c r="M118" s="23"/>
      <c r="N118" s="23"/>
      <c r="O118" s="23"/>
      <c r="P118" s="22">
        <f t="shared" si="10"/>
        <v>25000</v>
      </c>
    </row>
    <row r="119" spans="1:16" s="43" customFormat="1" ht="28.5">
      <c r="A119" s="18" t="s">
        <v>210</v>
      </c>
      <c r="B119" s="19"/>
      <c r="C119" s="20"/>
      <c r="D119" s="78" t="s">
        <v>211</v>
      </c>
      <c r="E119" s="61">
        <f t="shared" si="11"/>
        <v>380000</v>
      </c>
      <c r="F119" s="21">
        <f>F120</f>
        <v>380000</v>
      </c>
      <c r="G119" s="21">
        <f>G120</f>
        <v>0</v>
      </c>
      <c r="H119" s="21">
        <f>H120</f>
        <v>0</v>
      </c>
      <c r="I119" s="21">
        <f>I120</f>
        <v>0</v>
      </c>
      <c r="J119" s="61">
        <f t="shared" si="12"/>
        <v>0</v>
      </c>
      <c r="K119" s="21">
        <f>K120</f>
        <v>0</v>
      </c>
      <c r="L119" s="21">
        <f>L120</f>
        <v>0</v>
      </c>
      <c r="M119" s="21">
        <f>M120</f>
        <v>0</v>
      </c>
      <c r="N119" s="21">
        <f>N120</f>
        <v>0</v>
      </c>
      <c r="O119" s="21">
        <f>O120</f>
        <v>0</v>
      </c>
      <c r="P119" s="21">
        <f t="shared" si="10"/>
        <v>380000</v>
      </c>
    </row>
    <row r="120" spans="1:16" s="13" customFormat="1" ht="60">
      <c r="A120" s="24" t="s">
        <v>212</v>
      </c>
      <c r="B120" s="25" t="s">
        <v>213</v>
      </c>
      <c r="C120" s="26" t="s">
        <v>186</v>
      </c>
      <c r="D120" s="79" t="s">
        <v>214</v>
      </c>
      <c r="E120" s="62">
        <f t="shared" si="11"/>
        <v>380000</v>
      </c>
      <c r="F120" s="28">
        <v>380000</v>
      </c>
      <c r="G120" s="28">
        <v>0</v>
      </c>
      <c r="H120" s="28">
        <v>0</v>
      </c>
      <c r="I120" s="28">
        <v>0</v>
      </c>
      <c r="J120" s="62">
        <f t="shared" si="12"/>
        <v>0</v>
      </c>
      <c r="K120" s="28">
        <v>0</v>
      </c>
      <c r="L120" s="28">
        <v>0</v>
      </c>
      <c r="M120" s="28">
        <v>0</v>
      </c>
      <c r="N120" s="28">
        <v>0</v>
      </c>
      <c r="O120" s="28">
        <v>0</v>
      </c>
      <c r="P120" s="27">
        <f t="shared" si="10"/>
        <v>380000</v>
      </c>
    </row>
    <row r="121" spans="1:16" s="13" customFormat="1" ht="15">
      <c r="A121" s="5" t="s">
        <v>215</v>
      </c>
      <c r="B121" s="7" t="s">
        <v>216</v>
      </c>
      <c r="C121" s="6" t="s">
        <v>61</v>
      </c>
      <c r="D121" s="77" t="s">
        <v>217</v>
      </c>
      <c r="E121" s="62">
        <f t="shared" si="11"/>
        <v>1935900</v>
      </c>
      <c r="F121" s="23">
        <v>1935900</v>
      </c>
      <c r="G121" s="23">
        <v>1161900</v>
      </c>
      <c r="H121" s="23">
        <v>297000</v>
      </c>
      <c r="I121" s="23">
        <v>0</v>
      </c>
      <c r="J121" s="62">
        <f t="shared" si="12"/>
        <v>560000</v>
      </c>
      <c r="K121" s="23">
        <v>0</v>
      </c>
      <c r="L121" s="23">
        <v>0</v>
      </c>
      <c r="M121" s="23">
        <v>0</v>
      </c>
      <c r="N121" s="23">
        <v>560000</v>
      </c>
      <c r="O121" s="23">
        <v>560000</v>
      </c>
      <c r="P121" s="22">
        <f t="shared" si="10"/>
        <v>2495900</v>
      </c>
    </row>
    <row r="122" spans="1:16" s="13" customFormat="1" ht="28.5">
      <c r="A122" s="5" t="s">
        <v>218</v>
      </c>
      <c r="B122" s="7" t="s">
        <v>219</v>
      </c>
      <c r="C122" s="6" t="s">
        <v>61</v>
      </c>
      <c r="D122" s="77" t="s">
        <v>220</v>
      </c>
      <c r="E122" s="62">
        <f t="shared" si="11"/>
        <v>6536600</v>
      </c>
      <c r="F122" s="23">
        <f>6142700+47000+126500+157900+8000+8000+33500-25000+38000</f>
        <v>6536600</v>
      </c>
      <c r="G122" s="23">
        <v>0</v>
      </c>
      <c r="H122" s="23">
        <v>0</v>
      </c>
      <c r="I122" s="23">
        <v>0</v>
      </c>
      <c r="J122" s="62">
        <f t="shared" si="12"/>
        <v>0</v>
      </c>
      <c r="K122" s="23">
        <v>0</v>
      </c>
      <c r="L122" s="23">
        <v>0</v>
      </c>
      <c r="M122" s="23">
        <v>0</v>
      </c>
      <c r="N122" s="23">
        <v>0</v>
      </c>
      <c r="O122" s="23">
        <v>0</v>
      </c>
      <c r="P122" s="22">
        <f>E122+J122</f>
        <v>6536600</v>
      </c>
    </row>
    <row r="123" spans="1:16" s="13" customFormat="1" ht="43.5" customHeight="1">
      <c r="A123" s="5"/>
      <c r="B123" s="7"/>
      <c r="C123" s="6"/>
      <c r="D123" s="102" t="s">
        <v>548</v>
      </c>
      <c r="E123" s="62">
        <f>F123</f>
        <v>101000</v>
      </c>
      <c r="F123" s="28">
        <f>47000+8000+8000+38000</f>
        <v>101000</v>
      </c>
      <c r="G123" s="23"/>
      <c r="H123" s="23"/>
      <c r="I123" s="23"/>
      <c r="J123" s="62"/>
      <c r="K123" s="23"/>
      <c r="L123" s="23"/>
      <c r="M123" s="23"/>
      <c r="N123" s="23"/>
      <c r="O123" s="23"/>
      <c r="P123" s="22">
        <f>E123+J123</f>
        <v>101000</v>
      </c>
    </row>
    <row r="124" spans="1:16" s="13" customFormat="1" ht="28.5">
      <c r="A124" s="5" t="s">
        <v>221</v>
      </c>
      <c r="B124" s="7" t="s">
        <v>222</v>
      </c>
      <c r="C124" s="6" t="s">
        <v>147</v>
      </c>
      <c r="D124" s="77" t="s">
        <v>223</v>
      </c>
      <c r="E124" s="62">
        <f t="shared" si="11"/>
        <v>0</v>
      </c>
      <c r="F124" s="23">
        <v>0</v>
      </c>
      <c r="G124" s="23">
        <v>0</v>
      </c>
      <c r="H124" s="23">
        <v>0</v>
      </c>
      <c r="I124" s="23">
        <v>0</v>
      </c>
      <c r="J124" s="62">
        <f t="shared" si="12"/>
        <v>6600000</v>
      </c>
      <c r="K124" s="23">
        <v>0</v>
      </c>
      <c r="L124" s="23">
        <v>0</v>
      </c>
      <c r="M124" s="23">
        <v>0</v>
      </c>
      <c r="N124" s="23">
        <v>6600000</v>
      </c>
      <c r="O124" s="23">
        <v>6600000</v>
      </c>
      <c r="P124" s="22">
        <f>E124+J124</f>
        <v>6600000</v>
      </c>
    </row>
    <row r="125" spans="1:16" s="43" customFormat="1" ht="15">
      <c r="A125" s="19" t="s">
        <v>527</v>
      </c>
      <c r="B125" s="19" t="s">
        <v>32</v>
      </c>
      <c r="C125" s="19" t="s">
        <v>31</v>
      </c>
      <c r="D125" s="80" t="s">
        <v>523</v>
      </c>
      <c r="E125" s="61">
        <f t="shared" si="11"/>
        <v>11367</v>
      </c>
      <c r="F125" s="21">
        <f aca="true" t="shared" si="13" ref="F125:O125">SUM(F126)</f>
        <v>11367</v>
      </c>
      <c r="G125" s="21">
        <f t="shared" si="13"/>
        <v>0</v>
      </c>
      <c r="H125" s="21">
        <f t="shared" si="13"/>
        <v>0</v>
      </c>
      <c r="I125" s="21">
        <f t="shared" si="13"/>
        <v>0</v>
      </c>
      <c r="J125" s="61">
        <f t="shared" si="12"/>
        <v>0</v>
      </c>
      <c r="K125" s="21">
        <f t="shared" si="13"/>
        <v>0</v>
      </c>
      <c r="L125" s="21">
        <f t="shared" si="13"/>
        <v>0</v>
      </c>
      <c r="M125" s="21">
        <f t="shared" si="13"/>
        <v>0</v>
      </c>
      <c r="N125" s="21">
        <f t="shared" si="13"/>
        <v>0</v>
      </c>
      <c r="O125" s="21">
        <f t="shared" si="13"/>
        <v>0</v>
      </c>
      <c r="P125" s="21">
        <f>E125+J125</f>
        <v>11367</v>
      </c>
    </row>
    <row r="126" spans="1:16" s="13" customFormat="1" ht="38.25" customHeight="1">
      <c r="A126" s="24" t="s">
        <v>504</v>
      </c>
      <c r="B126" s="25" t="s">
        <v>501</v>
      </c>
      <c r="C126" s="26" t="s">
        <v>31</v>
      </c>
      <c r="D126" s="81" t="s">
        <v>506</v>
      </c>
      <c r="E126" s="62">
        <f t="shared" si="11"/>
        <v>11367</v>
      </c>
      <c r="F126" s="28">
        <v>11367</v>
      </c>
      <c r="G126" s="28">
        <v>0</v>
      </c>
      <c r="H126" s="28">
        <v>0</v>
      </c>
      <c r="I126" s="28">
        <v>0</v>
      </c>
      <c r="J126" s="62">
        <f t="shared" si="12"/>
        <v>0</v>
      </c>
      <c r="K126" s="28">
        <v>0</v>
      </c>
      <c r="L126" s="28">
        <v>0</v>
      </c>
      <c r="M126" s="28">
        <v>0</v>
      </c>
      <c r="N126" s="28">
        <v>0</v>
      </c>
      <c r="O126" s="28">
        <v>0</v>
      </c>
      <c r="P126" s="27">
        <f t="shared" si="10"/>
        <v>11367</v>
      </c>
    </row>
    <row r="127" spans="1:16" s="104" customFormat="1" ht="39" customHeight="1">
      <c r="A127" s="14" t="s">
        <v>224</v>
      </c>
      <c r="B127" s="15"/>
      <c r="C127" s="16"/>
      <c r="D127" s="83" t="s">
        <v>225</v>
      </c>
      <c r="E127" s="60">
        <f t="shared" si="11"/>
        <v>598922983</v>
      </c>
      <c r="F127" s="17">
        <f>F128+F183+F231</f>
        <v>598922983</v>
      </c>
      <c r="G127" s="17">
        <f>G128+G183+G231</f>
        <v>28907492</v>
      </c>
      <c r="H127" s="17">
        <f>H128+H183+H231</f>
        <v>1593927</v>
      </c>
      <c r="I127" s="17">
        <f>I128+I183+I231</f>
        <v>0</v>
      </c>
      <c r="J127" s="60">
        <f t="shared" si="12"/>
        <v>289660</v>
      </c>
      <c r="K127" s="17">
        <f>K128+K183+K231</f>
        <v>189660</v>
      </c>
      <c r="L127" s="17">
        <f>L128+L183+L231</f>
        <v>137800</v>
      </c>
      <c r="M127" s="17">
        <f>M128+M183+M231</f>
        <v>0</v>
      </c>
      <c r="N127" s="17">
        <f>N128+N183+N231</f>
        <v>100000</v>
      </c>
      <c r="O127" s="17">
        <f>O128+O183+O231</f>
        <v>100000</v>
      </c>
      <c r="P127" s="17">
        <f t="shared" si="10"/>
        <v>599212643</v>
      </c>
    </row>
    <row r="128" spans="1:16" s="106" customFormat="1" ht="48" customHeight="1">
      <c r="A128" s="29" t="s">
        <v>436</v>
      </c>
      <c r="B128" s="30"/>
      <c r="C128" s="31"/>
      <c r="D128" s="82" t="s">
        <v>435</v>
      </c>
      <c r="E128" s="62">
        <f t="shared" si="11"/>
        <v>215362281</v>
      </c>
      <c r="F128" s="22">
        <f>F129+F130+F132+F146+F153+F172+F174+F176+F178+F179+F181+F182</f>
        <v>215362281</v>
      </c>
      <c r="G128" s="22">
        <f>G129+G130+G132+G146+G153+G172+G174+G176+G178+G179+G181+G182</f>
        <v>9492295</v>
      </c>
      <c r="H128" s="22">
        <f>H129+H130+H132+H146+H153+H172+H174+H176+H178+H179+H181+H182</f>
        <v>586060</v>
      </c>
      <c r="I128" s="22">
        <f>I129+I130+I132+I146+I153+I172+I174+I176+I178+I179+I181+I182</f>
        <v>0</v>
      </c>
      <c r="J128" s="62">
        <f t="shared" si="12"/>
        <v>161560</v>
      </c>
      <c r="K128" s="22">
        <f>K129+K130+K132+K146+K153+K172+K174+K176+K178+K179+K181+K182</f>
        <v>61560</v>
      </c>
      <c r="L128" s="22">
        <f>L129+L130+L132+L146+L153+L172+L174+L176+L178+L179+L181+L182</f>
        <v>48000</v>
      </c>
      <c r="M128" s="22">
        <f>M129+M130+M132+M146+M153+M172+M174+M176+M178+M179+M181+M182</f>
        <v>0</v>
      </c>
      <c r="N128" s="22">
        <f>N129+N130+N132+N146+N153+N172+N174+N176+N178+N179+N181+N182</f>
        <v>100000</v>
      </c>
      <c r="O128" s="22">
        <f>O129+O130+O132+O146+O153+O172+O174+O176+O178+O179+O181+O182</f>
        <v>100000</v>
      </c>
      <c r="P128" s="22">
        <f t="shared" si="10"/>
        <v>215523841</v>
      </c>
    </row>
    <row r="129" spans="1:16" s="13" customFormat="1" ht="42.75">
      <c r="A129" s="5" t="s">
        <v>437</v>
      </c>
      <c r="B129" s="32" t="s">
        <v>35</v>
      </c>
      <c r="C129" s="32" t="s">
        <v>20</v>
      </c>
      <c r="D129" s="77" t="s">
        <v>558</v>
      </c>
      <c r="E129" s="62">
        <f t="shared" si="11"/>
        <v>7192700</v>
      </c>
      <c r="F129" s="23">
        <v>7192700</v>
      </c>
      <c r="G129" s="23">
        <v>5589295</v>
      </c>
      <c r="H129" s="23">
        <v>254160</v>
      </c>
      <c r="I129" s="23">
        <v>0</v>
      </c>
      <c r="J129" s="62">
        <f t="shared" si="12"/>
        <v>0</v>
      </c>
      <c r="K129" s="23">
        <v>0</v>
      </c>
      <c r="L129" s="23">
        <v>0</v>
      </c>
      <c r="M129" s="23">
        <v>0</v>
      </c>
      <c r="N129" s="23">
        <v>0</v>
      </c>
      <c r="O129" s="23">
        <v>0</v>
      </c>
      <c r="P129" s="22">
        <f t="shared" si="10"/>
        <v>7192700</v>
      </c>
    </row>
    <row r="130" spans="1:16" s="13" customFormat="1" ht="85.5">
      <c r="A130" s="5" t="s">
        <v>439</v>
      </c>
      <c r="B130" s="7" t="s">
        <v>226</v>
      </c>
      <c r="C130" s="6" t="s">
        <v>48</v>
      </c>
      <c r="D130" s="77" t="s">
        <v>478</v>
      </c>
      <c r="E130" s="62">
        <f t="shared" si="11"/>
        <v>4327356</v>
      </c>
      <c r="F130" s="23">
        <v>4327356</v>
      </c>
      <c r="G130" s="23">
        <v>0</v>
      </c>
      <c r="H130" s="23">
        <v>0</v>
      </c>
      <c r="I130" s="23">
        <v>0</v>
      </c>
      <c r="J130" s="62">
        <f t="shared" si="12"/>
        <v>0</v>
      </c>
      <c r="K130" s="23">
        <v>0</v>
      </c>
      <c r="L130" s="23">
        <v>0</v>
      </c>
      <c r="M130" s="23">
        <v>0</v>
      </c>
      <c r="N130" s="23">
        <v>0</v>
      </c>
      <c r="O130" s="23">
        <v>0</v>
      </c>
      <c r="P130" s="22">
        <f t="shared" si="10"/>
        <v>4327356</v>
      </c>
    </row>
    <row r="131" spans="1:16" s="13" customFormat="1" ht="208.5" customHeight="1">
      <c r="A131" s="24"/>
      <c r="B131" s="25"/>
      <c r="C131" s="26"/>
      <c r="D131" s="86" t="s">
        <v>515</v>
      </c>
      <c r="E131" s="62">
        <f t="shared" si="11"/>
        <v>4327356</v>
      </c>
      <c r="F131" s="28">
        <f>F130</f>
        <v>4327356</v>
      </c>
      <c r="G131" s="28"/>
      <c r="H131" s="28"/>
      <c r="I131" s="28"/>
      <c r="J131" s="62">
        <f t="shared" si="12"/>
        <v>0</v>
      </c>
      <c r="K131" s="28"/>
      <c r="L131" s="28"/>
      <c r="M131" s="28"/>
      <c r="N131" s="28"/>
      <c r="O131" s="28"/>
      <c r="P131" s="27">
        <f t="shared" si="10"/>
        <v>4327356</v>
      </c>
    </row>
    <row r="132" spans="1:16" s="13" customFormat="1" ht="99" customHeight="1">
      <c r="A132" s="18" t="s">
        <v>438</v>
      </c>
      <c r="B132" s="19"/>
      <c r="C132" s="20"/>
      <c r="D132" s="87" t="s">
        <v>485</v>
      </c>
      <c r="E132" s="61">
        <f t="shared" si="11"/>
        <v>101359185</v>
      </c>
      <c r="F132" s="21">
        <f>F133+F135+F138+F140+F142+F144</f>
        <v>101359185</v>
      </c>
      <c r="G132" s="21">
        <f>G133+G135+G138+G140+G142+G144</f>
        <v>0</v>
      </c>
      <c r="H132" s="21">
        <f>H133+H135+H138+H140+H142+H144</f>
        <v>0</v>
      </c>
      <c r="I132" s="21">
        <f>I133+I135+I138+I140+I142+I144</f>
        <v>0</v>
      </c>
      <c r="J132" s="61">
        <f t="shared" si="12"/>
        <v>0</v>
      </c>
      <c r="K132" s="21">
        <f>K133+K135+K138+K140+K142+K144</f>
        <v>0</v>
      </c>
      <c r="L132" s="21">
        <f>L133+L135+L138+L140+L142+L144</f>
        <v>0</v>
      </c>
      <c r="M132" s="21">
        <f>M133+M135+M138+M140+M142+M144</f>
        <v>0</v>
      </c>
      <c r="N132" s="21">
        <f>N133+N135+N138+N140+N142+N144</f>
        <v>0</v>
      </c>
      <c r="O132" s="21">
        <f>O133+O135+O138+O140+O142+O144</f>
        <v>0</v>
      </c>
      <c r="P132" s="21">
        <f t="shared" si="10"/>
        <v>101359185</v>
      </c>
    </row>
    <row r="133" spans="1:16" s="13" customFormat="1" ht="270">
      <c r="A133" s="24" t="s">
        <v>440</v>
      </c>
      <c r="B133" s="25" t="s">
        <v>227</v>
      </c>
      <c r="C133" s="26" t="s">
        <v>186</v>
      </c>
      <c r="D133" s="13" t="s">
        <v>481</v>
      </c>
      <c r="E133" s="63">
        <f t="shared" si="11"/>
        <v>4883885.57</v>
      </c>
      <c r="F133" s="28">
        <f>16215000+99973.34-11431087.77</f>
        <v>4883885.57</v>
      </c>
      <c r="G133" s="28">
        <v>0</v>
      </c>
      <c r="H133" s="28">
        <v>0</v>
      </c>
      <c r="I133" s="28">
        <v>0</v>
      </c>
      <c r="J133" s="63">
        <f t="shared" si="12"/>
        <v>0</v>
      </c>
      <c r="K133" s="28">
        <v>0</v>
      </c>
      <c r="L133" s="28">
        <v>0</v>
      </c>
      <c r="M133" s="28">
        <v>0</v>
      </c>
      <c r="N133" s="28">
        <v>0</v>
      </c>
      <c r="O133" s="28">
        <v>0</v>
      </c>
      <c r="P133" s="27">
        <f t="shared" si="10"/>
        <v>4883885.57</v>
      </c>
    </row>
    <row r="134" spans="1:16" s="13" customFormat="1" ht="135">
      <c r="A134" s="34"/>
      <c r="B134" s="35"/>
      <c r="C134" s="36"/>
      <c r="D134" s="88" t="s">
        <v>518</v>
      </c>
      <c r="E134" s="63">
        <f t="shared" si="11"/>
        <v>4883885.57</v>
      </c>
      <c r="F134" s="37">
        <f>F133</f>
        <v>4883885.57</v>
      </c>
      <c r="G134" s="37"/>
      <c r="H134" s="37"/>
      <c r="I134" s="37"/>
      <c r="J134" s="63">
        <f t="shared" si="12"/>
        <v>0</v>
      </c>
      <c r="K134" s="37"/>
      <c r="L134" s="37"/>
      <c r="M134" s="37"/>
      <c r="N134" s="37"/>
      <c r="O134" s="37"/>
      <c r="P134" s="27">
        <f t="shared" si="10"/>
        <v>4883885.57</v>
      </c>
    </row>
    <row r="135" spans="1:16" s="13" customFormat="1" ht="345">
      <c r="A135" s="131" t="s">
        <v>441</v>
      </c>
      <c r="B135" s="133" t="s">
        <v>228</v>
      </c>
      <c r="C135" s="124" t="s">
        <v>186</v>
      </c>
      <c r="D135" s="89" t="s">
        <v>482</v>
      </c>
      <c r="E135" s="130">
        <f>F135+I135</f>
        <v>355817.89000000013</v>
      </c>
      <c r="F135" s="140">
        <f>1527500+9162.79-1180844.9</f>
        <v>355817.89000000013</v>
      </c>
      <c r="G135" s="140">
        <v>0</v>
      </c>
      <c r="H135" s="140">
        <v>0</v>
      </c>
      <c r="I135" s="140">
        <v>0</v>
      </c>
      <c r="J135" s="130">
        <f>K135+N135</f>
        <v>0</v>
      </c>
      <c r="K135" s="140">
        <v>0</v>
      </c>
      <c r="L135" s="140">
        <v>0</v>
      </c>
      <c r="M135" s="140">
        <v>0</v>
      </c>
      <c r="N135" s="140">
        <v>0</v>
      </c>
      <c r="O135" s="140">
        <v>0</v>
      </c>
      <c r="P135" s="142">
        <f t="shared" si="10"/>
        <v>355817.89000000013</v>
      </c>
    </row>
    <row r="136" spans="1:16" s="13" customFormat="1" ht="409.5">
      <c r="A136" s="132"/>
      <c r="B136" s="134"/>
      <c r="C136" s="125"/>
      <c r="D136" s="90" t="s">
        <v>483</v>
      </c>
      <c r="E136" s="130"/>
      <c r="F136" s="141"/>
      <c r="G136" s="141"/>
      <c r="H136" s="141"/>
      <c r="I136" s="141"/>
      <c r="J136" s="130"/>
      <c r="K136" s="141"/>
      <c r="L136" s="141"/>
      <c r="M136" s="141"/>
      <c r="N136" s="141"/>
      <c r="O136" s="141"/>
      <c r="P136" s="143"/>
    </row>
    <row r="137" spans="1:16" s="13" customFormat="1" ht="135">
      <c r="A137" s="38"/>
      <c r="B137" s="39"/>
      <c r="C137" s="40"/>
      <c r="D137" s="88" t="s">
        <v>518</v>
      </c>
      <c r="E137" s="63">
        <f>F137+I137</f>
        <v>355817.89000000013</v>
      </c>
      <c r="F137" s="41">
        <f>F135</f>
        <v>355817.89000000013</v>
      </c>
      <c r="G137" s="41"/>
      <c r="H137" s="41"/>
      <c r="I137" s="41"/>
      <c r="J137" s="63">
        <f>K137+N137</f>
        <v>0</v>
      </c>
      <c r="K137" s="41"/>
      <c r="L137" s="41"/>
      <c r="M137" s="41"/>
      <c r="N137" s="41"/>
      <c r="O137" s="41"/>
      <c r="P137" s="42">
        <f>E137+J137</f>
        <v>355817.89000000013</v>
      </c>
    </row>
    <row r="138" spans="1:16" s="13" customFormat="1" ht="122.25" customHeight="1">
      <c r="A138" s="24" t="s">
        <v>442</v>
      </c>
      <c r="B138" s="25" t="s">
        <v>229</v>
      </c>
      <c r="C138" s="26" t="s">
        <v>189</v>
      </c>
      <c r="D138" s="91" t="s">
        <v>230</v>
      </c>
      <c r="E138" s="63">
        <f aca="true" t="shared" si="14" ref="E138:E152">F138+I138</f>
        <v>440784.5399999998</v>
      </c>
      <c r="F138" s="28">
        <f>2010700+12998.4-1582913.86</f>
        <v>440784.5399999998</v>
      </c>
      <c r="G138" s="28">
        <v>0</v>
      </c>
      <c r="H138" s="28">
        <v>0</v>
      </c>
      <c r="I138" s="28">
        <v>0</v>
      </c>
      <c r="J138" s="63">
        <f aca="true" t="shared" si="15" ref="J138:J159">K138+N138</f>
        <v>0</v>
      </c>
      <c r="K138" s="28">
        <v>0</v>
      </c>
      <c r="L138" s="28">
        <v>0</v>
      </c>
      <c r="M138" s="28">
        <v>0</v>
      </c>
      <c r="N138" s="28">
        <v>0</v>
      </c>
      <c r="O138" s="28">
        <v>0</v>
      </c>
      <c r="P138" s="27">
        <f t="shared" si="10"/>
        <v>440784.5399999998</v>
      </c>
    </row>
    <row r="139" spans="1:16" s="13" customFormat="1" ht="135">
      <c r="A139" s="24"/>
      <c r="B139" s="25"/>
      <c r="C139" s="26"/>
      <c r="D139" s="88" t="s">
        <v>518</v>
      </c>
      <c r="E139" s="63">
        <f t="shared" si="14"/>
        <v>440784.5399999998</v>
      </c>
      <c r="F139" s="28">
        <f>F138</f>
        <v>440784.5399999998</v>
      </c>
      <c r="G139" s="28"/>
      <c r="H139" s="28"/>
      <c r="I139" s="28"/>
      <c r="J139" s="63">
        <f t="shared" si="15"/>
        <v>0</v>
      </c>
      <c r="K139" s="28"/>
      <c r="L139" s="28"/>
      <c r="M139" s="28"/>
      <c r="N139" s="28"/>
      <c r="O139" s="28"/>
      <c r="P139" s="27">
        <f t="shared" si="10"/>
        <v>440784.5399999998</v>
      </c>
    </row>
    <row r="140" spans="1:16" s="13" customFormat="1" ht="225.75" customHeight="1">
      <c r="A140" s="24" t="s">
        <v>443</v>
      </c>
      <c r="B140" s="25" t="s">
        <v>231</v>
      </c>
      <c r="C140" s="26" t="s">
        <v>189</v>
      </c>
      <c r="D140" s="92" t="s">
        <v>484</v>
      </c>
      <c r="E140" s="63">
        <f t="shared" si="14"/>
        <v>11531.399999999998</v>
      </c>
      <c r="F140" s="28">
        <f>29200+64.26-17732.86</f>
        <v>11531.399999999998</v>
      </c>
      <c r="G140" s="28">
        <v>0</v>
      </c>
      <c r="H140" s="28">
        <v>0</v>
      </c>
      <c r="I140" s="28">
        <v>0</v>
      </c>
      <c r="J140" s="63">
        <f t="shared" si="15"/>
        <v>0</v>
      </c>
      <c r="K140" s="28">
        <v>0</v>
      </c>
      <c r="L140" s="28">
        <v>0</v>
      </c>
      <c r="M140" s="28">
        <v>0</v>
      </c>
      <c r="N140" s="28">
        <v>0</v>
      </c>
      <c r="O140" s="28">
        <v>0</v>
      </c>
      <c r="P140" s="27">
        <f t="shared" si="10"/>
        <v>11531.399999999998</v>
      </c>
    </row>
    <row r="141" spans="1:16" s="13" customFormat="1" ht="135">
      <c r="A141" s="24"/>
      <c r="B141" s="25"/>
      <c r="C141" s="26"/>
      <c r="D141" s="88" t="s">
        <v>518</v>
      </c>
      <c r="E141" s="63">
        <f t="shared" si="14"/>
        <v>11531.399999999998</v>
      </c>
      <c r="F141" s="28">
        <f>F140</f>
        <v>11531.399999999998</v>
      </c>
      <c r="G141" s="28"/>
      <c r="H141" s="28"/>
      <c r="I141" s="28"/>
      <c r="J141" s="63">
        <f t="shared" si="15"/>
        <v>0</v>
      </c>
      <c r="K141" s="28"/>
      <c r="L141" s="28"/>
      <c r="M141" s="28"/>
      <c r="N141" s="28"/>
      <c r="O141" s="28"/>
      <c r="P141" s="27">
        <f t="shared" si="10"/>
        <v>11531.399999999998</v>
      </c>
    </row>
    <row r="142" spans="1:16" s="13" customFormat="1" ht="30">
      <c r="A142" s="24" t="s">
        <v>444</v>
      </c>
      <c r="B142" s="25" t="s">
        <v>232</v>
      </c>
      <c r="C142" s="26" t="s">
        <v>189</v>
      </c>
      <c r="D142" s="93" t="s">
        <v>233</v>
      </c>
      <c r="E142" s="63">
        <f t="shared" si="14"/>
        <v>427415.1799999997</v>
      </c>
      <c r="F142" s="28">
        <f>2810600+13989.42-2397174.24</f>
        <v>427415.1799999997</v>
      </c>
      <c r="G142" s="28">
        <v>0</v>
      </c>
      <c r="H142" s="28">
        <v>0</v>
      </c>
      <c r="I142" s="28">
        <v>0</v>
      </c>
      <c r="J142" s="63">
        <f t="shared" si="15"/>
        <v>0</v>
      </c>
      <c r="K142" s="28">
        <v>0</v>
      </c>
      <c r="L142" s="28">
        <v>0</v>
      </c>
      <c r="M142" s="28">
        <v>0</v>
      </c>
      <c r="N142" s="28">
        <v>0</v>
      </c>
      <c r="O142" s="28">
        <v>0</v>
      </c>
      <c r="P142" s="27">
        <f t="shared" si="10"/>
        <v>427415.1799999997</v>
      </c>
    </row>
    <row r="143" spans="1:16" s="13" customFormat="1" ht="137.25" customHeight="1">
      <c r="A143" s="24"/>
      <c r="B143" s="25"/>
      <c r="C143" s="26"/>
      <c r="D143" s="13" t="s">
        <v>518</v>
      </c>
      <c r="E143" s="63">
        <f t="shared" si="14"/>
        <v>427415.1799999997</v>
      </c>
      <c r="F143" s="28">
        <f>F142</f>
        <v>427415.1799999997</v>
      </c>
      <c r="G143" s="28"/>
      <c r="H143" s="28"/>
      <c r="I143" s="28"/>
      <c r="J143" s="63">
        <f t="shared" si="15"/>
        <v>0</v>
      </c>
      <c r="K143" s="28"/>
      <c r="L143" s="28"/>
      <c r="M143" s="28"/>
      <c r="N143" s="28"/>
      <c r="O143" s="28"/>
      <c r="P143" s="27">
        <f t="shared" si="10"/>
        <v>427415.1799999997</v>
      </c>
    </row>
    <row r="144" spans="1:16" s="13" customFormat="1" ht="45">
      <c r="A144" s="24" t="s">
        <v>445</v>
      </c>
      <c r="B144" s="25" t="s">
        <v>234</v>
      </c>
      <c r="C144" s="26" t="s">
        <v>226</v>
      </c>
      <c r="D144" s="93" t="s">
        <v>235</v>
      </c>
      <c r="E144" s="63">
        <f t="shared" si="14"/>
        <v>95239750.42</v>
      </c>
      <c r="F144" s="28">
        <f>72107000-136188.21+23268938.63</f>
        <v>95239750.42</v>
      </c>
      <c r="G144" s="28">
        <v>0</v>
      </c>
      <c r="H144" s="28">
        <v>0</v>
      </c>
      <c r="I144" s="28">
        <v>0</v>
      </c>
      <c r="J144" s="63">
        <f t="shared" si="15"/>
        <v>0</v>
      </c>
      <c r="K144" s="28">
        <v>0</v>
      </c>
      <c r="L144" s="28">
        <v>0</v>
      </c>
      <c r="M144" s="28">
        <v>0</v>
      </c>
      <c r="N144" s="28">
        <v>0</v>
      </c>
      <c r="O144" s="28">
        <v>0</v>
      </c>
      <c r="P144" s="27">
        <f t="shared" si="10"/>
        <v>95239750.42</v>
      </c>
    </row>
    <row r="145" spans="1:16" s="13" customFormat="1" ht="145.5" customHeight="1">
      <c r="A145" s="24"/>
      <c r="B145" s="25"/>
      <c r="C145" s="26"/>
      <c r="D145" s="13" t="s">
        <v>518</v>
      </c>
      <c r="E145" s="63">
        <f>F145+I145</f>
        <v>95239750.42</v>
      </c>
      <c r="F145" s="28">
        <f>F144</f>
        <v>95239750.42</v>
      </c>
      <c r="G145" s="28"/>
      <c r="H145" s="28"/>
      <c r="I145" s="28"/>
      <c r="J145" s="63">
        <f>K145+N145</f>
        <v>0</v>
      </c>
      <c r="K145" s="28"/>
      <c r="L145" s="28"/>
      <c r="M145" s="28"/>
      <c r="N145" s="28"/>
      <c r="O145" s="28"/>
      <c r="P145" s="27">
        <f t="shared" si="10"/>
        <v>95239750.42</v>
      </c>
    </row>
    <row r="146" spans="1:16" s="13" customFormat="1" ht="57">
      <c r="A146" s="18" t="s">
        <v>446</v>
      </c>
      <c r="B146" s="19"/>
      <c r="C146" s="20"/>
      <c r="D146" s="94" t="s">
        <v>236</v>
      </c>
      <c r="E146" s="61">
        <f t="shared" si="14"/>
        <v>126740</v>
      </c>
      <c r="F146" s="21">
        <f>F147+F149+F151</f>
        <v>126740</v>
      </c>
      <c r="G146" s="21">
        <f>G147+G149+G151</f>
        <v>0</v>
      </c>
      <c r="H146" s="21">
        <f>H147+H149+H151</f>
        <v>0</v>
      </c>
      <c r="I146" s="21">
        <f>I147+I149+I151</f>
        <v>0</v>
      </c>
      <c r="J146" s="61">
        <f t="shared" si="15"/>
        <v>0</v>
      </c>
      <c r="K146" s="21">
        <f>K147+K149+K151</f>
        <v>0</v>
      </c>
      <c r="L146" s="21">
        <f>L147+L149+L151</f>
        <v>0</v>
      </c>
      <c r="M146" s="21">
        <f>M147+M149+M151</f>
        <v>0</v>
      </c>
      <c r="N146" s="21">
        <f>N147+N149+N151</f>
        <v>0</v>
      </c>
      <c r="O146" s="21">
        <f>O147+O149+O151</f>
        <v>0</v>
      </c>
      <c r="P146" s="21">
        <f t="shared" si="10"/>
        <v>126740</v>
      </c>
    </row>
    <row r="147" spans="1:16" s="13" customFormat="1" ht="225">
      <c r="A147" s="24" t="s">
        <v>447</v>
      </c>
      <c r="B147" s="25" t="s">
        <v>237</v>
      </c>
      <c r="C147" s="26" t="s">
        <v>186</v>
      </c>
      <c r="D147" s="93" t="s">
        <v>487</v>
      </c>
      <c r="E147" s="63">
        <f t="shared" si="14"/>
        <v>34520</v>
      </c>
      <c r="F147" s="28">
        <v>34520</v>
      </c>
      <c r="G147" s="28">
        <v>0</v>
      </c>
      <c r="H147" s="28">
        <v>0</v>
      </c>
      <c r="I147" s="28">
        <v>0</v>
      </c>
      <c r="J147" s="63">
        <f t="shared" si="15"/>
        <v>0</v>
      </c>
      <c r="K147" s="28">
        <v>0</v>
      </c>
      <c r="L147" s="28">
        <v>0</v>
      </c>
      <c r="M147" s="28">
        <v>0</v>
      </c>
      <c r="N147" s="28">
        <v>0</v>
      </c>
      <c r="O147" s="28">
        <v>0</v>
      </c>
      <c r="P147" s="27">
        <f t="shared" si="10"/>
        <v>34520</v>
      </c>
    </row>
    <row r="148" spans="1:16" s="13" customFormat="1" ht="79.5" customHeight="1">
      <c r="A148" s="24"/>
      <c r="B148" s="25"/>
      <c r="C148" s="26"/>
      <c r="D148" s="13" t="s">
        <v>517</v>
      </c>
      <c r="E148" s="63">
        <f t="shared" si="14"/>
        <v>34520</v>
      </c>
      <c r="F148" s="28">
        <f>F147</f>
        <v>34520</v>
      </c>
      <c r="G148" s="28"/>
      <c r="H148" s="28"/>
      <c r="I148" s="28"/>
      <c r="J148" s="63">
        <f t="shared" si="15"/>
        <v>0</v>
      </c>
      <c r="K148" s="28"/>
      <c r="L148" s="28"/>
      <c r="M148" s="28"/>
      <c r="N148" s="28"/>
      <c r="O148" s="28"/>
      <c r="P148" s="27">
        <f t="shared" si="10"/>
        <v>34520</v>
      </c>
    </row>
    <row r="149" spans="1:16" s="13" customFormat="1" ht="45">
      <c r="A149" s="24" t="s">
        <v>448</v>
      </c>
      <c r="B149" s="25" t="s">
        <v>238</v>
      </c>
      <c r="C149" s="26" t="s">
        <v>189</v>
      </c>
      <c r="D149" s="93" t="s">
        <v>239</v>
      </c>
      <c r="E149" s="63">
        <f t="shared" si="14"/>
        <v>11220</v>
      </c>
      <c r="F149" s="28">
        <v>11220</v>
      </c>
      <c r="G149" s="28">
        <v>0</v>
      </c>
      <c r="H149" s="28">
        <v>0</v>
      </c>
      <c r="I149" s="28">
        <v>0</v>
      </c>
      <c r="J149" s="63">
        <f t="shared" si="15"/>
        <v>0</v>
      </c>
      <c r="K149" s="28">
        <v>0</v>
      </c>
      <c r="L149" s="28">
        <v>0</v>
      </c>
      <c r="M149" s="28">
        <v>0</v>
      </c>
      <c r="N149" s="28">
        <v>0</v>
      </c>
      <c r="O149" s="28">
        <v>0</v>
      </c>
      <c r="P149" s="27">
        <f t="shared" si="10"/>
        <v>11220</v>
      </c>
    </row>
    <row r="150" spans="1:16" s="13" customFormat="1" ht="75">
      <c r="A150" s="24"/>
      <c r="B150" s="25"/>
      <c r="C150" s="26"/>
      <c r="D150" s="13" t="s">
        <v>517</v>
      </c>
      <c r="E150" s="63">
        <f>F150+I150</f>
        <v>11220</v>
      </c>
      <c r="F150" s="28">
        <f>F149</f>
        <v>11220</v>
      </c>
      <c r="G150" s="28"/>
      <c r="H150" s="28"/>
      <c r="I150" s="28"/>
      <c r="J150" s="63">
        <f>K150+N150</f>
        <v>0</v>
      </c>
      <c r="K150" s="28"/>
      <c r="L150" s="28"/>
      <c r="M150" s="28"/>
      <c r="N150" s="28"/>
      <c r="O150" s="28"/>
      <c r="P150" s="27">
        <f t="shared" si="10"/>
        <v>11220</v>
      </c>
    </row>
    <row r="151" spans="1:16" s="13" customFormat="1" ht="60">
      <c r="A151" s="24" t="s">
        <v>449</v>
      </c>
      <c r="B151" s="25" t="s">
        <v>240</v>
      </c>
      <c r="C151" s="26" t="s">
        <v>226</v>
      </c>
      <c r="D151" s="93" t="s">
        <v>241</v>
      </c>
      <c r="E151" s="63">
        <f t="shared" si="14"/>
        <v>81000</v>
      </c>
      <c r="F151" s="28">
        <v>81000</v>
      </c>
      <c r="G151" s="28">
        <v>0</v>
      </c>
      <c r="H151" s="28">
        <v>0</v>
      </c>
      <c r="I151" s="28">
        <v>0</v>
      </c>
      <c r="J151" s="63">
        <f t="shared" si="15"/>
        <v>0</v>
      </c>
      <c r="K151" s="28">
        <v>0</v>
      </c>
      <c r="L151" s="28">
        <v>0</v>
      </c>
      <c r="M151" s="28">
        <v>0</v>
      </c>
      <c r="N151" s="28">
        <v>0</v>
      </c>
      <c r="O151" s="28">
        <v>0</v>
      </c>
      <c r="P151" s="27">
        <f t="shared" si="10"/>
        <v>81000</v>
      </c>
    </row>
    <row r="152" spans="1:16" s="13" customFormat="1" ht="75">
      <c r="A152" s="24"/>
      <c r="B152" s="25"/>
      <c r="C152" s="26"/>
      <c r="D152" s="13" t="s">
        <v>517</v>
      </c>
      <c r="E152" s="63">
        <f t="shared" si="14"/>
        <v>81000</v>
      </c>
      <c r="F152" s="28">
        <f>F151</f>
        <v>81000</v>
      </c>
      <c r="G152" s="28"/>
      <c r="H152" s="28"/>
      <c r="I152" s="28"/>
      <c r="J152" s="63">
        <f t="shared" si="15"/>
        <v>0</v>
      </c>
      <c r="K152" s="28"/>
      <c r="L152" s="28"/>
      <c r="M152" s="28"/>
      <c r="N152" s="28"/>
      <c r="O152" s="28"/>
      <c r="P152" s="27">
        <f t="shared" si="10"/>
        <v>81000</v>
      </c>
    </row>
    <row r="153" spans="1:16" s="13" customFormat="1" ht="57">
      <c r="A153" s="18" t="s">
        <v>450</v>
      </c>
      <c r="B153" s="19"/>
      <c r="C153" s="20"/>
      <c r="D153" s="94" t="s">
        <v>242</v>
      </c>
      <c r="E153" s="61">
        <f aca="true" t="shared" si="16" ref="E153:E159">F153+I153</f>
        <v>91193300</v>
      </c>
      <c r="F153" s="21">
        <f>F154+F156+F158+F160+F162+F164+F166+F168+F170</f>
        <v>91193300</v>
      </c>
      <c r="G153" s="21">
        <f>G154+G156+G158+G160+G162+G164+G166+G168+G170</f>
        <v>0</v>
      </c>
      <c r="H153" s="21">
        <f>H154+H156+H158+H160+H162+H164+H166+H168+H170</f>
        <v>0</v>
      </c>
      <c r="I153" s="21">
        <f>I154+I156+I158+I160+I162+I164+I166+I168+I170</f>
        <v>0</v>
      </c>
      <c r="J153" s="61">
        <f t="shared" si="15"/>
        <v>0</v>
      </c>
      <c r="K153" s="21">
        <f>K154+K156+K158+K160+K162+K164+K166+K168+K170</f>
        <v>0</v>
      </c>
      <c r="L153" s="21">
        <f>L154+L156+L158+L160+L162+L164+L166+L168+L170</f>
        <v>0</v>
      </c>
      <c r="M153" s="21">
        <f>M154+M156+M158+M160+M162+M164+M166+M168+M170</f>
        <v>0</v>
      </c>
      <c r="N153" s="21">
        <f>N154+N156+N158+N160+N162+N164+N166+N168+N170</f>
        <v>0</v>
      </c>
      <c r="O153" s="21">
        <f>O154+O156+O158+O160+O162+O164+O166+O168+O170</f>
        <v>0</v>
      </c>
      <c r="P153" s="21">
        <f t="shared" si="10"/>
        <v>91193300</v>
      </c>
    </row>
    <row r="154" spans="1:16" s="13" customFormat="1" ht="30">
      <c r="A154" s="24" t="s">
        <v>451</v>
      </c>
      <c r="B154" s="25" t="s">
        <v>243</v>
      </c>
      <c r="C154" s="26" t="s">
        <v>57</v>
      </c>
      <c r="D154" s="93" t="s">
        <v>244</v>
      </c>
      <c r="E154" s="63">
        <f t="shared" si="16"/>
        <v>830500</v>
      </c>
      <c r="F154" s="28">
        <v>830500</v>
      </c>
      <c r="G154" s="28">
        <v>0</v>
      </c>
      <c r="H154" s="28">
        <v>0</v>
      </c>
      <c r="I154" s="28">
        <v>0</v>
      </c>
      <c r="J154" s="63">
        <f t="shared" si="15"/>
        <v>0</v>
      </c>
      <c r="K154" s="28">
        <v>0</v>
      </c>
      <c r="L154" s="28">
        <v>0</v>
      </c>
      <c r="M154" s="28">
        <v>0</v>
      </c>
      <c r="N154" s="28">
        <v>0</v>
      </c>
      <c r="O154" s="28">
        <v>0</v>
      </c>
      <c r="P154" s="27">
        <f t="shared" si="10"/>
        <v>830500</v>
      </c>
    </row>
    <row r="155" spans="1:16" s="13" customFormat="1" ht="120">
      <c r="A155" s="24"/>
      <c r="B155" s="25"/>
      <c r="C155" s="26"/>
      <c r="D155" s="13" t="s">
        <v>516</v>
      </c>
      <c r="E155" s="63">
        <f t="shared" si="16"/>
        <v>830500</v>
      </c>
      <c r="F155" s="28">
        <f>F154</f>
        <v>830500</v>
      </c>
      <c r="G155" s="28"/>
      <c r="H155" s="28"/>
      <c r="I155" s="28"/>
      <c r="J155" s="63">
        <f t="shared" si="15"/>
        <v>0</v>
      </c>
      <c r="K155" s="28"/>
      <c r="L155" s="28"/>
      <c r="M155" s="28"/>
      <c r="N155" s="28"/>
      <c r="O155" s="28"/>
      <c r="P155" s="27">
        <f t="shared" si="10"/>
        <v>830500</v>
      </c>
    </row>
    <row r="156" spans="1:16" s="13" customFormat="1" ht="30">
      <c r="A156" s="24" t="s">
        <v>452</v>
      </c>
      <c r="B156" s="25" t="s">
        <v>245</v>
      </c>
      <c r="C156" s="26" t="s">
        <v>57</v>
      </c>
      <c r="D156" s="93" t="s">
        <v>552</v>
      </c>
      <c r="E156" s="63">
        <f t="shared" si="16"/>
        <v>301000</v>
      </c>
      <c r="F156" s="28">
        <v>301000</v>
      </c>
      <c r="G156" s="28">
        <v>0</v>
      </c>
      <c r="H156" s="28">
        <v>0</v>
      </c>
      <c r="I156" s="28">
        <v>0</v>
      </c>
      <c r="J156" s="63">
        <f t="shared" si="15"/>
        <v>0</v>
      </c>
      <c r="K156" s="28">
        <v>0</v>
      </c>
      <c r="L156" s="28">
        <v>0</v>
      </c>
      <c r="M156" s="28">
        <v>0</v>
      </c>
      <c r="N156" s="28">
        <v>0</v>
      </c>
      <c r="O156" s="28">
        <v>0</v>
      </c>
      <c r="P156" s="27">
        <f t="shared" si="10"/>
        <v>301000</v>
      </c>
    </row>
    <row r="157" spans="1:16" s="13" customFormat="1" ht="120">
      <c r="A157" s="24"/>
      <c r="B157" s="25"/>
      <c r="C157" s="26"/>
      <c r="D157" s="13" t="s">
        <v>516</v>
      </c>
      <c r="E157" s="63">
        <f t="shared" si="16"/>
        <v>301000</v>
      </c>
      <c r="F157" s="28">
        <f>F156</f>
        <v>301000</v>
      </c>
      <c r="G157" s="28"/>
      <c r="H157" s="28"/>
      <c r="I157" s="28"/>
      <c r="J157" s="63">
        <f t="shared" si="15"/>
        <v>0</v>
      </c>
      <c r="K157" s="28"/>
      <c r="L157" s="28"/>
      <c r="M157" s="28"/>
      <c r="N157" s="28"/>
      <c r="O157" s="28"/>
      <c r="P157" s="27">
        <f t="shared" si="10"/>
        <v>301000</v>
      </c>
    </row>
    <row r="158" spans="1:16" s="13" customFormat="1" ht="21" customHeight="1">
      <c r="A158" s="24" t="s">
        <v>453</v>
      </c>
      <c r="B158" s="25" t="s">
        <v>246</v>
      </c>
      <c r="C158" s="26" t="s">
        <v>57</v>
      </c>
      <c r="D158" s="79" t="s">
        <v>247</v>
      </c>
      <c r="E158" s="63">
        <f t="shared" si="16"/>
        <v>38601500</v>
      </c>
      <c r="F158" s="28">
        <v>38601500</v>
      </c>
      <c r="G158" s="28">
        <v>0</v>
      </c>
      <c r="H158" s="28">
        <v>0</v>
      </c>
      <c r="I158" s="28">
        <v>0</v>
      </c>
      <c r="J158" s="63">
        <f t="shared" si="15"/>
        <v>0</v>
      </c>
      <c r="K158" s="28">
        <v>0</v>
      </c>
      <c r="L158" s="28">
        <v>0</v>
      </c>
      <c r="M158" s="28">
        <v>0</v>
      </c>
      <c r="N158" s="28">
        <v>0</v>
      </c>
      <c r="O158" s="28">
        <v>0</v>
      </c>
      <c r="P158" s="27">
        <f t="shared" si="10"/>
        <v>38601500</v>
      </c>
    </row>
    <row r="159" spans="1:16" s="13" customFormat="1" ht="120">
      <c r="A159" s="24"/>
      <c r="B159" s="25"/>
      <c r="C159" s="26"/>
      <c r="D159" s="13" t="s">
        <v>516</v>
      </c>
      <c r="E159" s="63">
        <f t="shared" si="16"/>
        <v>38601500</v>
      </c>
      <c r="F159" s="28">
        <f>F158</f>
        <v>38601500</v>
      </c>
      <c r="G159" s="28"/>
      <c r="H159" s="28"/>
      <c r="I159" s="28"/>
      <c r="J159" s="63">
        <f t="shared" si="15"/>
        <v>0</v>
      </c>
      <c r="K159" s="28"/>
      <c r="L159" s="28"/>
      <c r="M159" s="28"/>
      <c r="N159" s="28"/>
      <c r="O159" s="28"/>
      <c r="P159" s="27">
        <f t="shared" si="10"/>
        <v>38601500</v>
      </c>
    </row>
    <row r="160" spans="1:16" s="13" customFormat="1" ht="30">
      <c r="A160" s="24" t="s">
        <v>454</v>
      </c>
      <c r="B160" s="25" t="s">
        <v>248</v>
      </c>
      <c r="C160" s="26" t="s">
        <v>57</v>
      </c>
      <c r="D160" s="79" t="s">
        <v>249</v>
      </c>
      <c r="E160" s="63">
        <f>F160+I160</f>
        <v>4350100</v>
      </c>
      <c r="F160" s="28">
        <v>4350100</v>
      </c>
      <c r="G160" s="28">
        <v>0</v>
      </c>
      <c r="H160" s="28">
        <v>0</v>
      </c>
      <c r="I160" s="28">
        <v>0</v>
      </c>
      <c r="J160" s="63">
        <f>K160+N160</f>
        <v>0</v>
      </c>
      <c r="K160" s="28">
        <v>0</v>
      </c>
      <c r="L160" s="28">
        <v>0</v>
      </c>
      <c r="M160" s="28">
        <v>0</v>
      </c>
      <c r="N160" s="28">
        <v>0</v>
      </c>
      <c r="O160" s="28">
        <v>0</v>
      </c>
      <c r="P160" s="27">
        <f t="shared" si="10"/>
        <v>4350100</v>
      </c>
    </row>
    <row r="161" spans="1:16" s="13" customFormat="1" ht="120">
      <c r="A161" s="24"/>
      <c r="B161" s="25"/>
      <c r="C161" s="26"/>
      <c r="D161" s="13" t="s">
        <v>516</v>
      </c>
      <c r="E161" s="63">
        <f>F161</f>
        <v>4350100</v>
      </c>
      <c r="F161" s="28">
        <f>F160</f>
        <v>4350100</v>
      </c>
      <c r="G161" s="28"/>
      <c r="H161" s="28"/>
      <c r="I161" s="28"/>
      <c r="J161" s="63">
        <f>K161</f>
        <v>0</v>
      </c>
      <c r="K161" s="28"/>
      <c r="L161" s="28"/>
      <c r="M161" s="28"/>
      <c r="N161" s="28"/>
      <c r="O161" s="28"/>
      <c r="P161" s="27">
        <f t="shared" si="10"/>
        <v>4350100</v>
      </c>
    </row>
    <row r="162" spans="1:16" s="13" customFormat="1" ht="30">
      <c r="A162" s="24" t="s">
        <v>455</v>
      </c>
      <c r="B162" s="25" t="s">
        <v>250</v>
      </c>
      <c r="C162" s="26" t="s">
        <v>57</v>
      </c>
      <c r="D162" s="79" t="s">
        <v>251</v>
      </c>
      <c r="E162" s="63">
        <f aca="true" t="shared" si="17" ref="E162:E175">F162+I162</f>
        <v>14501760</v>
      </c>
      <c r="F162" s="28">
        <v>14501760</v>
      </c>
      <c r="G162" s="28">
        <v>0</v>
      </c>
      <c r="H162" s="28">
        <v>0</v>
      </c>
      <c r="I162" s="28">
        <v>0</v>
      </c>
      <c r="J162" s="63">
        <f aca="true" t="shared" si="18" ref="J162:J175">K162+N162</f>
        <v>0</v>
      </c>
      <c r="K162" s="28">
        <v>0</v>
      </c>
      <c r="L162" s="28">
        <v>0</v>
      </c>
      <c r="M162" s="28">
        <v>0</v>
      </c>
      <c r="N162" s="28">
        <v>0</v>
      </c>
      <c r="O162" s="28">
        <v>0</v>
      </c>
      <c r="P162" s="27">
        <f t="shared" si="10"/>
        <v>14501760</v>
      </c>
    </row>
    <row r="163" spans="1:16" s="13" customFormat="1" ht="120">
      <c r="A163" s="24"/>
      <c r="B163" s="25"/>
      <c r="C163" s="26"/>
      <c r="D163" s="13" t="s">
        <v>516</v>
      </c>
      <c r="E163" s="63">
        <f t="shared" si="17"/>
        <v>14501760</v>
      </c>
      <c r="F163" s="28">
        <f>F162</f>
        <v>14501760</v>
      </c>
      <c r="G163" s="28"/>
      <c r="H163" s="28"/>
      <c r="I163" s="28"/>
      <c r="J163" s="63">
        <f t="shared" si="18"/>
        <v>0</v>
      </c>
      <c r="K163" s="28"/>
      <c r="L163" s="28"/>
      <c r="M163" s="28"/>
      <c r="N163" s="28"/>
      <c r="O163" s="28"/>
      <c r="P163" s="27">
        <f t="shared" si="10"/>
        <v>14501760</v>
      </c>
    </row>
    <row r="164" spans="1:16" s="13" customFormat="1" ht="30">
      <c r="A164" s="24" t="s">
        <v>456</v>
      </c>
      <c r="B164" s="25" t="s">
        <v>252</v>
      </c>
      <c r="C164" s="26" t="s">
        <v>57</v>
      </c>
      <c r="D164" s="79" t="s">
        <v>253</v>
      </c>
      <c r="E164" s="63">
        <f t="shared" si="17"/>
        <v>403600</v>
      </c>
      <c r="F164" s="28">
        <v>403600</v>
      </c>
      <c r="G164" s="28">
        <v>0</v>
      </c>
      <c r="H164" s="28">
        <v>0</v>
      </c>
      <c r="I164" s="28">
        <v>0</v>
      </c>
      <c r="J164" s="63">
        <f t="shared" si="18"/>
        <v>0</v>
      </c>
      <c r="K164" s="28">
        <v>0</v>
      </c>
      <c r="L164" s="28">
        <v>0</v>
      </c>
      <c r="M164" s="28">
        <v>0</v>
      </c>
      <c r="N164" s="28">
        <v>0</v>
      </c>
      <c r="O164" s="28">
        <v>0</v>
      </c>
      <c r="P164" s="27">
        <f t="shared" si="10"/>
        <v>403600</v>
      </c>
    </row>
    <row r="165" spans="1:16" s="13" customFormat="1" ht="120">
      <c r="A165" s="24"/>
      <c r="B165" s="25"/>
      <c r="C165" s="26"/>
      <c r="D165" s="13" t="s">
        <v>516</v>
      </c>
      <c r="E165" s="63">
        <f t="shared" si="17"/>
        <v>403600</v>
      </c>
      <c r="F165" s="28">
        <f>F164</f>
        <v>403600</v>
      </c>
      <c r="G165" s="28"/>
      <c r="H165" s="28"/>
      <c r="I165" s="28"/>
      <c r="J165" s="63">
        <f t="shared" si="18"/>
        <v>0</v>
      </c>
      <c r="K165" s="28"/>
      <c r="L165" s="28"/>
      <c r="M165" s="28"/>
      <c r="N165" s="28"/>
      <c r="O165" s="28"/>
      <c r="P165" s="27">
        <f t="shared" si="10"/>
        <v>403600</v>
      </c>
    </row>
    <row r="166" spans="1:16" s="13" customFormat="1" ht="15">
      <c r="A166" s="24" t="s">
        <v>457</v>
      </c>
      <c r="B166" s="25" t="s">
        <v>254</v>
      </c>
      <c r="C166" s="26" t="s">
        <v>57</v>
      </c>
      <c r="D166" s="79" t="s">
        <v>255</v>
      </c>
      <c r="E166" s="63">
        <f t="shared" si="17"/>
        <v>92840</v>
      </c>
      <c r="F166" s="28">
        <v>92840</v>
      </c>
      <c r="G166" s="28">
        <v>0</v>
      </c>
      <c r="H166" s="28">
        <v>0</v>
      </c>
      <c r="I166" s="28">
        <v>0</v>
      </c>
      <c r="J166" s="63">
        <f t="shared" si="18"/>
        <v>0</v>
      </c>
      <c r="K166" s="28">
        <v>0</v>
      </c>
      <c r="L166" s="28">
        <v>0</v>
      </c>
      <c r="M166" s="28">
        <v>0</v>
      </c>
      <c r="N166" s="28">
        <v>0</v>
      </c>
      <c r="O166" s="28">
        <v>0</v>
      </c>
      <c r="P166" s="27">
        <f t="shared" si="10"/>
        <v>92840</v>
      </c>
    </row>
    <row r="167" spans="1:16" s="13" customFormat="1" ht="120">
      <c r="A167" s="24"/>
      <c r="B167" s="25"/>
      <c r="C167" s="26"/>
      <c r="D167" s="13" t="s">
        <v>516</v>
      </c>
      <c r="E167" s="63">
        <f t="shared" si="17"/>
        <v>92840</v>
      </c>
      <c r="F167" s="28">
        <f>F166</f>
        <v>92840</v>
      </c>
      <c r="G167" s="28"/>
      <c r="H167" s="28"/>
      <c r="I167" s="28"/>
      <c r="J167" s="63">
        <f t="shared" si="18"/>
        <v>0</v>
      </c>
      <c r="K167" s="28"/>
      <c r="L167" s="28"/>
      <c r="M167" s="28"/>
      <c r="N167" s="28"/>
      <c r="O167" s="28"/>
      <c r="P167" s="27">
        <f t="shared" si="10"/>
        <v>92840</v>
      </c>
    </row>
    <row r="168" spans="1:16" s="13" customFormat="1" ht="30">
      <c r="A168" s="24" t="s">
        <v>458</v>
      </c>
      <c r="B168" s="25" t="s">
        <v>256</v>
      </c>
      <c r="C168" s="26" t="s">
        <v>57</v>
      </c>
      <c r="D168" s="79" t="s">
        <v>257</v>
      </c>
      <c r="E168" s="63">
        <f t="shared" si="17"/>
        <v>18601500</v>
      </c>
      <c r="F168" s="28">
        <v>18601500</v>
      </c>
      <c r="G168" s="28">
        <v>0</v>
      </c>
      <c r="H168" s="28">
        <v>0</v>
      </c>
      <c r="I168" s="28">
        <v>0</v>
      </c>
      <c r="J168" s="63">
        <f t="shared" si="18"/>
        <v>0</v>
      </c>
      <c r="K168" s="28">
        <v>0</v>
      </c>
      <c r="L168" s="28">
        <v>0</v>
      </c>
      <c r="M168" s="28">
        <v>0</v>
      </c>
      <c r="N168" s="28">
        <v>0</v>
      </c>
      <c r="O168" s="28">
        <v>0</v>
      </c>
      <c r="P168" s="27">
        <f t="shared" si="10"/>
        <v>18601500</v>
      </c>
    </row>
    <row r="169" spans="1:16" s="13" customFormat="1" ht="120">
      <c r="A169" s="24"/>
      <c r="B169" s="25"/>
      <c r="C169" s="26"/>
      <c r="D169" s="13" t="s">
        <v>516</v>
      </c>
      <c r="E169" s="63">
        <f t="shared" si="17"/>
        <v>18601500</v>
      </c>
      <c r="F169" s="28">
        <f>F168</f>
        <v>18601500</v>
      </c>
      <c r="G169" s="28"/>
      <c r="H169" s="28"/>
      <c r="I169" s="28"/>
      <c r="J169" s="63">
        <f t="shared" si="18"/>
        <v>0</v>
      </c>
      <c r="K169" s="28"/>
      <c r="L169" s="28"/>
      <c r="M169" s="28"/>
      <c r="N169" s="28"/>
      <c r="O169" s="28"/>
      <c r="P169" s="27">
        <f t="shared" si="10"/>
        <v>18601500</v>
      </c>
    </row>
    <row r="170" spans="1:16" s="13" customFormat="1" ht="30">
      <c r="A170" s="24" t="s">
        <v>459</v>
      </c>
      <c r="B170" s="25" t="s">
        <v>258</v>
      </c>
      <c r="C170" s="26" t="s">
        <v>49</v>
      </c>
      <c r="D170" s="79" t="s">
        <v>259</v>
      </c>
      <c r="E170" s="63">
        <f t="shared" si="17"/>
        <v>13510500</v>
      </c>
      <c r="F170" s="28">
        <v>13510500</v>
      </c>
      <c r="G170" s="28">
        <v>0</v>
      </c>
      <c r="H170" s="28">
        <v>0</v>
      </c>
      <c r="I170" s="28">
        <v>0</v>
      </c>
      <c r="J170" s="63">
        <f t="shared" si="18"/>
        <v>0</v>
      </c>
      <c r="K170" s="28">
        <v>0</v>
      </c>
      <c r="L170" s="28">
        <v>0</v>
      </c>
      <c r="M170" s="28">
        <v>0</v>
      </c>
      <c r="N170" s="28">
        <v>0</v>
      </c>
      <c r="O170" s="28">
        <v>0</v>
      </c>
      <c r="P170" s="27">
        <f t="shared" si="10"/>
        <v>13510500</v>
      </c>
    </row>
    <row r="171" spans="1:16" s="13" customFormat="1" ht="120">
      <c r="A171" s="24"/>
      <c r="B171" s="25"/>
      <c r="C171" s="26"/>
      <c r="D171" s="13" t="s">
        <v>516</v>
      </c>
      <c r="E171" s="63">
        <f t="shared" si="17"/>
        <v>13510500</v>
      </c>
      <c r="F171" s="28">
        <f>F170</f>
        <v>13510500</v>
      </c>
      <c r="G171" s="28"/>
      <c r="H171" s="28"/>
      <c r="I171" s="28"/>
      <c r="J171" s="63">
        <f t="shared" si="18"/>
        <v>0</v>
      </c>
      <c r="K171" s="28"/>
      <c r="L171" s="28"/>
      <c r="M171" s="28"/>
      <c r="N171" s="28"/>
      <c r="O171" s="28"/>
      <c r="P171" s="27">
        <f t="shared" si="10"/>
        <v>13510500</v>
      </c>
    </row>
    <row r="172" spans="1:16" s="13" customFormat="1" ht="42.75">
      <c r="A172" s="5" t="s">
        <v>460</v>
      </c>
      <c r="B172" s="7" t="s">
        <v>260</v>
      </c>
      <c r="C172" s="6" t="s">
        <v>49</v>
      </c>
      <c r="D172" s="77" t="s">
        <v>553</v>
      </c>
      <c r="E172" s="62">
        <f t="shared" si="17"/>
        <v>4509500</v>
      </c>
      <c r="F172" s="23">
        <v>4509500</v>
      </c>
      <c r="G172" s="23">
        <v>0</v>
      </c>
      <c r="H172" s="23">
        <v>0</v>
      </c>
      <c r="I172" s="23">
        <v>0</v>
      </c>
      <c r="J172" s="62">
        <f t="shared" si="18"/>
        <v>0</v>
      </c>
      <c r="K172" s="23">
        <v>0</v>
      </c>
      <c r="L172" s="23">
        <v>0</v>
      </c>
      <c r="M172" s="23">
        <v>0</v>
      </c>
      <c r="N172" s="23">
        <v>0</v>
      </c>
      <c r="O172" s="23">
        <v>0</v>
      </c>
      <c r="P172" s="22">
        <f t="shared" si="10"/>
        <v>4509500</v>
      </c>
    </row>
    <row r="173" spans="1:16" s="13" customFormat="1" ht="120">
      <c r="A173" s="24"/>
      <c r="B173" s="25"/>
      <c r="C173" s="26"/>
      <c r="D173" s="13" t="s">
        <v>516</v>
      </c>
      <c r="E173" s="63">
        <f t="shared" si="17"/>
        <v>4509500</v>
      </c>
      <c r="F173" s="28">
        <f>F172</f>
        <v>4509500</v>
      </c>
      <c r="G173" s="28"/>
      <c r="H173" s="28"/>
      <c r="I173" s="28"/>
      <c r="J173" s="63">
        <f t="shared" si="18"/>
        <v>0</v>
      </c>
      <c r="K173" s="28"/>
      <c r="L173" s="28"/>
      <c r="M173" s="28"/>
      <c r="N173" s="28"/>
      <c r="O173" s="28"/>
      <c r="P173" s="27">
        <f t="shared" si="10"/>
        <v>4509500</v>
      </c>
    </row>
    <row r="174" spans="1:16" s="13" customFormat="1" ht="42.75">
      <c r="A174" s="18" t="s">
        <v>461</v>
      </c>
      <c r="B174" s="19"/>
      <c r="C174" s="20"/>
      <c r="D174" s="78" t="s">
        <v>261</v>
      </c>
      <c r="E174" s="61">
        <f t="shared" si="17"/>
        <v>5354100</v>
      </c>
      <c r="F174" s="21">
        <f>F175</f>
        <v>5354100</v>
      </c>
      <c r="G174" s="21">
        <f>G175</f>
        <v>3903000</v>
      </c>
      <c r="H174" s="21">
        <f>H175</f>
        <v>331900</v>
      </c>
      <c r="I174" s="21">
        <f>I175</f>
        <v>0</v>
      </c>
      <c r="J174" s="61">
        <f t="shared" si="18"/>
        <v>161560</v>
      </c>
      <c r="K174" s="21">
        <f>K175</f>
        <v>61560</v>
      </c>
      <c r="L174" s="21">
        <f>L175</f>
        <v>48000</v>
      </c>
      <c r="M174" s="21">
        <f>M175</f>
        <v>0</v>
      </c>
      <c r="N174" s="21">
        <f>N175</f>
        <v>100000</v>
      </c>
      <c r="O174" s="21">
        <f>O175</f>
        <v>100000</v>
      </c>
      <c r="P174" s="21">
        <f t="shared" si="10"/>
        <v>5515660</v>
      </c>
    </row>
    <row r="175" spans="1:16" s="13" customFormat="1" ht="60">
      <c r="A175" s="24" t="s">
        <v>462</v>
      </c>
      <c r="B175" s="25" t="s">
        <v>262</v>
      </c>
      <c r="C175" s="26" t="s">
        <v>53</v>
      </c>
      <c r="D175" s="79" t="s">
        <v>263</v>
      </c>
      <c r="E175" s="63">
        <f t="shared" si="17"/>
        <v>5354100</v>
      </c>
      <c r="F175" s="28">
        <v>5354100</v>
      </c>
      <c r="G175" s="28">
        <v>3903000</v>
      </c>
      <c r="H175" s="28">
        <v>331900</v>
      </c>
      <c r="I175" s="28">
        <v>0</v>
      </c>
      <c r="J175" s="63">
        <f t="shared" si="18"/>
        <v>161560</v>
      </c>
      <c r="K175" s="28">
        <v>61560</v>
      </c>
      <c r="L175" s="28">
        <v>48000</v>
      </c>
      <c r="M175" s="28">
        <v>0</v>
      </c>
      <c r="N175" s="28">
        <v>100000</v>
      </c>
      <c r="O175" s="28">
        <v>100000</v>
      </c>
      <c r="P175" s="27">
        <f t="shared" si="10"/>
        <v>5515660</v>
      </c>
    </row>
    <row r="176" spans="1:16" s="13" customFormat="1" ht="85.5">
      <c r="A176" s="18" t="s">
        <v>463</v>
      </c>
      <c r="B176" s="19"/>
      <c r="C176" s="20"/>
      <c r="D176" s="78" t="s">
        <v>264</v>
      </c>
      <c r="E176" s="61">
        <f aca="true" t="shared" si="19" ref="E176:E182">F176+I176</f>
        <v>627300</v>
      </c>
      <c r="F176" s="21">
        <f>F177</f>
        <v>627300</v>
      </c>
      <c r="G176" s="21">
        <f>G177</f>
        <v>0</v>
      </c>
      <c r="H176" s="21">
        <f>H177</f>
        <v>0</v>
      </c>
      <c r="I176" s="21">
        <f>I177</f>
        <v>0</v>
      </c>
      <c r="J176" s="61">
        <f aca="true" t="shared" si="20" ref="J176:J189">K176+N176</f>
        <v>0</v>
      </c>
      <c r="K176" s="21">
        <f>K177</f>
        <v>0</v>
      </c>
      <c r="L176" s="21">
        <f>L177</f>
        <v>0</v>
      </c>
      <c r="M176" s="21">
        <f>M177</f>
        <v>0</v>
      </c>
      <c r="N176" s="21">
        <f>N177</f>
        <v>0</v>
      </c>
      <c r="O176" s="21">
        <f>O177</f>
        <v>0</v>
      </c>
      <c r="P176" s="21">
        <f t="shared" si="10"/>
        <v>627300</v>
      </c>
    </row>
    <row r="177" spans="1:16" s="13" customFormat="1" ht="79.5" customHeight="1">
      <c r="A177" s="24" t="s">
        <v>464</v>
      </c>
      <c r="B177" s="25" t="s">
        <v>265</v>
      </c>
      <c r="C177" s="26" t="s">
        <v>49</v>
      </c>
      <c r="D177" s="79" t="s">
        <v>266</v>
      </c>
      <c r="E177" s="63">
        <f t="shared" si="19"/>
        <v>627300</v>
      </c>
      <c r="F177" s="28">
        <v>627300</v>
      </c>
      <c r="G177" s="28">
        <v>0</v>
      </c>
      <c r="H177" s="28">
        <v>0</v>
      </c>
      <c r="I177" s="28">
        <v>0</v>
      </c>
      <c r="J177" s="63">
        <f t="shared" si="20"/>
        <v>0</v>
      </c>
      <c r="K177" s="28">
        <v>0</v>
      </c>
      <c r="L177" s="28">
        <v>0</v>
      </c>
      <c r="M177" s="28">
        <v>0</v>
      </c>
      <c r="N177" s="28">
        <v>0</v>
      </c>
      <c r="O177" s="28">
        <v>0</v>
      </c>
      <c r="P177" s="27">
        <f t="shared" si="10"/>
        <v>627300</v>
      </c>
    </row>
    <row r="178" spans="1:16" s="13" customFormat="1" ht="99.75">
      <c r="A178" s="5" t="s">
        <v>465</v>
      </c>
      <c r="B178" s="7" t="s">
        <v>267</v>
      </c>
      <c r="C178" s="6" t="s">
        <v>226</v>
      </c>
      <c r="D178" s="77" t="s">
        <v>268</v>
      </c>
      <c r="E178" s="62">
        <f t="shared" si="19"/>
        <v>601100</v>
      </c>
      <c r="F178" s="23">
        <v>601100</v>
      </c>
      <c r="G178" s="23">
        <v>0</v>
      </c>
      <c r="H178" s="23">
        <v>0</v>
      </c>
      <c r="I178" s="23">
        <v>0</v>
      </c>
      <c r="J178" s="62">
        <f t="shared" si="20"/>
        <v>0</v>
      </c>
      <c r="K178" s="23">
        <v>0</v>
      </c>
      <c r="L178" s="23">
        <v>0</v>
      </c>
      <c r="M178" s="23">
        <v>0</v>
      </c>
      <c r="N178" s="23">
        <v>0</v>
      </c>
      <c r="O178" s="23">
        <v>0</v>
      </c>
      <c r="P178" s="22">
        <f t="shared" si="10"/>
        <v>601100</v>
      </c>
    </row>
    <row r="179" spans="1:16" s="13" customFormat="1" ht="28.5">
      <c r="A179" s="18" t="s">
        <v>466</v>
      </c>
      <c r="B179" s="19"/>
      <c r="C179" s="20"/>
      <c r="D179" s="78" t="s">
        <v>211</v>
      </c>
      <c r="E179" s="61">
        <f t="shared" si="19"/>
        <v>50000</v>
      </c>
      <c r="F179" s="21">
        <f>F180</f>
        <v>50000</v>
      </c>
      <c r="G179" s="21">
        <v>0</v>
      </c>
      <c r="H179" s="21">
        <v>0</v>
      </c>
      <c r="I179" s="21">
        <v>0</v>
      </c>
      <c r="J179" s="61">
        <f t="shared" si="20"/>
        <v>0</v>
      </c>
      <c r="K179" s="21">
        <v>0</v>
      </c>
      <c r="L179" s="21">
        <v>0</v>
      </c>
      <c r="M179" s="21">
        <v>0</v>
      </c>
      <c r="N179" s="21">
        <v>0</v>
      </c>
      <c r="O179" s="21">
        <v>0</v>
      </c>
      <c r="P179" s="21">
        <f t="shared" si="10"/>
        <v>50000</v>
      </c>
    </row>
    <row r="180" spans="1:16" s="13" customFormat="1" ht="60">
      <c r="A180" s="24" t="s">
        <v>467</v>
      </c>
      <c r="B180" s="25" t="s">
        <v>213</v>
      </c>
      <c r="C180" s="26" t="s">
        <v>186</v>
      </c>
      <c r="D180" s="79" t="s">
        <v>214</v>
      </c>
      <c r="E180" s="63">
        <f t="shared" si="19"/>
        <v>50000</v>
      </c>
      <c r="F180" s="28">
        <v>50000</v>
      </c>
      <c r="G180" s="28">
        <v>0</v>
      </c>
      <c r="H180" s="28">
        <v>0</v>
      </c>
      <c r="I180" s="28">
        <v>0</v>
      </c>
      <c r="J180" s="63">
        <f t="shared" si="20"/>
        <v>0</v>
      </c>
      <c r="K180" s="28">
        <v>0</v>
      </c>
      <c r="L180" s="28">
        <v>0</v>
      </c>
      <c r="M180" s="28">
        <v>0</v>
      </c>
      <c r="N180" s="28">
        <v>0</v>
      </c>
      <c r="O180" s="28">
        <v>0</v>
      </c>
      <c r="P180" s="27">
        <f t="shared" si="10"/>
        <v>50000</v>
      </c>
    </row>
    <row r="181" spans="1:16" s="13" customFormat="1" ht="28.5">
      <c r="A181" s="5" t="s">
        <v>468</v>
      </c>
      <c r="B181" s="7" t="s">
        <v>219</v>
      </c>
      <c r="C181" s="6" t="s">
        <v>61</v>
      </c>
      <c r="D181" s="77" t="s">
        <v>220</v>
      </c>
      <c r="E181" s="62">
        <f t="shared" si="19"/>
        <v>21000</v>
      </c>
      <c r="F181" s="23">
        <v>21000</v>
      </c>
      <c r="G181" s="23">
        <v>0</v>
      </c>
      <c r="H181" s="23">
        <v>0</v>
      </c>
      <c r="I181" s="23">
        <v>0</v>
      </c>
      <c r="J181" s="62">
        <f t="shared" si="20"/>
        <v>0</v>
      </c>
      <c r="K181" s="23">
        <v>0</v>
      </c>
      <c r="L181" s="23">
        <v>0</v>
      </c>
      <c r="M181" s="23">
        <v>0</v>
      </c>
      <c r="N181" s="23">
        <v>0</v>
      </c>
      <c r="O181" s="23">
        <v>0</v>
      </c>
      <c r="P181" s="22">
        <f t="shared" si="10"/>
        <v>21000</v>
      </c>
    </row>
    <row r="182" spans="1:16" s="13" customFormat="1" ht="28.5">
      <c r="A182" s="5" t="s">
        <v>469</v>
      </c>
      <c r="B182" s="7" t="s">
        <v>222</v>
      </c>
      <c r="C182" s="6" t="s">
        <v>147</v>
      </c>
      <c r="D182" s="77" t="s">
        <v>223</v>
      </c>
      <c r="E182" s="62">
        <f t="shared" si="19"/>
        <v>0</v>
      </c>
      <c r="F182" s="23">
        <v>0</v>
      </c>
      <c r="G182" s="23">
        <v>0</v>
      </c>
      <c r="H182" s="23">
        <v>0</v>
      </c>
      <c r="I182" s="23">
        <v>0</v>
      </c>
      <c r="J182" s="62">
        <f t="shared" si="20"/>
        <v>0</v>
      </c>
      <c r="K182" s="23">
        <v>0</v>
      </c>
      <c r="L182" s="23">
        <v>0</v>
      </c>
      <c r="M182" s="23">
        <v>0</v>
      </c>
      <c r="N182" s="23">
        <f>100000-100000</f>
        <v>0</v>
      </c>
      <c r="O182" s="23">
        <f>100000-100000</f>
        <v>0</v>
      </c>
      <c r="P182" s="22">
        <f>E182+J182</f>
        <v>0</v>
      </c>
    </row>
    <row r="183" spans="1:16" s="106" customFormat="1" ht="42.75">
      <c r="A183" s="29" t="s">
        <v>436</v>
      </c>
      <c r="B183" s="30"/>
      <c r="C183" s="31"/>
      <c r="D183" s="82" t="s">
        <v>470</v>
      </c>
      <c r="E183" s="62">
        <f aca="true" t="shared" si="21" ref="E183:E189">F183+I183</f>
        <v>190376843.9</v>
      </c>
      <c r="F183" s="22">
        <f>F184+F185+F187+F199+F202+F221+F223+F225+F227+F228+F230</f>
        <v>190376843.9</v>
      </c>
      <c r="G183" s="22">
        <f>G184+G185+G187+G199+G202+G221+G223+G225+G227+G228+G230</f>
        <v>9628440</v>
      </c>
      <c r="H183" s="22">
        <f>H184+H185+H187+H199+H202+H221+H223+H225+H227+H228+H230</f>
        <v>470318</v>
      </c>
      <c r="I183" s="22">
        <f>I184+I185+I187+I199+I202+I221+I223+I225+I227+I228+I230</f>
        <v>0</v>
      </c>
      <c r="J183" s="62">
        <f t="shared" si="20"/>
        <v>73100</v>
      </c>
      <c r="K183" s="22">
        <f>K184+K185+K187+K199+K202+K221+K223+K225+K227+K228+K230</f>
        <v>73100</v>
      </c>
      <c r="L183" s="22">
        <f>L184+L185+L187+L199+L202+L221+L223+L225+L227+L228+L230</f>
        <v>50900</v>
      </c>
      <c r="M183" s="22">
        <f>M184+M185+M187+M199+M202+M221+M223+M225+M227+M228+M230</f>
        <v>0</v>
      </c>
      <c r="N183" s="22">
        <f>N184+N185+N187+N199+N202+N221+N223+N225+N227+N228+N230</f>
        <v>0</v>
      </c>
      <c r="O183" s="22">
        <f>O184+O185+O187+O199+O202+O221+O223+O225+O227+O228+O230</f>
        <v>0</v>
      </c>
      <c r="P183" s="22">
        <f t="shared" si="10"/>
        <v>190449943.9</v>
      </c>
    </row>
    <row r="184" spans="1:16" s="13" customFormat="1" ht="42.75">
      <c r="A184" s="5" t="s">
        <v>437</v>
      </c>
      <c r="B184" s="32" t="s">
        <v>35</v>
      </c>
      <c r="C184" s="32" t="s">
        <v>20</v>
      </c>
      <c r="D184" s="77" t="s">
        <v>558</v>
      </c>
      <c r="E184" s="62">
        <f t="shared" si="21"/>
        <v>7592932</v>
      </c>
      <c r="F184" s="23">
        <v>7592932</v>
      </c>
      <c r="G184" s="23">
        <v>5860980</v>
      </c>
      <c r="H184" s="23">
        <v>343418</v>
      </c>
      <c r="I184" s="23">
        <v>0</v>
      </c>
      <c r="J184" s="62">
        <f t="shared" si="20"/>
        <v>0</v>
      </c>
      <c r="K184" s="23">
        <v>0</v>
      </c>
      <c r="L184" s="23">
        <v>0</v>
      </c>
      <c r="M184" s="23">
        <v>0</v>
      </c>
      <c r="N184" s="23">
        <v>0</v>
      </c>
      <c r="O184" s="23">
        <v>0</v>
      </c>
      <c r="P184" s="22">
        <f t="shared" si="10"/>
        <v>7592932</v>
      </c>
    </row>
    <row r="185" spans="1:16" s="13" customFormat="1" ht="85.5">
      <c r="A185" s="5" t="s">
        <v>439</v>
      </c>
      <c r="B185" s="7" t="s">
        <v>226</v>
      </c>
      <c r="C185" s="6" t="s">
        <v>48</v>
      </c>
      <c r="D185" s="77" t="s">
        <v>478</v>
      </c>
      <c r="E185" s="62">
        <f t="shared" si="21"/>
        <v>1756300</v>
      </c>
      <c r="F185" s="23">
        <v>1756300</v>
      </c>
      <c r="G185" s="23">
        <v>0</v>
      </c>
      <c r="H185" s="23">
        <v>0</v>
      </c>
      <c r="I185" s="23">
        <v>0</v>
      </c>
      <c r="J185" s="62">
        <f t="shared" si="20"/>
        <v>0</v>
      </c>
      <c r="K185" s="23">
        <v>0</v>
      </c>
      <c r="L185" s="23">
        <v>0</v>
      </c>
      <c r="M185" s="23">
        <v>0</v>
      </c>
      <c r="N185" s="23">
        <v>0</v>
      </c>
      <c r="O185" s="23">
        <v>0</v>
      </c>
      <c r="P185" s="22">
        <f t="shared" si="10"/>
        <v>1756300</v>
      </c>
    </row>
    <row r="186" spans="1:16" s="13" customFormat="1" ht="210" customHeight="1">
      <c r="A186" s="24"/>
      <c r="B186" s="25"/>
      <c r="C186" s="26"/>
      <c r="D186" s="81" t="s">
        <v>515</v>
      </c>
      <c r="E186" s="63">
        <f t="shared" si="21"/>
        <v>1756300</v>
      </c>
      <c r="F186" s="28">
        <f>F185</f>
        <v>1756300</v>
      </c>
      <c r="G186" s="28"/>
      <c r="H186" s="28"/>
      <c r="I186" s="28"/>
      <c r="J186" s="63">
        <f t="shared" si="20"/>
        <v>0</v>
      </c>
      <c r="K186" s="28"/>
      <c r="L186" s="28"/>
      <c r="M186" s="28"/>
      <c r="N186" s="28"/>
      <c r="O186" s="28"/>
      <c r="P186" s="27">
        <f t="shared" si="10"/>
        <v>1756300</v>
      </c>
    </row>
    <row r="187" spans="1:16" s="13" customFormat="1" ht="85.5">
      <c r="A187" s="18" t="s">
        <v>438</v>
      </c>
      <c r="B187" s="19"/>
      <c r="C187" s="20"/>
      <c r="D187" s="95" t="s">
        <v>485</v>
      </c>
      <c r="E187" s="61">
        <f t="shared" si="21"/>
        <v>79203751.9</v>
      </c>
      <c r="F187" s="21">
        <f>F188+F190+F193+F195+F197</f>
        <v>79203751.9</v>
      </c>
      <c r="G187" s="21">
        <f>G188+G190+G193+G195+G197</f>
        <v>0</v>
      </c>
      <c r="H187" s="21">
        <f>H188+H190+H193+H195+H197</f>
        <v>0</v>
      </c>
      <c r="I187" s="21">
        <f>I188+I190+I193+I195+I197</f>
        <v>0</v>
      </c>
      <c r="J187" s="61">
        <f t="shared" si="20"/>
        <v>0</v>
      </c>
      <c r="K187" s="21">
        <f>K188+K190+K193+K195+K197</f>
        <v>0</v>
      </c>
      <c r="L187" s="21">
        <f>L188+L190+L193+L195+L197</f>
        <v>0</v>
      </c>
      <c r="M187" s="21">
        <f>M188+M190+M193+M195+M197</f>
        <v>0</v>
      </c>
      <c r="N187" s="21">
        <f>N188+N190+N193+N195+N197</f>
        <v>0</v>
      </c>
      <c r="O187" s="21">
        <f>O188+O190+O193+O195+O197</f>
        <v>0</v>
      </c>
      <c r="P187" s="21">
        <f t="shared" si="10"/>
        <v>79203751.9</v>
      </c>
    </row>
    <row r="188" spans="1:16" s="13" customFormat="1" ht="270">
      <c r="A188" s="24" t="s">
        <v>440</v>
      </c>
      <c r="B188" s="25" t="s">
        <v>227</v>
      </c>
      <c r="C188" s="26" t="s">
        <v>186</v>
      </c>
      <c r="D188" s="13" t="s">
        <v>481</v>
      </c>
      <c r="E188" s="63">
        <f t="shared" si="21"/>
        <v>4437853.609999999</v>
      </c>
      <c r="F188" s="28">
        <f>7000000+140303.54-2702449.93</f>
        <v>4437853.609999999</v>
      </c>
      <c r="G188" s="28">
        <v>0</v>
      </c>
      <c r="H188" s="28">
        <v>0</v>
      </c>
      <c r="I188" s="28">
        <v>0</v>
      </c>
      <c r="J188" s="63">
        <f t="shared" si="20"/>
        <v>0</v>
      </c>
      <c r="K188" s="28">
        <v>0</v>
      </c>
      <c r="L188" s="28">
        <v>0</v>
      </c>
      <c r="M188" s="28">
        <v>0</v>
      </c>
      <c r="N188" s="28">
        <v>0</v>
      </c>
      <c r="O188" s="28">
        <v>0</v>
      </c>
      <c r="P188" s="27">
        <f t="shared" si="10"/>
        <v>4437853.609999999</v>
      </c>
    </row>
    <row r="189" spans="1:16" s="13" customFormat="1" ht="135">
      <c r="A189" s="34"/>
      <c r="B189" s="35"/>
      <c r="C189" s="36"/>
      <c r="D189" s="96" t="s">
        <v>518</v>
      </c>
      <c r="E189" s="63">
        <f t="shared" si="21"/>
        <v>4437853.609999999</v>
      </c>
      <c r="F189" s="37">
        <f>F188</f>
        <v>4437853.609999999</v>
      </c>
      <c r="G189" s="37"/>
      <c r="H189" s="37"/>
      <c r="I189" s="37"/>
      <c r="J189" s="63">
        <f t="shared" si="20"/>
        <v>0</v>
      </c>
      <c r="K189" s="37"/>
      <c r="L189" s="37"/>
      <c r="M189" s="37"/>
      <c r="N189" s="37"/>
      <c r="O189" s="37"/>
      <c r="P189" s="27">
        <f t="shared" si="10"/>
        <v>4437853.609999999</v>
      </c>
    </row>
    <row r="190" spans="1:16" s="13" customFormat="1" ht="345">
      <c r="A190" s="131" t="s">
        <v>441</v>
      </c>
      <c r="B190" s="133" t="s">
        <v>228</v>
      </c>
      <c r="C190" s="124" t="s">
        <v>186</v>
      </c>
      <c r="D190" s="97" t="s">
        <v>482</v>
      </c>
      <c r="E190" s="126">
        <f>F190+I190</f>
        <v>491225.53</v>
      </c>
      <c r="F190" s="140">
        <f>2000000+22558.21-1531332.68</f>
        <v>491225.53</v>
      </c>
      <c r="G190" s="140">
        <v>0</v>
      </c>
      <c r="H190" s="140">
        <v>0</v>
      </c>
      <c r="I190" s="140">
        <v>0</v>
      </c>
      <c r="J190" s="126">
        <f>K190+N190</f>
        <v>0</v>
      </c>
      <c r="K190" s="140">
        <v>0</v>
      </c>
      <c r="L190" s="140">
        <v>0</v>
      </c>
      <c r="M190" s="140">
        <v>0</v>
      </c>
      <c r="N190" s="140">
        <v>0</v>
      </c>
      <c r="O190" s="140">
        <v>0</v>
      </c>
      <c r="P190" s="142">
        <f t="shared" si="10"/>
        <v>491225.53</v>
      </c>
    </row>
    <row r="191" spans="1:16" s="13" customFormat="1" ht="409.5">
      <c r="A191" s="132"/>
      <c r="B191" s="134"/>
      <c r="C191" s="125"/>
      <c r="D191" s="98" t="s">
        <v>483</v>
      </c>
      <c r="E191" s="127"/>
      <c r="F191" s="141"/>
      <c r="G191" s="141"/>
      <c r="H191" s="141"/>
      <c r="I191" s="141"/>
      <c r="J191" s="127"/>
      <c r="K191" s="141"/>
      <c r="L191" s="141"/>
      <c r="M191" s="141"/>
      <c r="N191" s="141"/>
      <c r="O191" s="141"/>
      <c r="P191" s="143"/>
    </row>
    <row r="192" spans="1:16" s="13" customFormat="1" ht="135">
      <c r="A192" s="38"/>
      <c r="B192" s="39"/>
      <c r="C192" s="40"/>
      <c r="D192" s="96" t="s">
        <v>518</v>
      </c>
      <c r="E192" s="64">
        <f>F192+I192</f>
        <v>491225.53</v>
      </c>
      <c r="F192" s="41">
        <f>F190</f>
        <v>491225.53</v>
      </c>
      <c r="G192" s="41"/>
      <c r="H192" s="41"/>
      <c r="I192" s="41"/>
      <c r="J192" s="64">
        <f>K192+N192</f>
        <v>0</v>
      </c>
      <c r="K192" s="41"/>
      <c r="L192" s="41"/>
      <c r="M192" s="41"/>
      <c r="N192" s="41"/>
      <c r="O192" s="41"/>
      <c r="P192" s="42">
        <f>E192+J192</f>
        <v>491225.53</v>
      </c>
    </row>
    <row r="193" spans="1:16" s="13" customFormat="1" ht="105">
      <c r="A193" s="24" t="s">
        <v>442</v>
      </c>
      <c r="B193" s="25" t="s">
        <v>229</v>
      </c>
      <c r="C193" s="26" t="s">
        <v>189</v>
      </c>
      <c r="D193" s="99" t="s">
        <v>230</v>
      </c>
      <c r="E193" s="64">
        <f aca="true" t="shared" si="22" ref="E193:E198">F193+I193</f>
        <v>525920.0900000001</v>
      </c>
      <c r="F193" s="28">
        <f>2000000+24085.12-1498165.03</f>
        <v>525920.0900000001</v>
      </c>
      <c r="G193" s="28">
        <v>0</v>
      </c>
      <c r="H193" s="28">
        <v>0</v>
      </c>
      <c r="I193" s="28">
        <v>0</v>
      </c>
      <c r="J193" s="64">
        <f aca="true" t="shared" si="23" ref="J193:J222">K193+N193</f>
        <v>0</v>
      </c>
      <c r="K193" s="28">
        <v>0</v>
      </c>
      <c r="L193" s="28">
        <v>0</v>
      </c>
      <c r="M193" s="28">
        <v>0</v>
      </c>
      <c r="N193" s="28">
        <v>0</v>
      </c>
      <c r="O193" s="28">
        <v>0</v>
      </c>
      <c r="P193" s="27">
        <f aca="true" t="shared" si="24" ref="P193:P290">E193+J193</f>
        <v>525920.0900000001</v>
      </c>
    </row>
    <row r="194" spans="1:16" s="13" customFormat="1" ht="135">
      <c r="A194" s="24"/>
      <c r="B194" s="25"/>
      <c r="C194" s="26"/>
      <c r="D194" s="96" t="s">
        <v>518</v>
      </c>
      <c r="E194" s="64">
        <f t="shared" si="22"/>
        <v>525920.0900000001</v>
      </c>
      <c r="F194" s="28">
        <f>F193</f>
        <v>525920.0900000001</v>
      </c>
      <c r="G194" s="28"/>
      <c r="H194" s="28"/>
      <c r="I194" s="28"/>
      <c r="J194" s="64">
        <f t="shared" si="23"/>
        <v>0</v>
      </c>
      <c r="K194" s="28"/>
      <c r="L194" s="28"/>
      <c r="M194" s="28"/>
      <c r="N194" s="28"/>
      <c r="O194" s="28"/>
      <c r="P194" s="27">
        <f t="shared" si="24"/>
        <v>525920.0900000001</v>
      </c>
    </row>
    <row r="195" spans="1:16" s="13" customFormat="1" ht="30">
      <c r="A195" s="24" t="s">
        <v>444</v>
      </c>
      <c r="B195" s="25" t="s">
        <v>232</v>
      </c>
      <c r="C195" s="26" t="s">
        <v>189</v>
      </c>
      <c r="D195" s="79" t="s">
        <v>233</v>
      </c>
      <c r="E195" s="64">
        <f t="shared" si="22"/>
        <v>403994.93999999994</v>
      </c>
      <c r="F195" s="28">
        <f>2000000+20218.63-1616223.69</f>
        <v>403994.93999999994</v>
      </c>
      <c r="G195" s="28">
        <v>0</v>
      </c>
      <c r="H195" s="28">
        <v>0</v>
      </c>
      <c r="I195" s="28">
        <v>0</v>
      </c>
      <c r="J195" s="64">
        <f t="shared" si="23"/>
        <v>0</v>
      </c>
      <c r="K195" s="28">
        <v>0</v>
      </c>
      <c r="L195" s="28">
        <v>0</v>
      </c>
      <c r="M195" s="28">
        <v>0</v>
      </c>
      <c r="N195" s="28">
        <v>0</v>
      </c>
      <c r="O195" s="28">
        <v>0</v>
      </c>
      <c r="P195" s="27">
        <f t="shared" si="24"/>
        <v>403994.93999999994</v>
      </c>
    </row>
    <row r="196" spans="1:16" s="13" customFormat="1" ht="135">
      <c r="A196" s="24"/>
      <c r="B196" s="25"/>
      <c r="C196" s="26"/>
      <c r="D196" s="96" t="s">
        <v>518</v>
      </c>
      <c r="E196" s="64">
        <f t="shared" si="22"/>
        <v>403994.93999999994</v>
      </c>
      <c r="F196" s="28">
        <f>F195</f>
        <v>403994.93999999994</v>
      </c>
      <c r="G196" s="28"/>
      <c r="H196" s="28"/>
      <c r="I196" s="28"/>
      <c r="J196" s="64">
        <f t="shared" si="23"/>
        <v>0</v>
      </c>
      <c r="K196" s="28"/>
      <c r="L196" s="28"/>
      <c r="M196" s="28"/>
      <c r="N196" s="28"/>
      <c r="O196" s="28"/>
      <c r="P196" s="27">
        <f t="shared" si="24"/>
        <v>403994.93999999994</v>
      </c>
    </row>
    <row r="197" spans="1:16" s="13" customFormat="1" ht="45">
      <c r="A197" s="24" t="s">
        <v>445</v>
      </c>
      <c r="B197" s="25" t="s">
        <v>234</v>
      </c>
      <c r="C197" s="26" t="s">
        <v>226</v>
      </c>
      <c r="D197" s="79" t="s">
        <v>235</v>
      </c>
      <c r="E197" s="64">
        <f t="shared" si="22"/>
        <v>73344757.73</v>
      </c>
      <c r="F197" s="28">
        <f>66800000-207165.5+6751923.23</f>
        <v>73344757.73</v>
      </c>
      <c r="G197" s="28">
        <v>0</v>
      </c>
      <c r="H197" s="28">
        <v>0</v>
      </c>
      <c r="I197" s="28">
        <v>0</v>
      </c>
      <c r="J197" s="64">
        <f t="shared" si="23"/>
        <v>0</v>
      </c>
      <c r="K197" s="28">
        <v>0</v>
      </c>
      <c r="L197" s="28">
        <v>0</v>
      </c>
      <c r="M197" s="28">
        <v>0</v>
      </c>
      <c r="N197" s="28">
        <v>0</v>
      </c>
      <c r="O197" s="28">
        <v>0</v>
      </c>
      <c r="P197" s="27">
        <f t="shared" si="24"/>
        <v>73344757.73</v>
      </c>
    </row>
    <row r="198" spans="1:16" s="13" customFormat="1" ht="135">
      <c r="A198" s="24"/>
      <c r="B198" s="25"/>
      <c r="C198" s="26"/>
      <c r="D198" s="13" t="s">
        <v>518</v>
      </c>
      <c r="E198" s="63">
        <f t="shared" si="22"/>
        <v>73344757.73</v>
      </c>
      <c r="F198" s="28">
        <f>F197</f>
        <v>73344757.73</v>
      </c>
      <c r="G198" s="28"/>
      <c r="H198" s="28"/>
      <c r="I198" s="28"/>
      <c r="J198" s="63">
        <f t="shared" si="23"/>
        <v>0</v>
      </c>
      <c r="K198" s="28"/>
      <c r="L198" s="28"/>
      <c r="M198" s="28"/>
      <c r="N198" s="28"/>
      <c r="O198" s="28"/>
      <c r="P198" s="27">
        <f t="shared" si="24"/>
        <v>73344757.73</v>
      </c>
    </row>
    <row r="199" spans="1:16" s="13" customFormat="1" ht="57">
      <c r="A199" s="18" t="s">
        <v>446</v>
      </c>
      <c r="B199" s="19"/>
      <c r="C199" s="20"/>
      <c r="D199" s="78" t="s">
        <v>236</v>
      </c>
      <c r="E199" s="61">
        <f>F199+I199</f>
        <v>64260</v>
      </c>
      <c r="F199" s="21">
        <f>F200</f>
        <v>64260</v>
      </c>
      <c r="G199" s="21">
        <f>G200</f>
        <v>0</v>
      </c>
      <c r="H199" s="21">
        <f>H200</f>
        <v>0</v>
      </c>
      <c r="I199" s="21">
        <f>I200</f>
        <v>0</v>
      </c>
      <c r="J199" s="61">
        <f t="shared" si="23"/>
        <v>0</v>
      </c>
      <c r="K199" s="21">
        <f>K200</f>
        <v>0</v>
      </c>
      <c r="L199" s="21">
        <f>L200</f>
        <v>0</v>
      </c>
      <c r="M199" s="21">
        <f>M200</f>
        <v>0</v>
      </c>
      <c r="N199" s="21">
        <f>N200</f>
        <v>0</v>
      </c>
      <c r="O199" s="21">
        <f>O200</f>
        <v>0</v>
      </c>
      <c r="P199" s="21">
        <f t="shared" si="24"/>
        <v>64260</v>
      </c>
    </row>
    <row r="200" spans="1:16" s="13" customFormat="1" ht="60">
      <c r="A200" s="24" t="s">
        <v>449</v>
      </c>
      <c r="B200" s="25" t="s">
        <v>240</v>
      </c>
      <c r="C200" s="26" t="s">
        <v>226</v>
      </c>
      <c r="D200" s="79" t="s">
        <v>241</v>
      </c>
      <c r="E200" s="63">
        <f>F200+I200</f>
        <v>64260</v>
      </c>
      <c r="F200" s="28">
        <v>64260</v>
      </c>
      <c r="G200" s="28">
        <v>0</v>
      </c>
      <c r="H200" s="28">
        <v>0</v>
      </c>
      <c r="I200" s="28">
        <v>0</v>
      </c>
      <c r="J200" s="63">
        <f t="shared" si="23"/>
        <v>0</v>
      </c>
      <c r="K200" s="28">
        <v>0</v>
      </c>
      <c r="L200" s="28">
        <v>0</v>
      </c>
      <c r="M200" s="28">
        <v>0</v>
      </c>
      <c r="N200" s="28">
        <v>0</v>
      </c>
      <c r="O200" s="28">
        <v>0</v>
      </c>
      <c r="P200" s="27">
        <f t="shared" si="24"/>
        <v>64260</v>
      </c>
    </row>
    <row r="201" spans="1:16" s="13" customFormat="1" ht="75">
      <c r="A201" s="24"/>
      <c r="B201" s="25"/>
      <c r="C201" s="26"/>
      <c r="D201" s="13" t="s">
        <v>517</v>
      </c>
      <c r="E201" s="63">
        <f>F201+I201</f>
        <v>64260</v>
      </c>
      <c r="F201" s="28">
        <f>F200</f>
        <v>64260</v>
      </c>
      <c r="G201" s="28"/>
      <c r="H201" s="28"/>
      <c r="I201" s="28"/>
      <c r="J201" s="63">
        <f t="shared" si="23"/>
        <v>0</v>
      </c>
      <c r="K201" s="28"/>
      <c r="L201" s="28"/>
      <c r="M201" s="28"/>
      <c r="N201" s="28"/>
      <c r="O201" s="28"/>
      <c r="P201" s="27">
        <f t="shared" si="24"/>
        <v>64260</v>
      </c>
    </row>
    <row r="202" spans="1:16" s="13" customFormat="1" ht="57">
      <c r="A202" s="18" t="s">
        <v>450</v>
      </c>
      <c r="B202" s="19"/>
      <c r="C202" s="20"/>
      <c r="D202" s="78" t="s">
        <v>242</v>
      </c>
      <c r="E202" s="61">
        <f>F202+I202</f>
        <v>91332400</v>
      </c>
      <c r="F202" s="21">
        <f>F203+F205+F207+F209+F211+F213+F215+F217+F219</f>
        <v>91332400</v>
      </c>
      <c r="G202" s="21">
        <f>G203+G205+G207+G209+G211+G213+G215+G217+G219</f>
        <v>0</v>
      </c>
      <c r="H202" s="21">
        <f>H203+H205+H207+H209+H211+H213+H215+H217+H219</f>
        <v>0</v>
      </c>
      <c r="I202" s="21">
        <f>I203+I205+I207+I209+I211+I213+I215+I217+I219</f>
        <v>0</v>
      </c>
      <c r="J202" s="61">
        <f t="shared" si="23"/>
        <v>0</v>
      </c>
      <c r="K202" s="21">
        <f>K203+K205+K207+K209+K211+K213+K215+K217+K219</f>
        <v>0</v>
      </c>
      <c r="L202" s="21">
        <f>L203+L205+L207+L209+L211+L213+L215+L217+L219</f>
        <v>0</v>
      </c>
      <c r="M202" s="21">
        <f>M203+M205+M207+M209+M211+M213+M215+M217+M219</f>
        <v>0</v>
      </c>
      <c r="N202" s="21">
        <f>N203+N205+N207+N209+N211+N213+N215+N217+N219</f>
        <v>0</v>
      </c>
      <c r="O202" s="21">
        <f>O203+O205+O207+O209+O211+O213+O215+O217+O219</f>
        <v>0</v>
      </c>
      <c r="P202" s="21">
        <f>E202+J202</f>
        <v>91332400</v>
      </c>
    </row>
    <row r="203" spans="1:16" s="13" customFormat="1" ht="30">
      <c r="A203" s="24" t="s">
        <v>451</v>
      </c>
      <c r="B203" s="25" t="s">
        <v>243</v>
      </c>
      <c r="C203" s="26" t="s">
        <v>57</v>
      </c>
      <c r="D203" s="79" t="s">
        <v>244</v>
      </c>
      <c r="E203" s="63">
        <f>F203+I203</f>
        <v>703100</v>
      </c>
      <c r="F203" s="28">
        <v>703100</v>
      </c>
      <c r="G203" s="28">
        <v>0</v>
      </c>
      <c r="H203" s="28">
        <v>0</v>
      </c>
      <c r="I203" s="28">
        <v>0</v>
      </c>
      <c r="J203" s="63">
        <f t="shared" si="23"/>
        <v>0</v>
      </c>
      <c r="K203" s="28">
        <v>0</v>
      </c>
      <c r="L203" s="28">
        <v>0</v>
      </c>
      <c r="M203" s="28">
        <v>0</v>
      </c>
      <c r="N203" s="28">
        <v>0</v>
      </c>
      <c r="O203" s="28">
        <v>0</v>
      </c>
      <c r="P203" s="27">
        <f t="shared" si="24"/>
        <v>703100</v>
      </c>
    </row>
    <row r="204" spans="1:16" s="13" customFormat="1" ht="120">
      <c r="A204" s="24"/>
      <c r="B204" s="25"/>
      <c r="C204" s="26"/>
      <c r="D204" s="13" t="s">
        <v>516</v>
      </c>
      <c r="E204" s="63">
        <f aca="true" t="shared" si="25" ref="E204:E222">F204+I204</f>
        <v>703100</v>
      </c>
      <c r="F204" s="28">
        <f>F203</f>
        <v>703100</v>
      </c>
      <c r="G204" s="28"/>
      <c r="H204" s="28"/>
      <c r="I204" s="28"/>
      <c r="J204" s="63">
        <f t="shared" si="23"/>
        <v>0</v>
      </c>
      <c r="K204" s="28"/>
      <c r="L204" s="28"/>
      <c r="M204" s="28"/>
      <c r="N204" s="28"/>
      <c r="O204" s="28"/>
      <c r="P204" s="27">
        <f t="shared" si="24"/>
        <v>703100</v>
      </c>
    </row>
    <row r="205" spans="1:16" s="13" customFormat="1" ht="30">
      <c r="A205" s="24" t="s">
        <v>452</v>
      </c>
      <c r="B205" s="25" t="s">
        <v>245</v>
      </c>
      <c r="C205" s="26" t="s">
        <v>57</v>
      </c>
      <c r="D205" s="93" t="s">
        <v>552</v>
      </c>
      <c r="E205" s="63">
        <f t="shared" si="25"/>
        <v>624100</v>
      </c>
      <c r="F205" s="28">
        <v>624100</v>
      </c>
      <c r="G205" s="28">
        <v>0</v>
      </c>
      <c r="H205" s="28">
        <v>0</v>
      </c>
      <c r="I205" s="28">
        <v>0</v>
      </c>
      <c r="J205" s="63">
        <f t="shared" si="23"/>
        <v>0</v>
      </c>
      <c r="K205" s="28">
        <v>0</v>
      </c>
      <c r="L205" s="28">
        <v>0</v>
      </c>
      <c r="M205" s="28">
        <v>0</v>
      </c>
      <c r="N205" s="28">
        <v>0</v>
      </c>
      <c r="O205" s="28">
        <v>0</v>
      </c>
      <c r="P205" s="27">
        <f t="shared" si="24"/>
        <v>624100</v>
      </c>
    </row>
    <row r="206" spans="1:16" s="13" customFormat="1" ht="120">
      <c r="A206" s="24"/>
      <c r="B206" s="25"/>
      <c r="C206" s="26"/>
      <c r="D206" s="13" t="s">
        <v>516</v>
      </c>
      <c r="E206" s="63">
        <f t="shared" si="25"/>
        <v>624100</v>
      </c>
      <c r="F206" s="28">
        <f>F205</f>
        <v>624100</v>
      </c>
      <c r="G206" s="28"/>
      <c r="H206" s="28"/>
      <c r="I206" s="28"/>
      <c r="J206" s="63">
        <f t="shared" si="23"/>
        <v>0</v>
      </c>
      <c r="K206" s="28"/>
      <c r="L206" s="28"/>
      <c r="M206" s="28"/>
      <c r="N206" s="28"/>
      <c r="O206" s="28"/>
      <c r="P206" s="27">
        <f t="shared" si="24"/>
        <v>624100</v>
      </c>
    </row>
    <row r="207" spans="1:16" s="13" customFormat="1" ht="15">
      <c r="A207" s="24" t="s">
        <v>453</v>
      </c>
      <c r="B207" s="25" t="s">
        <v>246</v>
      </c>
      <c r="C207" s="26" t="s">
        <v>57</v>
      </c>
      <c r="D207" s="79" t="s">
        <v>247</v>
      </c>
      <c r="E207" s="63">
        <f t="shared" si="25"/>
        <v>48970700</v>
      </c>
      <c r="F207" s="28">
        <v>48970700</v>
      </c>
      <c r="G207" s="28">
        <v>0</v>
      </c>
      <c r="H207" s="28">
        <v>0</v>
      </c>
      <c r="I207" s="28">
        <v>0</v>
      </c>
      <c r="J207" s="63">
        <f t="shared" si="23"/>
        <v>0</v>
      </c>
      <c r="K207" s="28">
        <v>0</v>
      </c>
      <c r="L207" s="28">
        <v>0</v>
      </c>
      <c r="M207" s="28">
        <v>0</v>
      </c>
      <c r="N207" s="28">
        <v>0</v>
      </c>
      <c r="O207" s="28">
        <v>0</v>
      </c>
      <c r="P207" s="27">
        <f t="shared" si="24"/>
        <v>48970700</v>
      </c>
    </row>
    <row r="208" spans="1:16" s="13" customFormat="1" ht="120">
      <c r="A208" s="24"/>
      <c r="B208" s="25"/>
      <c r="C208" s="26"/>
      <c r="D208" s="13" t="s">
        <v>516</v>
      </c>
      <c r="E208" s="63">
        <f t="shared" si="25"/>
        <v>48970700</v>
      </c>
      <c r="F208" s="28">
        <f>F207</f>
        <v>48970700</v>
      </c>
      <c r="G208" s="28"/>
      <c r="H208" s="28"/>
      <c r="I208" s="28"/>
      <c r="J208" s="63">
        <f t="shared" si="23"/>
        <v>0</v>
      </c>
      <c r="K208" s="28"/>
      <c r="L208" s="28"/>
      <c r="M208" s="28"/>
      <c r="N208" s="28"/>
      <c r="O208" s="28"/>
      <c r="P208" s="27">
        <f t="shared" si="24"/>
        <v>48970700</v>
      </c>
    </row>
    <row r="209" spans="1:16" s="13" customFormat="1" ht="30">
      <c r="A209" s="24" t="s">
        <v>454</v>
      </c>
      <c r="B209" s="25" t="s">
        <v>248</v>
      </c>
      <c r="C209" s="26" t="s">
        <v>57</v>
      </c>
      <c r="D209" s="79" t="s">
        <v>249</v>
      </c>
      <c r="E209" s="63">
        <f t="shared" si="25"/>
        <v>3894100</v>
      </c>
      <c r="F209" s="28">
        <v>3894100</v>
      </c>
      <c r="G209" s="28">
        <v>0</v>
      </c>
      <c r="H209" s="28">
        <v>0</v>
      </c>
      <c r="I209" s="28">
        <v>0</v>
      </c>
      <c r="J209" s="63">
        <f t="shared" si="23"/>
        <v>0</v>
      </c>
      <c r="K209" s="28">
        <v>0</v>
      </c>
      <c r="L209" s="28">
        <v>0</v>
      </c>
      <c r="M209" s="28">
        <v>0</v>
      </c>
      <c r="N209" s="28">
        <v>0</v>
      </c>
      <c r="O209" s="28">
        <v>0</v>
      </c>
      <c r="P209" s="27">
        <f t="shared" si="24"/>
        <v>3894100</v>
      </c>
    </row>
    <row r="210" spans="1:16" s="13" customFormat="1" ht="120">
      <c r="A210" s="24"/>
      <c r="B210" s="25"/>
      <c r="C210" s="26"/>
      <c r="D210" s="13" t="s">
        <v>516</v>
      </c>
      <c r="E210" s="63">
        <f t="shared" si="25"/>
        <v>3894100</v>
      </c>
      <c r="F210" s="28">
        <f>F209</f>
        <v>3894100</v>
      </c>
      <c r="G210" s="28"/>
      <c r="H210" s="28"/>
      <c r="I210" s="28"/>
      <c r="J210" s="63">
        <f t="shared" si="23"/>
        <v>0</v>
      </c>
      <c r="K210" s="28"/>
      <c r="L210" s="28"/>
      <c r="M210" s="28"/>
      <c r="N210" s="28"/>
      <c r="O210" s="28"/>
      <c r="P210" s="27">
        <f t="shared" si="24"/>
        <v>3894100</v>
      </c>
    </row>
    <row r="211" spans="1:16" s="13" customFormat="1" ht="30">
      <c r="A211" s="24" t="s">
        <v>455</v>
      </c>
      <c r="B211" s="25" t="s">
        <v>250</v>
      </c>
      <c r="C211" s="26" t="s">
        <v>57</v>
      </c>
      <c r="D211" s="79" t="s">
        <v>251</v>
      </c>
      <c r="E211" s="63">
        <f t="shared" si="25"/>
        <v>13310400</v>
      </c>
      <c r="F211" s="28">
        <v>13310400</v>
      </c>
      <c r="G211" s="28">
        <v>0</v>
      </c>
      <c r="H211" s="28">
        <v>0</v>
      </c>
      <c r="I211" s="28">
        <v>0</v>
      </c>
      <c r="J211" s="63">
        <f t="shared" si="23"/>
        <v>0</v>
      </c>
      <c r="K211" s="28">
        <v>0</v>
      </c>
      <c r="L211" s="28">
        <v>0</v>
      </c>
      <c r="M211" s="28">
        <v>0</v>
      </c>
      <c r="N211" s="28">
        <v>0</v>
      </c>
      <c r="O211" s="28">
        <v>0</v>
      </c>
      <c r="P211" s="27">
        <f t="shared" si="24"/>
        <v>13310400</v>
      </c>
    </row>
    <row r="212" spans="1:16" s="13" customFormat="1" ht="120">
      <c r="A212" s="24"/>
      <c r="B212" s="25"/>
      <c r="C212" s="26"/>
      <c r="D212" s="96" t="s">
        <v>516</v>
      </c>
      <c r="E212" s="63">
        <f t="shared" si="25"/>
        <v>13310400</v>
      </c>
      <c r="F212" s="28">
        <f>F211</f>
        <v>13310400</v>
      </c>
      <c r="G212" s="28"/>
      <c r="H212" s="28"/>
      <c r="I212" s="28"/>
      <c r="J212" s="63">
        <f t="shared" si="23"/>
        <v>0</v>
      </c>
      <c r="K212" s="28"/>
      <c r="L212" s="28"/>
      <c r="M212" s="28"/>
      <c r="N212" s="28"/>
      <c r="O212" s="28"/>
      <c r="P212" s="27">
        <f t="shared" si="24"/>
        <v>13310400</v>
      </c>
    </row>
    <row r="213" spans="1:16" s="13" customFormat="1" ht="30">
      <c r="A213" s="24" t="s">
        <v>456</v>
      </c>
      <c r="B213" s="25" t="s">
        <v>252</v>
      </c>
      <c r="C213" s="26" t="s">
        <v>57</v>
      </c>
      <c r="D213" s="79" t="s">
        <v>253</v>
      </c>
      <c r="E213" s="63">
        <f t="shared" si="25"/>
        <v>504700</v>
      </c>
      <c r="F213" s="28">
        <v>504700</v>
      </c>
      <c r="G213" s="28">
        <v>0</v>
      </c>
      <c r="H213" s="28">
        <v>0</v>
      </c>
      <c r="I213" s="28">
        <v>0</v>
      </c>
      <c r="J213" s="63">
        <f t="shared" si="23"/>
        <v>0</v>
      </c>
      <c r="K213" s="28">
        <v>0</v>
      </c>
      <c r="L213" s="28">
        <v>0</v>
      </c>
      <c r="M213" s="28">
        <v>0</v>
      </c>
      <c r="N213" s="28">
        <v>0</v>
      </c>
      <c r="O213" s="28">
        <v>0</v>
      </c>
      <c r="P213" s="27">
        <f t="shared" si="24"/>
        <v>504700</v>
      </c>
    </row>
    <row r="214" spans="1:16" s="13" customFormat="1" ht="120">
      <c r="A214" s="24"/>
      <c r="B214" s="25"/>
      <c r="C214" s="26"/>
      <c r="D214" s="96" t="s">
        <v>516</v>
      </c>
      <c r="E214" s="63">
        <f t="shared" si="25"/>
        <v>504700</v>
      </c>
      <c r="F214" s="28">
        <f>F213</f>
        <v>504700</v>
      </c>
      <c r="G214" s="28"/>
      <c r="H214" s="28"/>
      <c r="I214" s="28"/>
      <c r="J214" s="63">
        <f t="shared" si="23"/>
        <v>0</v>
      </c>
      <c r="K214" s="28"/>
      <c r="L214" s="28"/>
      <c r="M214" s="28"/>
      <c r="N214" s="28"/>
      <c r="O214" s="28"/>
      <c r="P214" s="27">
        <f t="shared" si="24"/>
        <v>504700</v>
      </c>
    </row>
    <row r="215" spans="1:16" s="13" customFormat="1" ht="15">
      <c r="A215" s="24" t="s">
        <v>457</v>
      </c>
      <c r="B215" s="25" t="s">
        <v>254</v>
      </c>
      <c r="C215" s="26" t="s">
        <v>57</v>
      </c>
      <c r="D215" s="79" t="s">
        <v>255</v>
      </c>
      <c r="E215" s="63">
        <f t="shared" si="25"/>
        <v>52100</v>
      </c>
      <c r="F215" s="28">
        <v>52100</v>
      </c>
      <c r="G215" s="28">
        <v>0</v>
      </c>
      <c r="H215" s="28">
        <v>0</v>
      </c>
      <c r="I215" s="28">
        <v>0</v>
      </c>
      <c r="J215" s="63">
        <f t="shared" si="23"/>
        <v>0</v>
      </c>
      <c r="K215" s="28">
        <v>0</v>
      </c>
      <c r="L215" s="28">
        <v>0</v>
      </c>
      <c r="M215" s="28">
        <v>0</v>
      </c>
      <c r="N215" s="28">
        <v>0</v>
      </c>
      <c r="O215" s="28">
        <v>0</v>
      </c>
      <c r="P215" s="27">
        <f t="shared" si="24"/>
        <v>52100</v>
      </c>
    </row>
    <row r="216" spans="1:16" s="13" customFormat="1" ht="120">
      <c r="A216" s="24"/>
      <c r="B216" s="25"/>
      <c r="C216" s="26"/>
      <c r="D216" s="96" t="s">
        <v>516</v>
      </c>
      <c r="E216" s="63">
        <f t="shared" si="25"/>
        <v>52100</v>
      </c>
      <c r="F216" s="28">
        <f>F215</f>
        <v>52100</v>
      </c>
      <c r="G216" s="28"/>
      <c r="H216" s="28"/>
      <c r="I216" s="28"/>
      <c r="J216" s="63">
        <f t="shared" si="23"/>
        <v>0</v>
      </c>
      <c r="K216" s="28"/>
      <c r="L216" s="28"/>
      <c r="M216" s="28"/>
      <c r="N216" s="28"/>
      <c r="O216" s="28"/>
      <c r="P216" s="27">
        <f t="shared" si="24"/>
        <v>52100</v>
      </c>
    </row>
    <row r="217" spans="1:16" s="13" customFormat="1" ht="30">
      <c r="A217" s="24" t="s">
        <v>458</v>
      </c>
      <c r="B217" s="25" t="s">
        <v>256</v>
      </c>
      <c r="C217" s="26" t="s">
        <v>57</v>
      </c>
      <c r="D217" s="79" t="s">
        <v>257</v>
      </c>
      <c r="E217" s="63">
        <f t="shared" si="25"/>
        <v>11075400</v>
      </c>
      <c r="F217" s="28">
        <v>11075400</v>
      </c>
      <c r="G217" s="28">
        <v>0</v>
      </c>
      <c r="H217" s="28">
        <v>0</v>
      </c>
      <c r="I217" s="28">
        <v>0</v>
      </c>
      <c r="J217" s="63">
        <f t="shared" si="23"/>
        <v>0</v>
      </c>
      <c r="K217" s="28">
        <v>0</v>
      </c>
      <c r="L217" s="28">
        <v>0</v>
      </c>
      <c r="M217" s="28">
        <v>0</v>
      </c>
      <c r="N217" s="28">
        <v>0</v>
      </c>
      <c r="O217" s="28">
        <v>0</v>
      </c>
      <c r="P217" s="27">
        <f t="shared" si="24"/>
        <v>11075400</v>
      </c>
    </row>
    <row r="218" spans="1:16" s="13" customFormat="1" ht="120">
      <c r="A218" s="24"/>
      <c r="B218" s="25"/>
      <c r="C218" s="26"/>
      <c r="D218" s="96" t="s">
        <v>516</v>
      </c>
      <c r="E218" s="63">
        <f t="shared" si="25"/>
        <v>11075400</v>
      </c>
      <c r="F218" s="28">
        <f>F217</f>
        <v>11075400</v>
      </c>
      <c r="G218" s="28"/>
      <c r="H218" s="28"/>
      <c r="I218" s="28"/>
      <c r="J218" s="63">
        <f t="shared" si="23"/>
        <v>0</v>
      </c>
      <c r="K218" s="28"/>
      <c r="L218" s="28"/>
      <c r="M218" s="28"/>
      <c r="N218" s="28"/>
      <c r="O218" s="28"/>
      <c r="P218" s="27">
        <f t="shared" si="24"/>
        <v>11075400</v>
      </c>
    </row>
    <row r="219" spans="1:16" s="13" customFormat="1" ht="30">
      <c r="A219" s="24" t="s">
        <v>459</v>
      </c>
      <c r="B219" s="25" t="s">
        <v>258</v>
      </c>
      <c r="C219" s="26" t="s">
        <v>49</v>
      </c>
      <c r="D219" s="79" t="s">
        <v>259</v>
      </c>
      <c r="E219" s="63">
        <f t="shared" si="25"/>
        <v>12197800</v>
      </c>
      <c r="F219" s="28">
        <v>12197800</v>
      </c>
      <c r="G219" s="28">
        <v>0</v>
      </c>
      <c r="H219" s="28">
        <v>0</v>
      </c>
      <c r="I219" s="28">
        <v>0</v>
      </c>
      <c r="J219" s="63">
        <f t="shared" si="23"/>
        <v>0</v>
      </c>
      <c r="K219" s="28">
        <v>0</v>
      </c>
      <c r="L219" s="28">
        <v>0</v>
      </c>
      <c r="M219" s="28">
        <v>0</v>
      </c>
      <c r="N219" s="28">
        <v>0</v>
      </c>
      <c r="O219" s="28">
        <v>0</v>
      </c>
      <c r="P219" s="27">
        <f t="shared" si="24"/>
        <v>12197800</v>
      </c>
    </row>
    <row r="220" spans="1:16" s="13" customFormat="1" ht="120">
      <c r="A220" s="24"/>
      <c r="B220" s="25"/>
      <c r="C220" s="26"/>
      <c r="D220" s="96" t="s">
        <v>516</v>
      </c>
      <c r="E220" s="63">
        <f t="shared" si="25"/>
        <v>12197800</v>
      </c>
      <c r="F220" s="28">
        <f>F219</f>
        <v>12197800</v>
      </c>
      <c r="G220" s="28"/>
      <c r="H220" s="28"/>
      <c r="I220" s="28"/>
      <c r="J220" s="63">
        <f t="shared" si="23"/>
        <v>0</v>
      </c>
      <c r="K220" s="28"/>
      <c r="L220" s="28"/>
      <c r="M220" s="28"/>
      <c r="N220" s="28"/>
      <c r="O220" s="28"/>
      <c r="P220" s="27">
        <f t="shared" si="24"/>
        <v>12197800</v>
      </c>
    </row>
    <row r="221" spans="1:16" s="13" customFormat="1" ht="42.75">
      <c r="A221" s="5" t="s">
        <v>460</v>
      </c>
      <c r="B221" s="7" t="s">
        <v>260</v>
      </c>
      <c r="C221" s="6" t="s">
        <v>49</v>
      </c>
      <c r="D221" s="77" t="s">
        <v>553</v>
      </c>
      <c r="E221" s="62">
        <f>F221+I221</f>
        <v>4093800</v>
      </c>
      <c r="F221" s="23">
        <v>4093800</v>
      </c>
      <c r="G221" s="23">
        <v>0</v>
      </c>
      <c r="H221" s="23">
        <v>0</v>
      </c>
      <c r="I221" s="23">
        <v>0</v>
      </c>
      <c r="J221" s="62">
        <f>K221+N221</f>
        <v>0</v>
      </c>
      <c r="K221" s="23">
        <v>0</v>
      </c>
      <c r="L221" s="23">
        <v>0</v>
      </c>
      <c r="M221" s="23">
        <v>0</v>
      </c>
      <c r="N221" s="23">
        <v>0</v>
      </c>
      <c r="O221" s="23">
        <v>0</v>
      </c>
      <c r="P221" s="22">
        <f t="shared" si="24"/>
        <v>4093800</v>
      </c>
    </row>
    <row r="222" spans="1:16" s="13" customFormat="1" ht="120">
      <c r="A222" s="24"/>
      <c r="B222" s="25"/>
      <c r="C222" s="26"/>
      <c r="D222" s="96" t="s">
        <v>516</v>
      </c>
      <c r="E222" s="63">
        <f t="shared" si="25"/>
        <v>4093800</v>
      </c>
      <c r="F222" s="28">
        <f>F221</f>
        <v>4093800</v>
      </c>
      <c r="G222" s="28"/>
      <c r="H222" s="28"/>
      <c r="I222" s="28"/>
      <c r="J222" s="63">
        <f t="shared" si="23"/>
        <v>0</v>
      </c>
      <c r="K222" s="28"/>
      <c r="L222" s="28"/>
      <c r="M222" s="28"/>
      <c r="N222" s="28"/>
      <c r="O222" s="28"/>
      <c r="P222" s="27">
        <f t="shared" si="24"/>
        <v>4093800</v>
      </c>
    </row>
    <row r="223" spans="1:16" s="13" customFormat="1" ht="42.75">
      <c r="A223" s="18" t="s">
        <v>461</v>
      </c>
      <c r="B223" s="19"/>
      <c r="C223" s="20"/>
      <c r="D223" s="78" t="s">
        <v>261</v>
      </c>
      <c r="E223" s="61">
        <f>F223+I223</f>
        <v>4936300</v>
      </c>
      <c r="F223" s="21">
        <f>F224</f>
        <v>4936300</v>
      </c>
      <c r="G223" s="21">
        <f>G224</f>
        <v>3767460</v>
      </c>
      <c r="H223" s="21">
        <f>H224</f>
        <v>126900</v>
      </c>
      <c r="I223" s="21">
        <f>I224</f>
        <v>0</v>
      </c>
      <c r="J223" s="61">
        <f>K223+N223</f>
        <v>73100</v>
      </c>
      <c r="K223" s="21">
        <f>K224</f>
        <v>73100</v>
      </c>
      <c r="L223" s="21">
        <f>L224</f>
        <v>50900</v>
      </c>
      <c r="M223" s="21">
        <f>M224</f>
        <v>0</v>
      </c>
      <c r="N223" s="21">
        <f>N224</f>
        <v>0</v>
      </c>
      <c r="O223" s="21">
        <f>O224</f>
        <v>0</v>
      </c>
      <c r="P223" s="21">
        <f t="shared" si="24"/>
        <v>5009400</v>
      </c>
    </row>
    <row r="224" spans="1:16" s="13" customFormat="1" ht="63.75" customHeight="1">
      <c r="A224" s="24" t="s">
        <v>462</v>
      </c>
      <c r="B224" s="25" t="s">
        <v>262</v>
      </c>
      <c r="C224" s="26" t="s">
        <v>53</v>
      </c>
      <c r="D224" s="79" t="s">
        <v>263</v>
      </c>
      <c r="E224" s="63">
        <f>F224+I224</f>
        <v>4936300</v>
      </c>
      <c r="F224" s="28">
        <v>4936300</v>
      </c>
      <c r="G224" s="28">
        <v>3767460</v>
      </c>
      <c r="H224" s="28">
        <v>126900</v>
      </c>
      <c r="I224" s="28">
        <v>0</v>
      </c>
      <c r="J224" s="63">
        <f>K224+N224</f>
        <v>73100</v>
      </c>
      <c r="K224" s="28">
        <v>73100</v>
      </c>
      <c r="L224" s="28">
        <v>50900</v>
      </c>
      <c r="M224" s="28">
        <v>0</v>
      </c>
      <c r="N224" s="28">
        <v>0</v>
      </c>
      <c r="O224" s="28">
        <v>0</v>
      </c>
      <c r="P224" s="27">
        <f t="shared" si="24"/>
        <v>5009400</v>
      </c>
    </row>
    <row r="225" spans="1:16" s="13" customFormat="1" ht="85.5">
      <c r="A225" s="18" t="s">
        <v>463</v>
      </c>
      <c r="B225" s="19"/>
      <c r="C225" s="20"/>
      <c r="D225" s="78" t="s">
        <v>264</v>
      </c>
      <c r="E225" s="61">
        <f>F225+I225</f>
        <v>365600</v>
      </c>
      <c r="F225" s="21">
        <f>F226</f>
        <v>365600</v>
      </c>
      <c r="G225" s="21">
        <f>G226</f>
        <v>0</v>
      </c>
      <c r="H225" s="21">
        <f>H226</f>
        <v>0</v>
      </c>
      <c r="I225" s="21">
        <f>I226</f>
        <v>0</v>
      </c>
      <c r="J225" s="61">
        <f>K225+N225</f>
        <v>0</v>
      </c>
      <c r="K225" s="21">
        <f>K226</f>
        <v>0</v>
      </c>
      <c r="L225" s="21">
        <f>L226</f>
        <v>0</v>
      </c>
      <c r="M225" s="21">
        <f>M226</f>
        <v>0</v>
      </c>
      <c r="N225" s="21">
        <f>N226</f>
        <v>0</v>
      </c>
      <c r="O225" s="21">
        <f>O226</f>
        <v>0</v>
      </c>
      <c r="P225" s="21">
        <f t="shared" si="24"/>
        <v>365600</v>
      </c>
    </row>
    <row r="226" spans="1:16" s="13" customFormat="1" ht="75">
      <c r="A226" s="24" t="s">
        <v>464</v>
      </c>
      <c r="B226" s="25" t="s">
        <v>265</v>
      </c>
      <c r="C226" s="26" t="s">
        <v>49</v>
      </c>
      <c r="D226" s="79" t="s">
        <v>266</v>
      </c>
      <c r="E226" s="63">
        <f>F226+I226</f>
        <v>365600</v>
      </c>
      <c r="F226" s="28">
        <v>365600</v>
      </c>
      <c r="G226" s="28">
        <v>0</v>
      </c>
      <c r="H226" s="28">
        <v>0</v>
      </c>
      <c r="I226" s="28">
        <v>0</v>
      </c>
      <c r="J226" s="63">
        <f>K226+N226</f>
        <v>0</v>
      </c>
      <c r="K226" s="28">
        <v>0</v>
      </c>
      <c r="L226" s="28">
        <v>0</v>
      </c>
      <c r="M226" s="28">
        <v>0</v>
      </c>
      <c r="N226" s="28">
        <v>0</v>
      </c>
      <c r="O226" s="28">
        <v>0</v>
      </c>
      <c r="P226" s="27">
        <f t="shared" si="24"/>
        <v>365600</v>
      </c>
    </row>
    <row r="227" spans="1:16" s="55" customFormat="1" ht="99.75">
      <c r="A227" s="5" t="s">
        <v>465</v>
      </c>
      <c r="B227" s="7" t="s">
        <v>267</v>
      </c>
      <c r="C227" s="6" t="s">
        <v>226</v>
      </c>
      <c r="D227" s="77" t="s">
        <v>268</v>
      </c>
      <c r="E227" s="62">
        <f aca="true" t="shared" si="26" ref="E227:E236">F227+I227</f>
        <v>955500</v>
      </c>
      <c r="F227" s="23">
        <v>955500</v>
      </c>
      <c r="G227" s="23">
        <v>0</v>
      </c>
      <c r="H227" s="23">
        <v>0</v>
      </c>
      <c r="I227" s="23">
        <v>0</v>
      </c>
      <c r="J227" s="62">
        <f aca="true" t="shared" si="27" ref="J227:J236">K227+N227</f>
        <v>0</v>
      </c>
      <c r="K227" s="23">
        <v>0</v>
      </c>
      <c r="L227" s="23">
        <v>0</v>
      </c>
      <c r="M227" s="23">
        <v>0</v>
      </c>
      <c r="N227" s="23">
        <v>0</v>
      </c>
      <c r="O227" s="23">
        <v>0</v>
      </c>
      <c r="P227" s="22">
        <f t="shared" si="24"/>
        <v>955500</v>
      </c>
    </row>
    <row r="228" spans="1:16" s="55" customFormat="1" ht="28.5">
      <c r="A228" s="18" t="s">
        <v>466</v>
      </c>
      <c r="B228" s="19"/>
      <c r="C228" s="20"/>
      <c r="D228" s="78" t="s">
        <v>211</v>
      </c>
      <c r="E228" s="61">
        <f t="shared" si="26"/>
        <v>55000</v>
      </c>
      <c r="F228" s="21">
        <f>F229</f>
        <v>55000</v>
      </c>
      <c r="G228" s="21">
        <f>G229</f>
        <v>0</v>
      </c>
      <c r="H228" s="21">
        <f>H229</f>
        <v>0</v>
      </c>
      <c r="I228" s="21">
        <f>I229</f>
        <v>0</v>
      </c>
      <c r="J228" s="61">
        <f t="shared" si="27"/>
        <v>0</v>
      </c>
      <c r="K228" s="21">
        <f>K229</f>
        <v>0</v>
      </c>
      <c r="L228" s="21">
        <f>L229</f>
        <v>0</v>
      </c>
      <c r="M228" s="21">
        <f>M229</f>
        <v>0</v>
      </c>
      <c r="N228" s="21">
        <f>N229</f>
        <v>0</v>
      </c>
      <c r="O228" s="21">
        <f>O229</f>
        <v>0</v>
      </c>
      <c r="P228" s="21">
        <f t="shared" si="24"/>
        <v>55000</v>
      </c>
    </row>
    <row r="229" spans="1:16" s="13" customFormat="1" ht="60">
      <c r="A229" s="24" t="s">
        <v>467</v>
      </c>
      <c r="B229" s="25" t="s">
        <v>213</v>
      </c>
      <c r="C229" s="26" t="s">
        <v>186</v>
      </c>
      <c r="D229" s="79" t="s">
        <v>214</v>
      </c>
      <c r="E229" s="63">
        <f t="shared" si="26"/>
        <v>55000</v>
      </c>
      <c r="F229" s="28">
        <v>55000</v>
      </c>
      <c r="G229" s="28">
        <v>0</v>
      </c>
      <c r="H229" s="28">
        <v>0</v>
      </c>
      <c r="I229" s="28">
        <v>0</v>
      </c>
      <c r="J229" s="63">
        <f t="shared" si="27"/>
        <v>0</v>
      </c>
      <c r="K229" s="28">
        <v>0</v>
      </c>
      <c r="L229" s="28">
        <v>0</v>
      </c>
      <c r="M229" s="28">
        <v>0</v>
      </c>
      <c r="N229" s="28">
        <v>0</v>
      </c>
      <c r="O229" s="28">
        <v>0</v>
      </c>
      <c r="P229" s="27">
        <f t="shared" si="24"/>
        <v>55000</v>
      </c>
    </row>
    <row r="230" spans="1:16" s="55" customFormat="1" ht="28.5">
      <c r="A230" s="5" t="s">
        <v>468</v>
      </c>
      <c r="B230" s="7" t="s">
        <v>219</v>
      </c>
      <c r="C230" s="6" t="s">
        <v>61</v>
      </c>
      <c r="D230" s="77" t="s">
        <v>220</v>
      </c>
      <c r="E230" s="62">
        <f t="shared" si="26"/>
        <v>21000</v>
      </c>
      <c r="F230" s="23">
        <v>21000</v>
      </c>
      <c r="G230" s="23">
        <v>0</v>
      </c>
      <c r="H230" s="23">
        <v>0</v>
      </c>
      <c r="I230" s="23">
        <v>0</v>
      </c>
      <c r="J230" s="62">
        <f t="shared" si="27"/>
        <v>0</v>
      </c>
      <c r="K230" s="23">
        <v>0</v>
      </c>
      <c r="L230" s="23">
        <v>0</v>
      </c>
      <c r="M230" s="23">
        <v>0</v>
      </c>
      <c r="N230" s="23">
        <v>0</v>
      </c>
      <c r="O230" s="23">
        <v>0</v>
      </c>
      <c r="P230" s="22">
        <f t="shared" si="24"/>
        <v>21000</v>
      </c>
    </row>
    <row r="231" spans="1:16" s="107" customFormat="1" ht="42.75">
      <c r="A231" s="29" t="s">
        <v>436</v>
      </c>
      <c r="B231" s="30"/>
      <c r="C231" s="31"/>
      <c r="D231" s="82" t="s">
        <v>471</v>
      </c>
      <c r="E231" s="62">
        <f t="shared" si="26"/>
        <v>193183858.1</v>
      </c>
      <c r="F231" s="22">
        <f>F232+F233+F235+F247+F254+F273+F275+F277+F279+F280+F282</f>
        <v>193183858.1</v>
      </c>
      <c r="G231" s="22">
        <f>G232+G233+G235+G247+G254+G273+G275+G277+G279+G280+G282</f>
        <v>9786757</v>
      </c>
      <c r="H231" s="22">
        <f>H232+H233+H235+H247+H254+H273+H275+H277+H279+H280+H282</f>
        <v>537549</v>
      </c>
      <c r="I231" s="22">
        <f>I232+I233+I235+I247+I254+I273+I275+I277+I279+I280+I282</f>
        <v>0</v>
      </c>
      <c r="J231" s="62">
        <f t="shared" si="27"/>
        <v>55000</v>
      </c>
      <c r="K231" s="22">
        <f>K232+K233+K235+K247+K254+K273+K275+K277+K279+K280+K282</f>
        <v>55000</v>
      </c>
      <c r="L231" s="22">
        <f>L232+L233+L235+L247+L254+L273+L275+L277+L279+L280+L282</f>
        <v>38900</v>
      </c>
      <c r="M231" s="22">
        <f>M232+M233+M235+M247+M254+M273+M275+M277+M279+M280+M282</f>
        <v>0</v>
      </c>
      <c r="N231" s="22">
        <f>N232+N233+N235+N247+N254+N273+N275+N277+N279+N280+N282</f>
        <v>0</v>
      </c>
      <c r="O231" s="22">
        <f>O232+O233+O235+O247+O254+O273+O275+O277+O279+O280+O282</f>
        <v>0</v>
      </c>
      <c r="P231" s="22">
        <f t="shared" si="24"/>
        <v>193238858.1</v>
      </c>
    </row>
    <row r="232" spans="1:16" s="55" customFormat="1" ht="42.75">
      <c r="A232" s="5" t="s">
        <v>437</v>
      </c>
      <c r="B232" s="32" t="s">
        <v>35</v>
      </c>
      <c r="C232" s="32" t="s">
        <v>20</v>
      </c>
      <c r="D232" s="77" t="s">
        <v>558</v>
      </c>
      <c r="E232" s="62">
        <f t="shared" si="26"/>
        <v>7062195</v>
      </c>
      <c r="F232" s="23">
        <v>7062195</v>
      </c>
      <c r="G232" s="23">
        <v>5516677</v>
      </c>
      <c r="H232" s="23">
        <v>170549</v>
      </c>
      <c r="I232" s="23">
        <v>0</v>
      </c>
      <c r="J232" s="62">
        <f t="shared" si="27"/>
        <v>0</v>
      </c>
      <c r="K232" s="23">
        <v>0</v>
      </c>
      <c r="L232" s="23">
        <v>0</v>
      </c>
      <c r="M232" s="23">
        <v>0</v>
      </c>
      <c r="N232" s="23">
        <v>0</v>
      </c>
      <c r="O232" s="23">
        <v>0</v>
      </c>
      <c r="P232" s="22">
        <f t="shared" si="24"/>
        <v>7062195</v>
      </c>
    </row>
    <row r="233" spans="1:16" s="55" customFormat="1" ht="85.5">
      <c r="A233" s="5" t="s">
        <v>439</v>
      </c>
      <c r="B233" s="7" t="s">
        <v>226</v>
      </c>
      <c r="C233" s="6" t="s">
        <v>48</v>
      </c>
      <c r="D233" s="77" t="s">
        <v>478</v>
      </c>
      <c r="E233" s="62">
        <f t="shared" si="26"/>
        <v>1845400</v>
      </c>
      <c r="F233" s="23">
        <v>1845400</v>
      </c>
      <c r="G233" s="23">
        <v>0</v>
      </c>
      <c r="H233" s="23">
        <v>0</v>
      </c>
      <c r="I233" s="23">
        <v>0</v>
      </c>
      <c r="J233" s="62">
        <f t="shared" si="27"/>
        <v>0</v>
      </c>
      <c r="K233" s="23">
        <v>0</v>
      </c>
      <c r="L233" s="23">
        <v>0</v>
      </c>
      <c r="M233" s="23">
        <v>0</v>
      </c>
      <c r="N233" s="23">
        <v>0</v>
      </c>
      <c r="O233" s="23">
        <v>0</v>
      </c>
      <c r="P233" s="22">
        <f t="shared" si="24"/>
        <v>1845400</v>
      </c>
    </row>
    <row r="234" spans="1:16" s="13" customFormat="1" ht="210" customHeight="1">
      <c r="A234" s="24"/>
      <c r="B234" s="25"/>
      <c r="C234" s="26"/>
      <c r="D234" s="81" t="s">
        <v>515</v>
      </c>
      <c r="E234" s="63">
        <f t="shared" si="26"/>
        <v>1845400</v>
      </c>
      <c r="F234" s="28">
        <f>F233</f>
        <v>1845400</v>
      </c>
      <c r="G234" s="28"/>
      <c r="H234" s="28"/>
      <c r="I234" s="28"/>
      <c r="J234" s="63">
        <f t="shared" si="27"/>
        <v>0</v>
      </c>
      <c r="K234" s="28"/>
      <c r="L234" s="28"/>
      <c r="M234" s="28"/>
      <c r="N234" s="28"/>
      <c r="O234" s="28"/>
      <c r="P234" s="27">
        <f t="shared" si="24"/>
        <v>1845400</v>
      </c>
    </row>
    <row r="235" spans="1:16" s="55" customFormat="1" ht="85.5">
      <c r="A235" s="18" t="s">
        <v>438</v>
      </c>
      <c r="B235" s="19"/>
      <c r="C235" s="20"/>
      <c r="D235" s="95" t="s">
        <v>485</v>
      </c>
      <c r="E235" s="61">
        <f t="shared" si="26"/>
        <v>91945663.1</v>
      </c>
      <c r="F235" s="21">
        <f>F236+F238+F241+F243+F245</f>
        <v>91945663.1</v>
      </c>
      <c r="G235" s="21">
        <f>G236+G238+G241+G243+G245</f>
        <v>0</v>
      </c>
      <c r="H235" s="21">
        <f>H236+H238+H241+H243+H245</f>
        <v>0</v>
      </c>
      <c r="I235" s="21">
        <f>I236+I238+I241+I243+I245</f>
        <v>0</v>
      </c>
      <c r="J235" s="61">
        <f t="shared" si="27"/>
        <v>0</v>
      </c>
      <c r="K235" s="21">
        <f>K236+K238+K241+K243+K245</f>
        <v>0</v>
      </c>
      <c r="L235" s="21">
        <f>L236+L238+L241+L243+L245</f>
        <v>0</v>
      </c>
      <c r="M235" s="21">
        <f>M236+M238+M241+M243+M245</f>
        <v>0</v>
      </c>
      <c r="N235" s="21">
        <f>N236+N238+N241+N243+N245</f>
        <v>0</v>
      </c>
      <c r="O235" s="21">
        <f>O236+O238+O241+O243+O245</f>
        <v>0</v>
      </c>
      <c r="P235" s="21">
        <f t="shared" si="24"/>
        <v>91945663.1</v>
      </c>
    </row>
    <row r="236" spans="1:16" s="13" customFormat="1" ht="270">
      <c r="A236" s="24" t="s">
        <v>440</v>
      </c>
      <c r="B236" s="25" t="s">
        <v>227</v>
      </c>
      <c r="C236" s="26" t="s">
        <v>186</v>
      </c>
      <c r="D236" s="96" t="s">
        <v>481</v>
      </c>
      <c r="E236" s="63">
        <f t="shared" si="26"/>
        <v>3526686.3599999994</v>
      </c>
      <c r="F236" s="28">
        <f>8440000+115678.85-5028992.49</f>
        <v>3526686.3599999994</v>
      </c>
      <c r="G236" s="28">
        <v>0</v>
      </c>
      <c r="H236" s="28">
        <v>0</v>
      </c>
      <c r="I236" s="28">
        <v>0</v>
      </c>
      <c r="J236" s="63">
        <f t="shared" si="27"/>
        <v>0</v>
      </c>
      <c r="K236" s="28">
        <v>0</v>
      </c>
      <c r="L236" s="28">
        <v>0</v>
      </c>
      <c r="M236" s="28">
        <v>0</v>
      </c>
      <c r="N236" s="28">
        <v>0</v>
      </c>
      <c r="O236" s="28">
        <v>0</v>
      </c>
      <c r="P236" s="27">
        <f t="shared" si="24"/>
        <v>3526686.3599999994</v>
      </c>
    </row>
    <row r="237" spans="1:16" s="13" customFormat="1" ht="135">
      <c r="A237" s="34"/>
      <c r="B237" s="35"/>
      <c r="C237" s="36"/>
      <c r="D237" s="96" t="s">
        <v>518</v>
      </c>
      <c r="E237" s="63">
        <f>F237+I237</f>
        <v>3526686.3599999994</v>
      </c>
      <c r="F237" s="28">
        <f>F236</f>
        <v>3526686.3599999994</v>
      </c>
      <c r="G237" s="28"/>
      <c r="H237" s="28"/>
      <c r="I237" s="28"/>
      <c r="J237" s="63">
        <f>K237+N237</f>
        <v>0</v>
      </c>
      <c r="K237" s="28"/>
      <c r="L237" s="28"/>
      <c r="M237" s="28"/>
      <c r="N237" s="28"/>
      <c r="O237" s="28"/>
      <c r="P237" s="27">
        <f t="shared" si="24"/>
        <v>3526686.3599999994</v>
      </c>
    </row>
    <row r="238" spans="1:16" s="13" customFormat="1" ht="345">
      <c r="A238" s="131" t="s">
        <v>441</v>
      </c>
      <c r="B238" s="133" t="s">
        <v>228</v>
      </c>
      <c r="C238" s="124" t="s">
        <v>186</v>
      </c>
      <c r="D238" s="111" t="s">
        <v>482</v>
      </c>
      <c r="E238" s="130">
        <f>F238+I238</f>
        <v>301969.41</v>
      </c>
      <c r="F238" s="138">
        <f>671000+10062.99-379093.58</f>
        <v>301969.41</v>
      </c>
      <c r="G238" s="138">
        <v>0</v>
      </c>
      <c r="H238" s="138">
        <v>0</v>
      </c>
      <c r="I238" s="138">
        <v>0</v>
      </c>
      <c r="J238" s="130">
        <f>K238+N238</f>
        <v>0</v>
      </c>
      <c r="K238" s="138">
        <v>0</v>
      </c>
      <c r="L238" s="138">
        <v>0</v>
      </c>
      <c r="M238" s="138">
        <v>0</v>
      </c>
      <c r="N238" s="138">
        <v>0</v>
      </c>
      <c r="O238" s="138">
        <v>0</v>
      </c>
      <c r="P238" s="144">
        <f t="shared" si="24"/>
        <v>301969.41</v>
      </c>
    </row>
    <row r="239" spans="1:16" s="13" customFormat="1" ht="409.5">
      <c r="A239" s="132"/>
      <c r="B239" s="134"/>
      <c r="C239" s="125"/>
      <c r="D239" s="114" t="s">
        <v>483</v>
      </c>
      <c r="E239" s="130"/>
      <c r="F239" s="138"/>
      <c r="G239" s="138"/>
      <c r="H239" s="138"/>
      <c r="I239" s="138"/>
      <c r="J239" s="130"/>
      <c r="K239" s="138"/>
      <c r="L239" s="138"/>
      <c r="M239" s="138"/>
      <c r="N239" s="138"/>
      <c r="O239" s="138"/>
      <c r="P239" s="144"/>
    </row>
    <row r="240" spans="1:16" s="13" customFormat="1" ht="135">
      <c r="A240" s="38"/>
      <c r="B240" s="39"/>
      <c r="C240" s="40"/>
      <c r="D240" s="96" t="s">
        <v>518</v>
      </c>
      <c r="E240" s="63">
        <f>F240+I240</f>
        <v>301969.41</v>
      </c>
      <c r="F240" s="112">
        <f>F238</f>
        <v>301969.41</v>
      </c>
      <c r="G240" s="112"/>
      <c r="H240" s="112"/>
      <c r="I240" s="112"/>
      <c r="J240" s="63">
        <f>K240+N240</f>
        <v>0</v>
      </c>
      <c r="K240" s="112"/>
      <c r="L240" s="112"/>
      <c r="M240" s="112"/>
      <c r="N240" s="112"/>
      <c r="O240" s="112"/>
      <c r="P240" s="113">
        <f>E240+J240</f>
        <v>301969.41</v>
      </c>
    </row>
    <row r="241" spans="1:16" s="13" customFormat="1" ht="105">
      <c r="A241" s="24" t="s">
        <v>442</v>
      </c>
      <c r="B241" s="25" t="s">
        <v>229</v>
      </c>
      <c r="C241" s="26" t="s">
        <v>189</v>
      </c>
      <c r="D241" s="79" t="s">
        <v>230</v>
      </c>
      <c r="E241" s="63">
        <f aca="true" t="shared" si="28" ref="E241:E272">F241+I241</f>
        <v>360647.31</v>
      </c>
      <c r="F241" s="28">
        <f>716000+10858.39-366211.08</f>
        <v>360647.31</v>
      </c>
      <c r="G241" s="28">
        <v>0</v>
      </c>
      <c r="H241" s="28">
        <v>0</v>
      </c>
      <c r="I241" s="28">
        <v>0</v>
      </c>
      <c r="J241" s="63">
        <f aca="true" t="shared" si="29" ref="J241:J278">K241+N241</f>
        <v>0</v>
      </c>
      <c r="K241" s="28">
        <v>0</v>
      </c>
      <c r="L241" s="28">
        <v>0</v>
      </c>
      <c r="M241" s="28">
        <v>0</v>
      </c>
      <c r="N241" s="28">
        <v>0</v>
      </c>
      <c r="O241" s="28">
        <v>0</v>
      </c>
      <c r="P241" s="27">
        <f t="shared" si="24"/>
        <v>360647.31</v>
      </c>
    </row>
    <row r="242" spans="1:16" s="13" customFormat="1" ht="135">
      <c r="A242" s="24"/>
      <c r="B242" s="25"/>
      <c r="C242" s="26"/>
      <c r="D242" s="96" t="s">
        <v>518</v>
      </c>
      <c r="E242" s="63">
        <f t="shared" si="28"/>
        <v>360647.31</v>
      </c>
      <c r="F242" s="28">
        <f>F241</f>
        <v>360647.31</v>
      </c>
      <c r="G242" s="28"/>
      <c r="H242" s="28"/>
      <c r="I242" s="28"/>
      <c r="J242" s="63">
        <f t="shared" si="29"/>
        <v>0</v>
      </c>
      <c r="K242" s="28"/>
      <c r="L242" s="28"/>
      <c r="M242" s="28"/>
      <c r="N242" s="28"/>
      <c r="O242" s="28"/>
      <c r="P242" s="27">
        <f t="shared" si="24"/>
        <v>360647.31</v>
      </c>
    </row>
    <row r="243" spans="1:16" s="13" customFormat="1" ht="30">
      <c r="A243" s="24" t="s">
        <v>444</v>
      </c>
      <c r="B243" s="25" t="s">
        <v>232</v>
      </c>
      <c r="C243" s="26" t="s">
        <v>189</v>
      </c>
      <c r="D243" s="79" t="s">
        <v>233</v>
      </c>
      <c r="E243" s="63">
        <f t="shared" si="28"/>
        <v>240392.02000000002</v>
      </c>
      <c r="F243" s="28">
        <f>510000+8169.96-277777.94</f>
        <v>240392.02000000002</v>
      </c>
      <c r="G243" s="28">
        <v>0</v>
      </c>
      <c r="H243" s="28">
        <v>0</v>
      </c>
      <c r="I243" s="28">
        <v>0</v>
      </c>
      <c r="J243" s="63">
        <f t="shared" si="29"/>
        <v>0</v>
      </c>
      <c r="K243" s="28">
        <v>0</v>
      </c>
      <c r="L243" s="28">
        <v>0</v>
      </c>
      <c r="M243" s="28">
        <v>0</v>
      </c>
      <c r="N243" s="28">
        <v>0</v>
      </c>
      <c r="O243" s="28">
        <v>0</v>
      </c>
      <c r="P243" s="27">
        <f t="shared" si="24"/>
        <v>240392.02000000002</v>
      </c>
    </row>
    <row r="244" spans="1:16" s="13" customFormat="1" ht="135">
      <c r="A244" s="24"/>
      <c r="B244" s="25"/>
      <c r="C244" s="26"/>
      <c r="D244" s="96" t="s">
        <v>518</v>
      </c>
      <c r="E244" s="63">
        <f t="shared" si="28"/>
        <v>240392.02000000002</v>
      </c>
      <c r="F244" s="28">
        <f>F243</f>
        <v>240392.02000000002</v>
      </c>
      <c r="G244" s="28"/>
      <c r="H244" s="28"/>
      <c r="I244" s="28"/>
      <c r="J244" s="63">
        <f t="shared" si="29"/>
        <v>0</v>
      </c>
      <c r="K244" s="28"/>
      <c r="L244" s="28"/>
      <c r="M244" s="28"/>
      <c r="N244" s="28"/>
      <c r="O244" s="28"/>
      <c r="P244" s="27">
        <f t="shared" si="24"/>
        <v>240392.02000000002</v>
      </c>
    </row>
    <row r="245" spans="1:16" s="13" customFormat="1" ht="45">
      <c r="A245" s="24" t="s">
        <v>445</v>
      </c>
      <c r="B245" s="25" t="s">
        <v>234</v>
      </c>
      <c r="C245" s="26" t="s">
        <v>226</v>
      </c>
      <c r="D245" s="79" t="s">
        <v>235</v>
      </c>
      <c r="E245" s="63">
        <f t="shared" si="28"/>
        <v>87515968</v>
      </c>
      <c r="F245" s="28">
        <f>79171600-144770.19+8489138.19</f>
        <v>87515968</v>
      </c>
      <c r="G245" s="28">
        <v>0</v>
      </c>
      <c r="H245" s="28">
        <v>0</v>
      </c>
      <c r="I245" s="28">
        <v>0</v>
      </c>
      <c r="J245" s="63">
        <f t="shared" si="29"/>
        <v>0</v>
      </c>
      <c r="K245" s="28">
        <v>0</v>
      </c>
      <c r="L245" s="28">
        <v>0</v>
      </c>
      <c r="M245" s="28">
        <v>0</v>
      </c>
      <c r="N245" s="28">
        <v>0</v>
      </c>
      <c r="O245" s="28">
        <v>0</v>
      </c>
      <c r="P245" s="27">
        <f t="shared" si="24"/>
        <v>87515968</v>
      </c>
    </row>
    <row r="246" spans="1:16" s="13" customFormat="1" ht="135">
      <c r="A246" s="24"/>
      <c r="B246" s="25"/>
      <c r="C246" s="26"/>
      <c r="D246" s="96" t="s">
        <v>518</v>
      </c>
      <c r="E246" s="63">
        <f t="shared" si="28"/>
        <v>87515968</v>
      </c>
      <c r="F246" s="28">
        <f>F245</f>
        <v>87515968</v>
      </c>
      <c r="G246" s="28"/>
      <c r="H246" s="28"/>
      <c r="I246" s="28"/>
      <c r="J246" s="63">
        <f t="shared" si="29"/>
        <v>0</v>
      </c>
      <c r="K246" s="28"/>
      <c r="L246" s="28"/>
      <c r="M246" s="28"/>
      <c r="N246" s="28"/>
      <c r="O246" s="28"/>
      <c r="P246" s="27">
        <f t="shared" si="24"/>
        <v>87515968</v>
      </c>
    </row>
    <row r="247" spans="1:16" s="13" customFormat="1" ht="57">
      <c r="A247" s="18" t="s">
        <v>446</v>
      </c>
      <c r="B247" s="19"/>
      <c r="C247" s="20"/>
      <c r="D247" s="94" t="s">
        <v>236</v>
      </c>
      <c r="E247" s="61">
        <f>F247+I247</f>
        <v>80100</v>
      </c>
      <c r="F247" s="21">
        <f>F248+F250+F252</f>
        <v>80100</v>
      </c>
      <c r="G247" s="21">
        <f>G248+G250+G252</f>
        <v>0</v>
      </c>
      <c r="H247" s="21">
        <f>H248+H250+H252</f>
        <v>0</v>
      </c>
      <c r="I247" s="21">
        <f>I248+I250+I252</f>
        <v>0</v>
      </c>
      <c r="J247" s="61">
        <f>K247+N247</f>
        <v>0</v>
      </c>
      <c r="K247" s="21">
        <f>K248+K250+K252</f>
        <v>0</v>
      </c>
      <c r="L247" s="21">
        <f>L248+L250+L252</f>
        <v>0</v>
      </c>
      <c r="M247" s="21">
        <f>M248+M250+M252</f>
        <v>0</v>
      </c>
      <c r="N247" s="21">
        <f>N248+N250+N252</f>
        <v>0</v>
      </c>
      <c r="O247" s="21">
        <f>O248+O250+O252</f>
        <v>0</v>
      </c>
      <c r="P247" s="21">
        <f t="shared" si="24"/>
        <v>80100</v>
      </c>
    </row>
    <row r="248" spans="1:16" s="13" customFormat="1" ht="225">
      <c r="A248" s="24" t="s">
        <v>447</v>
      </c>
      <c r="B248" s="25" t="s">
        <v>237</v>
      </c>
      <c r="C248" s="26" t="s">
        <v>186</v>
      </c>
      <c r="D248" s="93" t="s">
        <v>487</v>
      </c>
      <c r="E248" s="63">
        <f t="shared" si="28"/>
        <v>8200</v>
      </c>
      <c r="F248" s="28">
        <v>8200</v>
      </c>
      <c r="G248" s="28">
        <v>0</v>
      </c>
      <c r="H248" s="28">
        <v>0</v>
      </c>
      <c r="I248" s="28">
        <v>0</v>
      </c>
      <c r="J248" s="63">
        <f t="shared" si="29"/>
        <v>0</v>
      </c>
      <c r="K248" s="28">
        <v>0</v>
      </c>
      <c r="L248" s="28">
        <v>0</v>
      </c>
      <c r="M248" s="28">
        <v>0</v>
      </c>
      <c r="N248" s="28">
        <v>0</v>
      </c>
      <c r="O248" s="28">
        <v>0</v>
      </c>
      <c r="P248" s="27">
        <f t="shared" si="24"/>
        <v>8200</v>
      </c>
    </row>
    <row r="249" spans="1:16" s="13" customFormat="1" ht="75">
      <c r="A249" s="24"/>
      <c r="B249" s="25"/>
      <c r="C249" s="26"/>
      <c r="D249" s="13" t="s">
        <v>517</v>
      </c>
      <c r="E249" s="63">
        <f t="shared" si="28"/>
        <v>8200</v>
      </c>
      <c r="F249" s="28">
        <f>F248</f>
        <v>8200</v>
      </c>
      <c r="G249" s="28"/>
      <c r="H249" s="28"/>
      <c r="I249" s="28"/>
      <c r="J249" s="63">
        <f t="shared" si="29"/>
        <v>0</v>
      </c>
      <c r="K249" s="28"/>
      <c r="L249" s="28"/>
      <c r="M249" s="28"/>
      <c r="N249" s="28"/>
      <c r="O249" s="28"/>
      <c r="P249" s="27">
        <f t="shared" si="24"/>
        <v>8200</v>
      </c>
    </row>
    <row r="250" spans="1:16" s="13" customFormat="1" ht="45">
      <c r="A250" s="24" t="s">
        <v>448</v>
      </c>
      <c r="B250" s="25" t="s">
        <v>238</v>
      </c>
      <c r="C250" s="26" t="s">
        <v>189</v>
      </c>
      <c r="D250" s="93" t="s">
        <v>239</v>
      </c>
      <c r="E250" s="63">
        <f t="shared" si="28"/>
        <v>1800</v>
      </c>
      <c r="F250" s="28">
        <v>1800</v>
      </c>
      <c r="G250" s="28">
        <v>0</v>
      </c>
      <c r="H250" s="28">
        <v>0</v>
      </c>
      <c r="I250" s="28">
        <v>0</v>
      </c>
      <c r="J250" s="63">
        <f t="shared" si="29"/>
        <v>0</v>
      </c>
      <c r="K250" s="28">
        <v>0</v>
      </c>
      <c r="L250" s="28">
        <v>0</v>
      </c>
      <c r="M250" s="28">
        <v>0</v>
      </c>
      <c r="N250" s="28">
        <v>0</v>
      </c>
      <c r="O250" s="28">
        <v>0</v>
      </c>
      <c r="P250" s="27">
        <f t="shared" si="24"/>
        <v>1800</v>
      </c>
    </row>
    <row r="251" spans="1:16" s="13" customFormat="1" ht="75">
      <c r="A251" s="24"/>
      <c r="B251" s="25"/>
      <c r="C251" s="26"/>
      <c r="D251" s="13" t="s">
        <v>517</v>
      </c>
      <c r="E251" s="63">
        <f t="shared" si="28"/>
        <v>1800</v>
      </c>
      <c r="F251" s="28">
        <f>F250</f>
        <v>1800</v>
      </c>
      <c r="G251" s="28"/>
      <c r="H251" s="28"/>
      <c r="I251" s="28"/>
      <c r="J251" s="63">
        <f t="shared" si="29"/>
        <v>0</v>
      </c>
      <c r="K251" s="28"/>
      <c r="L251" s="28"/>
      <c r="M251" s="28"/>
      <c r="N251" s="28"/>
      <c r="O251" s="28"/>
      <c r="P251" s="27">
        <f t="shared" si="24"/>
        <v>1800</v>
      </c>
    </row>
    <row r="252" spans="1:16" s="13" customFormat="1" ht="60">
      <c r="A252" s="24" t="s">
        <v>449</v>
      </c>
      <c r="B252" s="25" t="s">
        <v>240</v>
      </c>
      <c r="C252" s="26" t="s">
        <v>226</v>
      </c>
      <c r="D252" s="93" t="s">
        <v>241</v>
      </c>
      <c r="E252" s="63">
        <f t="shared" si="28"/>
        <v>70100</v>
      </c>
      <c r="F252" s="28">
        <v>70100</v>
      </c>
      <c r="G252" s="28">
        <v>0</v>
      </c>
      <c r="H252" s="28">
        <v>0</v>
      </c>
      <c r="I252" s="28">
        <v>0</v>
      </c>
      <c r="J252" s="63">
        <f t="shared" si="29"/>
        <v>0</v>
      </c>
      <c r="K252" s="28">
        <v>0</v>
      </c>
      <c r="L252" s="28">
        <v>0</v>
      </c>
      <c r="M252" s="28">
        <v>0</v>
      </c>
      <c r="N252" s="28">
        <v>0</v>
      </c>
      <c r="O252" s="28">
        <v>0</v>
      </c>
      <c r="P252" s="27">
        <f t="shared" si="24"/>
        <v>70100</v>
      </c>
    </row>
    <row r="253" spans="1:16" s="13" customFormat="1" ht="75">
      <c r="A253" s="24"/>
      <c r="B253" s="25"/>
      <c r="C253" s="26"/>
      <c r="D253" s="13" t="s">
        <v>517</v>
      </c>
      <c r="E253" s="63">
        <f t="shared" si="28"/>
        <v>70100</v>
      </c>
      <c r="F253" s="28">
        <f>F252</f>
        <v>70100</v>
      </c>
      <c r="G253" s="28"/>
      <c r="H253" s="28"/>
      <c r="I253" s="28"/>
      <c r="J253" s="63">
        <f t="shared" si="29"/>
        <v>0</v>
      </c>
      <c r="K253" s="28"/>
      <c r="L253" s="28"/>
      <c r="M253" s="28"/>
      <c r="N253" s="28"/>
      <c r="O253" s="28"/>
      <c r="P253" s="27">
        <f t="shared" si="24"/>
        <v>70100</v>
      </c>
    </row>
    <row r="254" spans="1:16" s="13" customFormat="1" ht="57">
      <c r="A254" s="18" t="s">
        <v>450</v>
      </c>
      <c r="B254" s="19"/>
      <c r="C254" s="20"/>
      <c r="D254" s="94" t="s">
        <v>242</v>
      </c>
      <c r="E254" s="61">
        <f>F254+I254</f>
        <v>81460900</v>
      </c>
      <c r="F254" s="21">
        <f>F255+F257+F259+F261+F263+F265+F267+F269+F271</f>
        <v>81460900</v>
      </c>
      <c r="G254" s="21">
        <f>G255+G257+G259+G261+G263+G265+G267+G269+G271</f>
        <v>0</v>
      </c>
      <c r="H254" s="21">
        <f>H255+H257+H259+H261+H263+H265+H267+H269+H271</f>
        <v>0</v>
      </c>
      <c r="I254" s="21">
        <f>I255+I257+I259+I261+I263+I265+I267+I269+I271</f>
        <v>0</v>
      </c>
      <c r="J254" s="61">
        <f>K254+N254</f>
        <v>0</v>
      </c>
      <c r="K254" s="21">
        <f>K255+K257+K259+K261+K263+K265+K267+K269+K271</f>
        <v>0</v>
      </c>
      <c r="L254" s="21">
        <f>L255+L257+L259+L261+L263+L265+L267+L269+L271</f>
        <v>0</v>
      </c>
      <c r="M254" s="21">
        <f>M255+M257+M259+M261+M263+M265+M267+M269+M271</f>
        <v>0</v>
      </c>
      <c r="N254" s="21">
        <f>N255+N257+N259+N261+N263+N265+N267+N269+N271</f>
        <v>0</v>
      </c>
      <c r="O254" s="21">
        <f>O255+O257+O259+O261+O263+O265+O267+O269+O271</f>
        <v>0</v>
      </c>
      <c r="P254" s="21">
        <f t="shared" si="24"/>
        <v>81460900</v>
      </c>
    </row>
    <row r="255" spans="1:16" s="13" customFormat="1" ht="30">
      <c r="A255" s="24" t="s">
        <v>451</v>
      </c>
      <c r="B255" s="25" t="s">
        <v>243</v>
      </c>
      <c r="C255" s="26" t="s">
        <v>57</v>
      </c>
      <c r="D255" s="93" t="s">
        <v>244</v>
      </c>
      <c r="E255" s="63">
        <f t="shared" si="28"/>
        <v>1288100</v>
      </c>
      <c r="F255" s="28">
        <v>1288100</v>
      </c>
      <c r="G255" s="28">
        <v>0</v>
      </c>
      <c r="H255" s="28">
        <v>0</v>
      </c>
      <c r="I255" s="28">
        <v>0</v>
      </c>
      <c r="J255" s="63">
        <f t="shared" si="29"/>
        <v>0</v>
      </c>
      <c r="K255" s="28">
        <v>0</v>
      </c>
      <c r="L255" s="28">
        <v>0</v>
      </c>
      <c r="M255" s="28">
        <v>0</v>
      </c>
      <c r="N255" s="28">
        <v>0</v>
      </c>
      <c r="O255" s="28">
        <v>0</v>
      </c>
      <c r="P255" s="27">
        <f t="shared" si="24"/>
        <v>1288100</v>
      </c>
    </row>
    <row r="256" spans="1:16" s="13" customFormat="1" ht="120">
      <c r="A256" s="24"/>
      <c r="B256" s="25"/>
      <c r="C256" s="26"/>
      <c r="D256" s="13" t="s">
        <v>516</v>
      </c>
      <c r="E256" s="63">
        <f t="shared" si="28"/>
        <v>1288100</v>
      </c>
      <c r="F256" s="28">
        <f>F255</f>
        <v>1288100</v>
      </c>
      <c r="G256" s="28"/>
      <c r="H256" s="28"/>
      <c r="I256" s="28"/>
      <c r="J256" s="63">
        <f t="shared" si="29"/>
        <v>0</v>
      </c>
      <c r="K256" s="28"/>
      <c r="L256" s="28"/>
      <c r="M256" s="28"/>
      <c r="N256" s="28"/>
      <c r="O256" s="28"/>
      <c r="P256" s="27">
        <f t="shared" si="24"/>
        <v>1288100</v>
      </c>
    </row>
    <row r="257" spans="1:16" s="13" customFormat="1" ht="30">
      <c r="A257" s="24" t="s">
        <v>452</v>
      </c>
      <c r="B257" s="25" t="s">
        <v>245</v>
      </c>
      <c r="C257" s="26" t="s">
        <v>57</v>
      </c>
      <c r="D257" s="93" t="s">
        <v>552</v>
      </c>
      <c r="E257" s="63">
        <f t="shared" si="28"/>
        <v>528900</v>
      </c>
      <c r="F257" s="28">
        <v>528900</v>
      </c>
      <c r="G257" s="28">
        <v>0</v>
      </c>
      <c r="H257" s="28">
        <v>0</v>
      </c>
      <c r="I257" s="28">
        <v>0</v>
      </c>
      <c r="J257" s="63">
        <f t="shared" si="29"/>
        <v>0</v>
      </c>
      <c r="K257" s="28">
        <v>0</v>
      </c>
      <c r="L257" s="28">
        <v>0</v>
      </c>
      <c r="M257" s="28">
        <v>0</v>
      </c>
      <c r="N257" s="28">
        <v>0</v>
      </c>
      <c r="O257" s="28">
        <v>0</v>
      </c>
      <c r="P257" s="27">
        <f t="shared" si="24"/>
        <v>528900</v>
      </c>
    </row>
    <row r="258" spans="1:16" s="13" customFormat="1" ht="120">
      <c r="A258" s="24"/>
      <c r="B258" s="25"/>
      <c r="C258" s="26"/>
      <c r="D258" s="13" t="s">
        <v>516</v>
      </c>
      <c r="E258" s="63">
        <f t="shared" si="28"/>
        <v>528900</v>
      </c>
      <c r="F258" s="28">
        <f>F257</f>
        <v>528900</v>
      </c>
      <c r="G258" s="28"/>
      <c r="H258" s="28"/>
      <c r="I258" s="28"/>
      <c r="J258" s="63">
        <f t="shared" si="29"/>
        <v>0</v>
      </c>
      <c r="K258" s="28"/>
      <c r="L258" s="28"/>
      <c r="M258" s="28"/>
      <c r="N258" s="28"/>
      <c r="O258" s="28"/>
      <c r="P258" s="27">
        <f t="shared" si="24"/>
        <v>528900</v>
      </c>
    </row>
    <row r="259" spans="1:16" s="13" customFormat="1" ht="15">
      <c r="A259" s="24" t="s">
        <v>453</v>
      </c>
      <c r="B259" s="25" t="s">
        <v>246</v>
      </c>
      <c r="C259" s="26" t="s">
        <v>57</v>
      </c>
      <c r="D259" s="93" t="s">
        <v>247</v>
      </c>
      <c r="E259" s="63">
        <f t="shared" si="28"/>
        <v>41404150</v>
      </c>
      <c r="F259" s="28">
        <v>41404150</v>
      </c>
      <c r="G259" s="28">
        <v>0</v>
      </c>
      <c r="H259" s="28">
        <v>0</v>
      </c>
      <c r="I259" s="28">
        <v>0</v>
      </c>
      <c r="J259" s="63">
        <f t="shared" si="29"/>
        <v>0</v>
      </c>
      <c r="K259" s="28">
        <v>0</v>
      </c>
      <c r="L259" s="28">
        <v>0</v>
      </c>
      <c r="M259" s="28">
        <v>0</v>
      </c>
      <c r="N259" s="28">
        <v>0</v>
      </c>
      <c r="O259" s="28">
        <v>0</v>
      </c>
      <c r="P259" s="27">
        <f t="shared" si="24"/>
        <v>41404150</v>
      </c>
    </row>
    <row r="260" spans="1:16" s="13" customFormat="1" ht="120">
      <c r="A260" s="24"/>
      <c r="B260" s="25"/>
      <c r="C260" s="26"/>
      <c r="D260" s="13" t="s">
        <v>516</v>
      </c>
      <c r="E260" s="63">
        <f t="shared" si="28"/>
        <v>41404150</v>
      </c>
      <c r="F260" s="28">
        <f>F259</f>
        <v>41404150</v>
      </c>
      <c r="G260" s="28"/>
      <c r="H260" s="28"/>
      <c r="I260" s="28"/>
      <c r="J260" s="63">
        <f t="shared" si="29"/>
        <v>0</v>
      </c>
      <c r="K260" s="28"/>
      <c r="L260" s="28"/>
      <c r="M260" s="28"/>
      <c r="N260" s="28"/>
      <c r="O260" s="28"/>
      <c r="P260" s="27">
        <f t="shared" si="24"/>
        <v>41404150</v>
      </c>
    </row>
    <row r="261" spans="1:16" s="13" customFormat="1" ht="30">
      <c r="A261" s="24" t="s">
        <v>454</v>
      </c>
      <c r="B261" s="25" t="s">
        <v>248</v>
      </c>
      <c r="C261" s="26" t="s">
        <v>57</v>
      </c>
      <c r="D261" s="93" t="s">
        <v>249</v>
      </c>
      <c r="E261" s="63">
        <f t="shared" si="28"/>
        <v>5000100</v>
      </c>
      <c r="F261" s="28">
        <v>5000100</v>
      </c>
      <c r="G261" s="28">
        <v>0</v>
      </c>
      <c r="H261" s="28">
        <v>0</v>
      </c>
      <c r="I261" s="28">
        <v>0</v>
      </c>
      <c r="J261" s="63">
        <f t="shared" si="29"/>
        <v>0</v>
      </c>
      <c r="K261" s="28">
        <v>0</v>
      </c>
      <c r="L261" s="28">
        <v>0</v>
      </c>
      <c r="M261" s="28">
        <v>0</v>
      </c>
      <c r="N261" s="28">
        <v>0</v>
      </c>
      <c r="O261" s="28">
        <v>0</v>
      </c>
      <c r="P261" s="27">
        <f t="shared" si="24"/>
        <v>5000100</v>
      </c>
    </row>
    <row r="262" spans="1:16" s="13" customFormat="1" ht="120">
      <c r="A262" s="24"/>
      <c r="B262" s="25"/>
      <c r="C262" s="26"/>
      <c r="D262" s="13" t="s">
        <v>516</v>
      </c>
      <c r="E262" s="63">
        <f t="shared" si="28"/>
        <v>5000100</v>
      </c>
      <c r="F262" s="28">
        <f>F261</f>
        <v>5000100</v>
      </c>
      <c r="G262" s="28"/>
      <c r="H262" s="28"/>
      <c r="I262" s="28"/>
      <c r="J262" s="63">
        <f t="shared" si="29"/>
        <v>0</v>
      </c>
      <c r="K262" s="28"/>
      <c r="L262" s="28"/>
      <c r="M262" s="28"/>
      <c r="N262" s="28"/>
      <c r="O262" s="28"/>
      <c r="P262" s="27">
        <f t="shared" si="24"/>
        <v>5000100</v>
      </c>
    </row>
    <row r="263" spans="1:16" s="13" customFormat="1" ht="30">
      <c r="A263" s="24" t="s">
        <v>455</v>
      </c>
      <c r="B263" s="25" t="s">
        <v>250</v>
      </c>
      <c r="C263" s="26" t="s">
        <v>57</v>
      </c>
      <c r="D263" s="93" t="s">
        <v>251</v>
      </c>
      <c r="E263" s="63">
        <f t="shared" si="28"/>
        <v>12001500</v>
      </c>
      <c r="F263" s="28">
        <v>12001500</v>
      </c>
      <c r="G263" s="28">
        <v>0</v>
      </c>
      <c r="H263" s="28">
        <v>0</v>
      </c>
      <c r="I263" s="28">
        <v>0</v>
      </c>
      <c r="J263" s="63">
        <f t="shared" si="29"/>
        <v>0</v>
      </c>
      <c r="K263" s="28">
        <v>0</v>
      </c>
      <c r="L263" s="28">
        <v>0</v>
      </c>
      <c r="M263" s="28">
        <v>0</v>
      </c>
      <c r="N263" s="28">
        <v>0</v>
      </c>
      <c r="O263" s="28">
        <v>0</v>
      </c>
      <c r="P263" s="27">
        <f t="shared" si="24"/>
        <v>12001500</v>
      </c>
    </row>
    <row r="264" spans="1:16" s="13" customFormat="1" ht="120">
      <c r="A264" s="24"/>
      <c r="B264" s="25"/>
      <c r="C264" s="26"/>
      <c r="D264" s="13" t="s">
        <v>516</v>
      </c>
      <c r="E264" s="63">
        <f t="shared" si="28"/>
        <v>12001500</v>
      </c>
      <c r="F264" s="28">
        <f>F263</f>
        <v>12001500</v>
      </c>
      <c r="G264" s="28"/>
      <c r="H264" s="28"/>
      <c r="I264" s="28"/>
      <c r="J264" s="63">
        <f t="shared" si="29"/>
        <v>0</v>
      </c>
      <c r="K264" s="28"/>
      <c r="L264" s="28"/>
      <c r="M264" s="28"/>
      <c r="N264" s="28"/>
      <c r="O264" s="28"/>
      <c r="P264" s="27">
        <f t="shared" si="24"/>
        <v>12001500</v>
      </c>
    </row>
    <row r="265" spans="1:16" s="13" customFormat="1" ht="30">
      <c r="A265" s="24" t="s">
        <v>456</v>
      </c>
      <c r="B265" s="25" t="s">
        <v>252</v>
      </c>
      <c r="C265" s="26" t="s">
        <v>57</v>
      </c>
      <c r="D265" s="93" t="s">
        <v>253</v>
      </c>
      <c r="E265" s="63">
        <f t="shared" si="28"/>
        <v>501000</v>
      </c>
      <c r="F265" s="28">
        <v>501000</v>
      </c>
      <c r="G265" s="28">
        <v>0</v>
      </c>
      <c r="H265" s="28">
        <v>0</v>
      </c>
      <c r="I265" s="28">
        <v>0</v>
      </c>
      <c r="J265" s="63">
        <f t="shared" si="29"/>
        <v>0</v>
      </c>
      <c r="K265" s="28">
        <v>0</v>
      </c>
      <c r="L265" s="28">
        <v>0</v>
      </c>
      <c r="M265" s="28">
        <v>0</v>
      </c>
      <c r="N265" s="28">
        <v>0</v>
      </c>
      <c r="O265" s="28">
        <v>0</v>
      </c>
      <c r="P265" s="27">
        <f t="shared" si="24"/>
        <v>501000</v>
      </c>
    </row>
    <row r="266" spans="1:16" s="13" customFormat="1" ht="120">
      <c r="A266" s="24"/>
      <c r="B266" s="25"/>
      <c r="C266" s="26"/>
      <c r="D266" s="13" t="s">
        <v>516</v>
      </c>
      <c r="E266" s="63">
        <f t="shared" si="28"/>
        <v>501000</v>
      </c>
      <c r="F266" s="28">
        <f>F265</f>
        <v>501000</v>
      </c>
      <c r="G266" s="28"/>
      <c r="H266" s="28"/>
      <c r="I266" s="28"/>
      <c r="J266" s="63">
        <f t="shared" si="29"/>
        <v>0</v>
      </c>
      <c r="K266" s="28"/>
      <c r="L266" s="28"/>
      <c r="M266" s="28"/>
      <c r="N266" s="28"/>
      <c r="O266" s="28"/>
      <c r="P266" s="27">
        <f t="shared" si="24"/>
        <v>501000</v>
      </c>
    </row>
    <row r="267" spans="1:16" s="13" customFormat="1" ht="15">
      <c r="A267" s="24" t="s">
        <v>457</v>
      </c>
      <c r="B267" s="25" t="s">
        <v>254</v>
      </c>
      <c r="C267" s="26" t="s">
        <v>57</v>
      </c>
      <c r="D267" s="93" t="s">
        <v>255</v>
      </c>
      <c r="E267" s="63">
        <f t="shared" si="28"/>
        <v>220100</v>
      </c>
      <c r="F267" s="28">
        <v>220100</v>
      </c>
      <c r="G267" s="28">
        <v>0</v>
      </c>
      <c r="H267" s="28">
        <v>0</v>
      </c>
      <c r="I267" s="28">
        <v>0</v>
      </c>
      <c r="J267" s="63">
        <f t="shared" si="29"/>
        <v>0</v>
      </c>
      <c r="K267" s="28">
        <v>0</v>
      </c>
      <c r="L267" s="28">
        <v>0</v>
      </c>
      <c r="M267" s="28">
        <v>0</v>
      </c>
      <c r="N267" s="28">
        <v>0</v>
      </c>
      <c r="O267" s="28">
        <v>0</v>
      </c>
      <c r="P267" s="27">
        <f t="shared" si="24"/>
        <v>220100</v>
      </c>
    </row>
    <row r="268" spans="1:16" s="13" customFormat="1" ht="120">
      <c r="A268" s="24"/>
      <c r="B268" s="25"/>
      <c r="C268" s="26"/>
      <c r="D268" s="13" t="s">
        <v>516</v>
      </c>
      <c r="E268" s="63">
        <f t="shared" si="28"/>
        <v>220100</v>
      </c>
      <c r="F268" s="28">
        <f>F267</f>
        <v>220100</v>
      </c>
      <c r="G268" s="28"/>
      <c r="H268" s="28"/>
      <c r="I268" s="28"/>
      <c r="J268" s="63">
        <f t="shared" si="29"/>
        <v>0</v>
      </c>
      <c r="K268" s="28"/>
      <c r="L268" s="28"/>
      <c r="M268" s="28"/>
      <c r="N268" s="28"/>
      <c r="O268" s="28"/>
      <c r="P268" s="27">
        <f t="shared" si="24"/>
        <v>220100</v>
      </c>
    </row>
    <row r="269" spans="1:16" s="13" customFormat="1" ht="30">
      <c r="A269" s="24" t="s">
        <v>458</v>
      </c>
      <c r="B269" s="25" t="s">
        <v>256</v>
      </c>
      <c r="C269" s="26" t="s">
        <v>57</v>
      </c>
      <c r="D269" s="93" t="s">
        <v>257</v>
      </c>
      <c r="E269" s="63">
        <f t="shared" si="28"/>
        <v>7500200</v>
      </c>
      <c r="F269" s="28">
        <v>7500200</v>
      </c>
      <c r="G269" s="28">
        <v>0</v>
      </c>
      <c r="H269" s="28">
        <v>0</v>
      </c>
      <c r="I269" s="28">
        <v>0</v>
      </c>
      <c r="J269" s="63">
        <f t="shared" si="29"/>
        <v>0</v>
      </c>
      <c r="K269" s="28">
        <v>0</v>
      </c>
      <c r="L269" s="28">
        <v>0</v>
      </c>
      <c r="M269" s="28">
        <v>0</v>
      </c>
      <c r="N269" s="28">
        <v>0</v>
      </c>
      <c r="O269" s="28">
        <v>0</v>
      </c>
      <c r="P269" s="27">
        <f t="shared" si="24"/>
        <v>7500200</v>
      </c>
    </row>
    <row r="270" spans="1:16" s="13" customFormat="1" ht="120">
      <c r="A270" s="24"/>
      <c r="B270" s="25"/>
      <c r="C270" s="26"/>
      <c r="D270" s="13" t="s">
        <v>516</v>
      </c>
      <c r="E270" s="63">
        <f t="shared" si="28"/>
        <v>7500200</v>
      </c>
      <c r="F270" s="28">
        <f>F269</f>
        <v>7500200</v>
      </c>
      <c r="G270" s="28"/>
      <c r="H270" s="28"/>
      <c r="I270" s="28"/>
      <c r="J270" s="63">
        <f t="shared" si="29"/>
        <v>0</v>
      </c>
      <c r="K270" s="28"/>
      <c r="L270" s="28"/>
      <c r="M270" s="28"/>
      <c r="N270" s="28"/>
      <c r="O270" s="28"/>
      <c r="P270" s="27">
        <f t="shared" si="24"/>
        <v>7500200</v>
      </c>
    </row>
    <row r="271" spans="1:16" s="13" customFormat="1" ht="30">
      <c r="A271" s="24" t="s">
        <v>459</v>
      </c>
      <c r="B271" s="25" t="s">
        <v>258</v>
      </c>
      <c r="C271" s="26" t="s">
        <v>49</v>
      </c>
      <c r="D271" s="93" t="s">
        <v>259</v>
      </c>
      <c r="E271" s="63">
        <f t="shared" si="28"/>
        <v>13016850</v>
      </c>
      <c r="F271" s="28">
        <v>13016850</v>
      </c>
      <c r="G271" s="28">
        <v>0</v>
      </c>
      <c r="H271" s="28">
        <v>0</v>
      </c>
      <c r="I271" s="28">
        <v>0</v>
      </c>
      <c r="J271" s="63">
        <f t="shared" si="29"/>
        <v>0</v>
      </c>
      <c r="K271" s="28">
        <v>0</v>
      </c>
      <c r="L271" s="28">
        <v>0</v>
      </c>
      <c r="M271" s="28">
        <v>0</v>
      </c>
      <c r="N271" s="28">
        <v>0</v>
      </c>
      <c r="O271" s="28">
        <v>0</v>
      </c>
      <c r="P271" s="27">
        <f t="shared" si="24"/>
        <v>13016850</v>
      </c>
    </row>
    <row r="272" spans="1:16" s="13" customFormat="1" ht="120">
      <c r="A272" s="24"/>
      <c r="B272" s="25"/>
      <c r="C272" s="26"/>
      <c r="D272" s="13" t="s">
        <v>516</v>
      </c>
      <c r="E272" s="63">
        <f t="shared" si="28"/>
        <v>13016850</v>
      </c>
      <c r="F272" s="28">
        <f>F271</f>
        <v>13016850</v>
      </c>
      <c r="G272" s="28"/>
      <c r="H272" s="28"/>
      <c r="I272" s="28"/>
      <c r="J272" s="63">
        <f t="shared" si="29"/>
        <v>0</v>
      </c>
      <c r="K272" s="28"/>
      <c r="L272" s="28"/>
      <c r="M272" s="28"/>
      <c r="N272" s="28"/>
      <c r="O272" s="28"/>
      <c r="P272" s="27">
        <f t="shared" si="24"/>
        <v>13016850</v>
      </c>
    </row>
    <row r="273" spans="1:16" s="13" customFormat="1" ht="42.75">
      <c r="A273" s="5" t="s">
        <v>460</v>
      </c>
      <c r="B273" s="7" t="s">
        <v>260</v>
      </c>
      <c r="C273" s="6" t="s">
        <v>49</v>
      </c>
      <c r="D273" s="77" t="s">
        <v>553</v>
      </c>
      <c r="E273" s="62">
        <f aca="true" t="shared" si="30" ref="E273:E278">F273+I273</f>
        <v>4008000</v>
      </c>
      <c r="F273" s="23">
        <v>4008000</v>
      </c>
      <c r="G273" s="23">
        <v>0</v>
      </c>
      <c r="H273" s="23">
        <v>0</v>
      </c>
      <c r="I273" s="23">
        <v>0</v>
      </c>
      <c r="J273" s="62">
        <f t="shared" si="29"/>
        <v>0</v>
      </c>
      <c r="K273" s="23">
        <v>0</v>
      </c>
      <c r="L273" s="23">
        <v>0</v>
      </c>
      <c r="M273" s="23">
        <v>0</v>
      </c>
      <c r="N273" s="23">
        <v>0</v>
      </c>
      <c r="O273" s="23">
        <v>0</v>
      </c>
      <c r="P273" s="22">
        <f t="shared" si="24"/>
        <v>4008000</v>
      </c>
    </row>
    <row r="274" spans="1:16" s="13" customFormat="1" ht="120">
      <c r="A274" s="24"/>
      <c r="B274" s="25"/>
      <c r="C274" s="26"/>
      <c r="D274" s="13" t="s">
        <v>516</v>
      </c>
      <c r="E274" s="63">
        <f t="shared" si="30"/>
        <v>4008000</v>
      </c>
      <c r="F274" s="28">
        <f>F273</f>
        <v>4008000</v>
      </c>
      <c r="G274" s="28"/>
      <c r="H274" s="28"/>
      <c r="I274" s="28"/>
      <c r="J274" s="63">
        <f t="shared" si="29"/>
        <v>0</v>
      </c>
      <c r="K274" s="28"/>
      <c r="L274" s="28"/>
      <c r="M274" s="28"/>
      <c r="N274" s="28"/>
      <c r="O274" s="28"/>
      <c r="P274" s="27">
        <f t="shared" si="24"/>
        <v>4008000</v>
      </c>
    </row>
    <row r="275" spans="1:16" s="13" customFormat="1" ht="48.75" customHeight="1">
      <c r="A275" s="18" t="s">
        <v>461</v>
      </c>
      <c r="B275" s="19"/>
      <c r="C275" s="20"/>
      <c r="D275" s="78" t="s">
        <v>261</v>
      </c>
      <c r="E275" s="61">
        <f t="shared" si="30"/>
        <v>5778500</v>
      </c>
      <c r="F275" s="21">
        <f>F276</f>
        <v>5778500</v>
      </c>
      <c r="G275" s="21">
        <f>G276</f>
        <v>4270080</v>
      </c>
      <c r="H275" s="21">
        <f>H276</f>
        <v>367000</v>
      </c>
      <c r="I275" s="21">
        <f>I276</f>
        <v>0</v>
      </c>
      <c r="J275" s="61">
        <f t="shared" si="29"/>
        <v>55000</v>
      </c>
      <c r="K275" s="21">
        <f>K276</f>
        <v>55000</v>
      </c>
      <c r="L275" s="21">
        <f>L276</f>
        <v>38900</v>
      </c>
      <c r="M275" s="21">
        <f>M276</f>
        <v>0</v>
      </c>
      <c r="N275" s="21">
        <f>N276</f>
        <v>0</v>
      </c>
      <c r="O275" s="21">
        <f>O276</f>
        <v>0</v>
      </c>
      <c r="P275" s="21">
        <f t="shared" si="24"/>
        <v>5833500</v>
      </c>
    </row>
    <row r="276" spans="1:16" s="13" customFormat="1" ht="61.5" customHeight="1">
      <c r="A276" s="24" t="s">
        <v>462</v>
      </c>
      <c r="B276" s="25" t="s">
        <v>262</v>
      </c>
      <c r="C276" s="26" t="s">
        <v>53</v>
      </c>
      <c r="D276" s="79" t="s">
        <v>263</v>
      </c>
      <c r="E276" s="63">
        <f t="shared" si="30"/>
        <v>5778500</v>
      </c>
      <c r="F276" s="28">
        <v>5778500</v>
      </c>
      <c r="G276" s="28">
        <v>4270080</v>
      </c>
      <c r="H276" s="28">
        <v>367000</v>
      </c>
      <c r="I276" s="28">
        <v>0</v>
      </c>
      <c r="J276" s="63">
        <f t="shared" si="29"/>
        <v>55000</v>
      </c>
      <c r="K276" s="28">
        <v>55000</v>
      </c>
      <c r="L276" s="28">
        <v>38900</v>
      </c>
      <c r="M276" s="28">
        <v>0</v>
      </c>
      <c r="N276" s="28">
        <v>0</v>
      </c>
      <c r="O276" s="28">
        <v>0</v>
      </c>
      <c r="P276" s="27">
        <f t="shared" si="24"/>
        <v>5833500</v>
      </c>
    </row>
    <row r="277" spans="1:16" s="13" customFormat="1" ht="85.5">
      <c r="A277" s="18" t="s">
        <v>463</v>
      </c>
      <c r="B277" s="19"/>
      <c r="C277" s="20"/>
      <c r="D277" s="78" t="s">
        <v>264</v>
      </c>
      <c r="E277" s="61">
        <f t="shared" si="30"/>
        <v>322700</v>
      </c>
      <c r="F277" s="21">
        <f>F278</f>
        <v>322700</v>
      </c>
      <c r="G277" s="21">
        <f>G278</f>
        <v>0</v>
      </c>
      <c r="H277" s="21">
        <f>H278</f>
        <v>0</v>
      </c>
      <c r="I277" s="21">
        <f>I278</f>
        <v>0</v>
      </c>
      <c r="J277" s="61">
        <f t="shared" si="29"/>
        <v>0</v>
      </c>
      <c r="K277" s="21">
        <f>K278</f>
        <v>0</v>
      </c>
      <c r="L277" s="21">
        <f>L278</f>
        <v>0</v>
      </c>
      <c r="M277" s="21">
        <f>M278</f>
        <v>0</v>
      </c>
      <c r="N277" s="21">
        <f>N278</f>
        <v>0</v>
      </c>
      <c r="O277" s="21">
        <f>O278</f>
        <v>0</v>
      </c>
      <c r="P277" s="21">
        <f t="shared" si="24"/>
        <v>322700</v>
      </c>
    </row>
    <row r="278" spans="1:16" s="13" customFormat="1" ht="84.75" customHeight="1">
      <c r="A278" s="24" t="s">
        <v>464</v>
      </c>
      <c r="B278" s="25" t="s">
        <v>265</v>
      </c>
      <c r="C278" s="26" t="s">
        <v>49</v>
      </c>
      <c r="D278" s="79" t="s">
        <v>266</v>
      </c>
      <c r="E278" s="63">
        <f t="shared" si="30"/>
        <v>322700</v>
      </c>
      <c r="F278" s="28">
        <v>322700</v>
      </c>
      <c r="G278" s="28">
        <v>0</v>
      </c>
      <c r="H278" s="28">
        <v>0</v>
      </c>
      <c r="I278" s="28">
        <v>0</v>
      </c>
      <c r="J278" s="63">
        <f t="shared" si="29"/>
        <v>0</v>
      </c>
      <c r="K278" s="28">
        <v>0</v>
      </c>
      <c r="L278" s="28">
        <v>0</v>
      </c>
      <c r="M278" s="28">
        <v>0</v>
      </c>
      <c r="N278" s="28">
        <v>0</v>
      </c>
      <c r="O278" s="28">
        <v>0</v>
      </c>
      <c r="P278" s="27">
        <f t="shared" si="24"/>
        <v>322700</v>
      </c>
    </row>
    <row r="279" spans="1:16" s="13" customFormat="1" ht="99.75">
      <c r="A279" s="5" t="s">
        <v>465</v>
      </c>
      <c r="B279" s="7" t="s">
        <v>267</v>
      </c>
      <c r="C279" s="6" t="s">
        <v>226</v>
      </c>
      <c r="D279" s="77" t="s">
        <v>268</v>
      </c>
      <c r="E279" s="62">
        <f aca="true" t="shared" si="31" ref="E279:E287">F279+I279</f>
        <v>609600</v>
      </c>
      <c r="F279" s="23">
        <v>609600</v>
      </c>
      <c r="G279" s="23">
        <v>0</v>
      </c>
      <c r="H279" s="23">
        <v>0</v>
      </c>
      <c r="I279" s="23">
        <v>0</v>
      </c>
      <c r="J279" s="62">
        <f aca="true" t="shared" si="32" ref="J279:J287">K279+N279</f>
        <v>0</v>
      </c>
      <c r="K279" s="23">
        <v>0</v>
      </c>
      <c r="L279" s="23">
        <v>0</v>
      </c>
      <c r="M279" s="23">
        <v>0</v>
      </c>
      <c r="N279" s="23">
        <v>0</v>
      </c>
      <c r="O279" s="23">
        <v>0</v>
      </c>
      <c r="P279" s="22">
        <f t="shared" si="24"/>
        <v>609600</v>
      </c>
    </row>
    <row r="280" spans="1:16" s="13" customFormat="1" ht="28.5">
      <c r="A280" s="18" t="s">
        <v>466</v>
      </c>
      <c r="B280" s="19"/>
      <c r="C280" s="20"/>
      <c r="D280" s="78" t="s">
        <v>211</v>
      </c>
      <c r="E280" s="61">
        <f t="shared" si="31"/>
        <v>55000</v>
      </c>
      <c r="F280" s="21">
        <f>F281</f>
        <v>55000</v>
      </c>
      <c r="G280" s="21">
        <f>G281</f>
        <v>0</v>
      </c>
      <c r="H280" s="21">
        <f>H281</f>
        <v>0</v>
      </c>
      <c r="I280" s="21">
        <f>I281</f>
        <v>0</v>
      </c>
      <c r="J280" s="61">
        <f t="shared" si="32"/>
        <v>0</v>
      </c>
      <c r="K280" s="21">
        <f>K281</f>
        <v>0</v>
      </c>
      <c r="L280" s="21">
        <f>L281</f>
        <v>0</v>
      </c>
      <c r="M280" s="21">
        <f>M281</f>
        <v>0</v>
      </c>
      <c r="N280" s="21">
        <f>N281</f>
        <v>0</v>
      </c>
      <c r="O280" s="21">
        <f>O281</f>
        <v>0</v>
      </c>
      <c r="P280" s="21">
        <f t="shared" si="24"/>
        <v>55000</v>
      </c>
    </row>
    <row r="281" spans="1:16" s="13" customFormat="1" ht="60">
      <c r="A281" s="24" t="s">
        <v>467</v>
      </c>
      <c r="B281" s="25" t="s">
        <v>213</v>
      </c>
      <c r="C281" s="26" t="s">
        <v>186</v>
      </c>
      <c r="D281" s="79" t="s">
        <v>214</v>
      </c>
      <c r="E281" s="63">
        <f t="shared" si="31"/>
        <v>55000</v>
      </c>
      <c r="F281" s="28">
        <v>55000</v>
      </c>
      <c r="G281" s="28">
        <v>0</v>
      </c>
      <c r="H281" s="28">
        <v>0</v>
      </c>
      <c r="I281" s="28">
        <v>0</v>
      </c>
      <c r="J281" s="63">
        <f t="shared" si="32"/>
        <v>0</v>
      </c>
      <c r="K281" s="28">
        <v>0</v>
      </c>
      <c r="L281" s="28">
        <v>0</v>
      </c>
      <c r="M281" s="28">
        <v>0</v>
      </c>
      <c r="N281" s="28">
        <v>0</v>
      </c>
      <c r="O281" s="28">
        <v>0</v>
      </c>
      <c r="P281" s="27">
        <f t="shared" si="24"/>
        <v>55000</v>
      </c>
    </row>
    <row r="282" spans="1:16" s="13" customFormat="1" ht="28.5">
      <c r="A282" s="5" t="s">
        <v>468</v>
      </c>
      <c r="B282" s="7" t="s">
        <v>219</v>
      </c>
      <c r="C282" s="6" t="s">
        <v>61</v>
      </c>
      <c r="D282" s="77" t="s">
        <v>220</v>
      </c>
      <c r="E282" s="62">
        <f t="shared" si="31"/>
        <v>15800</v>
      </c>
      <c r="F282" s="23">
        <v>15800</v>
      </c>
      <c r="G282" s="23">
        <v>0</v>
      </c>
      <c r="H282" s="23">
        <v>0</v>
      </c>
      <c r="I282" s="23">
        <v>0</v>
      </c>
      <c r="J282" s="62">
        <f t="shared" si="32"/>
        <v>0</v>
      </c>
      <c r="K282" s="23">
        <v>0</v>
      </c>
      <c r="L282" s="23">
        <v>0</v>
      </c>
      <c r="M282" s="23">
        <v>0</v>
      </c>
      <c r="N282" s="23">
        <v>0</v>
      </c>
      <c r="O282" s="23">
        <v>0</v>
      </c>
      <c r="P282" s="22">
        <f t="shared" si="24"/>
        <v>15800</v>
      </c>
    </row>
    <row r="283" spans="1:16" s="105" customFormat="1" ht="28.5" customHeight="1">
      <c r="A283" s="70" t="s">
        <v>269</v>
      </c>
      <c r="B283" s="71"/>
      <c r="C283" s="72"/>
      <c r="D283" s="76" t="s">
        <v>270</v>
      </c>
      <c r="E283" s="73">
        <f t="shared" si="31"/>
        <v>6743360</v>
      </c>
      <c r="F283" s="74">
        <f>F284+F290+F294+F298</f>
        <v>6743360</v>
      </c>
      <c r="G283" s="74">
        <f>G284+G290+G294+G298</f>
        <v>4214270</v>
      </c>
      <c r="H283" s="74">
        <f>H284+H290+H294+H298</f>
        <v>497707</v>
      </c>
      <c r="I283" s="74">
        <f>I284+I290+I294+I298</f>
        <v>0</v>
      </c>
      <c r="J283" s="73">
        <f t="shared" si="32"/>
        <v>0</v>
      </c>
      <c r="K283" s="74">
        <v>0</v>
      </c>
      <c r="L283" s="74">
        <v>0</v>
      </c>
      <c r="M283" s="74">
        <v>0</v>
      </c>
      <c r="N283" s="74">
        <v>0</v>
      </c>
      <c r="O283" s="74">
        <v>0</v>
      </c>
      <c r="P283" s="74">
        <f t="shared" si="24"/>
        <v>6743360</v>
      </c>
    </row>
    <row r="284" spans="1:16" s="106" customFormat="1" ht="15">
      <c r="A284" s="29" t="s">
        <v>271</v>
      </c>
      <c r="B284" s="30"/>
      <c r="C284" s="31"/>
      <c r="D284" s="82" t="s">
        <v>472</v>
      </c>
      <c r="E284" s="62">
        <f t="shared" si="31"/>
        <v>4590460</v>
      </c>
      <c r="F284" s="22">
        <f>F285+F286+F289</f>
        <v>4590460</v>
      </c>
      <c r="G284" s="22">
        <f>G285+G286+G289</f>
        <v>2619889</v>
      </c>
      <c r="H284" s="22">
        <f>H285+H286+H289</f>
        <v>395230</v>
      </c>
      <c r="I284" s="22">
        <f>I285+I286+I289</f>
        <v>0</v>
      </c>
      <c r="J284" s="62">
        <f t="shared" si="32"/>
        <v>0</v>
      </c>
      <c r="K284" s="22">
        <v>0</v>
      </c>
      <c r="L284" s="22">
        <v>0</v>
      </c>
      <c r="M284" s="22">
        <v>0</v>
      </c>
      <c r="N284" s="22">
        <v>0</v>
      </c>
      <c r="O284" s="22">
        <v>0</v>
      </c>
      <c r="P284" s="22">
        <f t="shared" si="24"/>
        <v>4590460</v>
      </c>
    </row>
    <row r="285" spans="1:16" s="13" customFormat="1" ht="42.75">
      <c r="A285" s="5" t="s">
        <v>272</v>
      </c>
      <c r="B285" s="32" t="s">
        <v>35</v>
      </c>
      <c r="C285" s="32" t="s">
        <v>20</v>
      </c>
      <c r="D285" s="77" t="s">
        <v>558</v>
      </c>
      <c r="E285" s="62">
        <f t="shared" si="31"/>
        <v>823560</v>
      </c>
      <c r="F285" s="23">
        <v>823560</v>
      </c>
      <c r="G285" s="23">
        <v>581199</v>
      </c>
      <c r="H285" s="23">
        <v>51630</v>
      </c>
      <c r="I285" s="23">
        <v>0</v>
      </c>
      <c r="J285" s="62">
        <f t="shared" si="32"/>
        <v>0</v>
      </c>
      <c r="K285" s="23">
        <v>0</v>
      </c>
      <c r="L285" s="23">
        <v>0</v>
      </c>
      <c r="M285" s="23">
        <v>0</v>
      </c>
      <c r="N285" s="23">
        <v>0</v>
      </c>
      <c r="O285" s="23">
        <v>0</v>
      </c>
      <c r="P285" s="22">
        <f t="shared" si="24"/>
        <v>823560</v>
      </c>
    </row>
    <row r="286" spans="1:16" s="13" customFormat="1" ht="28.5">
      <c r="A286" s="18" t="s">
        <v>273</v>
      </c>
      <c r="B286" s="19"/>
      <c r="C286" s="20"/>
      <c r="D286" s="78" t="s">
        <v>274</v>
      </c>
      <c r="E286" s="61">
        <f t="shared" si="31"/>
        <v>3721900</v>
      </c>
      <c r="F286" s="21">
        <f>F287+F288</f>
        <v>3721900</v>
      </c>
      <c r="G286" s="21">
        <f>G287+G288</f>
        <v>2038690</v>
      </c>
      <c r="H286" s="21">
        <f>H287+H288</f>
        <v>343600</v>
      </c>
      <c r="I286" s="21">
        <f>I287+I288</f>
        <v>0</v>
      </c>
      <c r="J286" s="61">
        <f t="shared" si="32"/>
        <v>0</v>
      </c>
      <c r="K286" s="21">
        <f>K287+K288</f>
        <v>0</v>
      </c>
      <c r="L286" s="21">
        <f>L287+L288</f>
        <v>0</v>
      </c>
      <c r="M286" s="21">
        <f>M287+M288</f>
        <v>0</v>
      </c>
      <c r="N286" s="21">
        <f>N287+N288</f>
        <v>0</v>
      </c>
      <c r="O286" s="21">
        <f>O287+O288</f>
        <v>0</v>
      </c>
      <c r="P286" s="21">
        <f t="shared" si="24"/>
        <v>3721900</v>
      </c>
    </row>
    <row r="287" spans="1:16" s="13" customFormat="1" ht="45">
      <c r="A287" s="24" t="s">
        <v>275</v>
      </c>
      <c r="B287" s="25" t="s">
        <v>276</v>
      </c>
      <c r="C287" s="26" t="s">
        <v>57</v>
      </c>
      <c r="D287" s="79" t="s">
        <v>277</v>
      </c>
      <c r="E287" s="63">
        <f t="shared" si="31"/>
        <v>3624100</v>
      </c>
      <c r="F287" s="28">
        <v>3624100</v>
      </c>
      <c r="G287" s="28">
        <v>2038690</v>
      </c>
      <c r="H287" s="28">
        <v>343600</v>
      </c>
      <c r="I287" s="28">
        <v>0</v>
      </c>
      <c r="J287" s="63">
        <f t="shared" si="32"/>
        <v>0</v>
      </c>
      <c r="K287" s="28">
        <v>0</v>
      </c>
      <c r="L287" s="28">
        <v>0</v>
      </c>
      <c r="M287" s="28">
        <v>0</v>
      </c>
      <c r="N287" s="28">
        <v>0</v>
      </c>
      <c r="O287" s="28">
        <v>0</v>
      </c>
      <c r="P287" s="27">
        <f t="shared" si="24"/>
        <v>3624100</v>
      </c>
    </row>
    <row r="288" spans="1:16" s="13" customFormat="1" ht="30">
      <c r="A288" s="24" t="s">
        <v>278</v>
      </c>
      <c r="B288" s="25" t="s">
        <v>279</v>
      </c>
      <c r="C288" s="26" t="s">
        <v>57</v>
      </c>
      <c r="D288" s="79" t="s">
        <v>280</v>
      </c>
      <c r="E288" s="63">
        <f aca="true" t="shared" si="33" ref="E288:E297">F288+I288</f>
        <v>97800</v>
      </c>
      <c r="F288" s="28">
        <v>97800</v>
      </c>
      <c r="G288" s="28">
        <v>0</v>
      </c>
      <c r="H288" s="28">
        <v>0</v>
      </c>
      <c r="I288" s="28">
        <v>0</v>
      </c>
      <c r="J288" s="63">
        <f aca="true" t="shared" si="34" ref="J288:J307">K288+N288</f>
        <v>0</v>
      </c>
      <c r="K288" s="28">
        <v>0</v>
      </c>
      <c r="L288" s="28">
        <v>0</v>
      </c>
      <c r="M288" s="28">
        <v>0</v>
      </c>
      <c r="N288" s="28">
        <v>0</v>
      </c>
      <c r="O288" s="28">
        <v>0</v>
      </c>
      <c r="P288" s="27">
        <f t="shared" si="24"/>
        <v>97800</v>
      </c>
    </row>
    <row r="289" spans="1:16" s="55" customFormat="1" ht="14.25">
      <c r="A289" s="5" t="s">
        <v>281</v>
      </c>
      <c r="B289" s="7" t="s">
        <v>84</v>
      </c>
      <c r="C289" s="6" t="s">
        <v>57</v>
      </c>
      <c r="D289" s="77" t="s">
        <v>33</v>
      </c>
      <c r="E289" s="62">
        <f t="shared" si="33"/>
        <v>45000</v>
      </c>
      <c r="F289" s="23">
        <v>45000</v>
      </c>
      <c r="G289" s="23">
        <v>0</v>
      </c>
      <c r="H289" s="23">
        <v>0</v>
      </c>
      <c r="I289" s="23">
        <v>0</v>
      </c>
      <c r="J289" s="62">
        <f t="shared" si="34"/>
        <v>0</v>
      </c>
      <c r="K289" s="23">
        <v>0</v>
      </c>
      <c r="L289" s="23">
        <v>0</v>
      </c>
      <c r="M289" s="23">
        <v>0</v>
      </c>
      <c r="N289" s="23">
        <v>0</v>
      </c>
      <c r="O289" s="23">
        <v>0</v>
      </c>
      <c r="P289" s="22">
        <f t="shared" si="24"/>
        <v>45000</v>
      </c>
    </row>
    <row r="290" spans="1:16" s="107" customFormat="1" ht="28.5">
      <c r="A290" s="29" t="s">
        <v>271</v>
      </c>
      <c r="B290" s="30"/>
      <c r="C290" s="31"/>
      <c r="D290" s="82" t="s">
        <v>473</v>
      </c>
      <c r="E290" s="62">
        <f t="shared" si="33"/>
        <v>711979</v>
      </c>
      <c r="F290" s="22">
        <f>F291+F292</f>
        <v>711979</v>
      </c>
      <c r="G290" s="22">
        <f>G291+G292</f>
        <v>535041</v>
      </c>
      <c r="H290" s="22">
        <f>H291+H292</f>
        <v>20251</v>
      </c>
      <c r="I290" s="22">
        <f>I291+I292</f>
        <v>0</v>
      </c>
      <c r="J290" s="62">
        <f t="shared" si="34"/>
        <v>0</v>
      </c>
      <c r="K290" s="22">
        <f>K291+K292</f>
        <v>0</v>
      </c>
      <c r="L290" s="22">
        <f>L291+L292</f>
        <v>0</v>
      </c>
      <c r="M290" s="22">
        <f>M291+M292</f>
        <v>0</v>
      </c>
      <c r="N290" s="22">
        <f>N291+N292</f>
        <v>0</v>
      </c>
      <c r="O290" s="22">
        <f>O291+O292</f>
        <v>0</v>
      </c>
      <c r="P290" s="22">
        <f t="shared" si="24"/>
        <v>711979</v>
      </c>
    </row>
    <row r="291" spans="1:16" s="55" customFormat="1" ht="42.75">
      <c r="A291" s="5" t="s">
        <v>272</v>
      </c>
      <c r="B291" s="32" t="s">
        <v>35</v>
      </c>
      <c r="C291" s="32" t="s">
        <v>20</v>
      </c>
      <c r="D291" s="77" t="s">
        <v>558</v>
      </c>
      <c r="E291" s="62">
        <f t="shared" si="33"/>
        <v>693079</v>
      </c>
      <c r="F291" s="23">
        <v>693079</v>
      </c>
      <c r="G291" s="23">
        <v>535041</v>
      </c>
      <c r="H291" s="23">
        <v>20251</v>
      </c>
      <c r="I291" s="23">
        <v>0</v>
      </c>
      <c r="J291" s="62">
        <f t="shared" si="34"/>
        <v>0</v>
      </c>
      <c r="K291" s="23">
        <v>0</v>
      </c>
      <c r="L291" s="23">
        <v>0</v>
      </c>
      <c r="M291" s="23">
        <v>0</v>
      </c>
      <c r="N291" s="23">
        <v>0</v>
      </c>
      <c r="O291" s="23">
        <v>0</v>
      </c>
      <c r="P291" s="22">
        <f aca="true" t="shared" si="35" ref="P291:P307">E291+J291</f>
        <v>693079</v>
      </c>
    </row>
    <row r="292" spans="1:16" s="55" customFormat="1" ht="28.5">
      <c r="A292" s="18" t="s">
        <v>273</v>
      </c>
      <c r="B292" s="19"/>
      <c r="C292" s="20"/>
      <c r="D292" s="78" t="s">
        <v>274</v>
      </c>
      <c r="E292" s="61">
        <f t="shared" si="33"/>
        <v>18900</v>
      </c>
      <c r="F292" s="21">
        <f>F293</f>
        <v>18900</v>
      </c>
      <c r="G292" s="21">
        <f>G293</f>
        <v>0</v>
      </c>
      <c r="H292" s="21">
        <f>H293</f>
        <v>0</v>
      </c>
      <c r="I292" s="21">
        <f>I293</f>
        <v>0</v>
      </c>
      <c r="J292" s="61">
        <f t="shared" si="34"/>
        <v>0</v>
      </c>
      <c r="K292" s="21">
        <f>K293</f>
        <v>0</v>
      </c>
      <c r="L292" s="21">
        <f>L293</f>
        <v>0</v>
      </c>
      <c r="M292" s="21">
        <f>M293</f>
        <v>0</v>
      </c>
      <c r="N292" s="21">
        <f>N293</f>
        <v>0</v>
      </c>
      <c r="O292" s="21">
        <v>0</v>
      </c>
      <c r="P292" s="21">
        <f t="shared" si="35"/>
        <v>18900</v>
      </c>
    </row>
    <row r="293" spans="1:16" s="13" customFormat="1" ht="30">
      <c r="A293" s="24" t="s">
        <v>278</v>
      </c>
      <c r="B293" s="25" t="s">
        <v>279</v>
      </c>
      <c r="C293" s="26" t="s">
        <v>57</v>
      </c>
      <c r="D293" s="79" t="s">
        <v>280</v>
      </c>
      <c r="E293" s="63">
        <f t="shared" si="33"/>
        <v>18900</v>
      </c>
      <c r="F293" s="28">
        <v>18900</v>
      </c>
      <c r="G293" s="28">
        <v>0</v>
      </c>
      <c r="H293" s="28">
        <v>0</v>
      </c>
      <c r="I293" s="28">
        <v>0</v>
      </c>
      <c r="J293" s="63">
        <f t="shared" si="34"/>
        <v>0</v>
      </c>
      <c r="K293" s="28">
        <v>0</v>
      </c>
      <c r="L293" s="28">
        <v>0</v>
      </c>
      <c r="M293" s="28">
        <v>0</v>
      </c>
      <c r="N293" s="28">
        <v>0</v>
      </c>
      <c r="O293" s="28">
        <v>0</v>
      </c>
      <c r="P293" s="27">
        <f t="shared" si="35"/>
        <v>18900</v>
      </c>
    </row>
    <row r="294" spans="1:16" s="107" customFormat="1" ht="28.5">
      <c r="A294" s="29" t="s">
        <v>271</v>
      </c>
      <c r="B294" s="30"/>
      <c r="C294" s="31"/>
      <c r="D294" s="82" t="s">
        <v>474</v>
      </c>
      <c r="E294" s="62">
        <f t="shared" si="33"/>
        <v>729412</v>
      </c>
      <c r="F294" s="22">
        <f>F295+F296</f>
        <v>729412</v>
      </c>
      <c r="G294" s="22">
        <f>G295+G296</f>
        <v>526325</v>
      </c>
      <c r="H294" s="22">
        <f>H295+H296</f>
        <v>50295</v>
      </c>
      <c r="I294" s="22">
        <f>I295+I296</f>
        <v>0</v>
      </c>
      <c r="J294" s="62">
        <f t="shared" si="34"/>
        <v>0</v>
      </c>
      <c r="K294" s="22">
        <f>K295+K296</f>
        <v>0</v>
      </c>
      <c r="L294" s="22">
        <f>L295+L296</f>
        <v>0</v>
      </c>
      <c r="M294" s="22">
        <f>M295+M296</f>
        <v>0</v>
      </c>
      <c r="N294" s="22">
        <f>N295+N296</f>
        <v>0</v>
      </c>
      <c r="O294" s="22">
        <f>O295+O296</f>
        <v>0</v>
      </c>
      <c r="P294" s="22">
        <f t="shared" si="35"/>
        <v>729412</v>
      </c>
    </row>
    <row r="295" spans="1:16" s="55" customFormat="1" ht="42.75">
      <c r="A295" s="5" t="s">
        <v>272</v>
      </c>
      <c r="B295" s="32" t="s">
        <v>35</v>
      </c>
      <c r="C295" s="32" t="s">
        <v>20</v>
      </c>
      <c r="D295" s="77" t="s">
        <v>558</v>
      </c>
      <c r="E295" s="62">
        <f t="shared" si="33"/>
        <v>719412</v>
      </c>
      <c r="F295" s="23">
        <v>719412</v>
      </c>
      <c r="G295" s="23">
        <v>526325</v>
      </c>
      <c r="H295" s="23">
        <v>50295</v>
      </c>
      <c r="I295" s="23">
        <v>0</v>
      </c>
      <c r="J295" s="62">
        <f t="shared" si="34"/>
        <v>0</v>
      </c>
      <c r="K295" s="23">
        <v>0</v>
      </c>
      <c r="L295" s="23">
        <v>0</v>
      </c>
      <c r="M295" s="23">
        <v>0</v>
      </c>
      <c r="N295" s="23">
        <v>0</v>
      </c>
      <c r="O295" s="23">
        <v>0</v>
      </c>
      <c r="P295" s="22">
        <f t="shared" si="35"/>
        <v>719412</v>
      </c>
    </row>
    <row r="296" spans="1:16" s="55" customFormat="1" ht="28.5">
      <c r="A296" s="18" t="s">
        <v>273</v>
      </c>
      <c r="B296" s="19"/>
      <c r="C296" s="20"/>
      <c r="D296" s="78" t="s">
        <v>274</v>
      </c>
      <c r="E296" s="61">
        <f t="shared" si="33"/>
        <v>10000</v>
      </c>
      <c r="F296" s="21">
        <f>F297</f>
        <v>10000</v>
      </c>
      <c r="G296" s="21">
        <f>G297</f>
        <v>0</v>
      </c>
      <c r="H296" s="21">
        <f>H297</f>
        <v>0</v>
      </c>
      <c r="I296" s="21">
        <f>I297</f>
        <v>0</v>
      </c>
      <c r="J296" s="61">
        <f t="shared" si="34"/>
        <v>0</v>
      </c>
      <c r="K296" s="21">
        <f>K297</f>
        <v>0</v>
      </c>
      <c r="L296" s="21">
        <f>L297</f>
        <v>0</v>
      </c>
      <c r="M296" s="21">
        <f>M297</f>
        <v>0</v>
      </c>
      <c r="N296" s="21">
        <f>N297</f>
        <v>0</v>
      </c>
      <c r="O296" s="21">
        <f>O297</f>
        <v>0</v>
      </c>
      <c r="P296" s="21">
        <f t="shared" si="35"/>
        <v>10000</v>
      </c>
    </row>
    <row r="297" spans="1:16" s="13" customFormat="1" ht="30">
      <c r="A297" s="24" t="s">
        <v>278</v>
      </c>
      <c r="B297" s="25" t="s">
        <v>279</v>
      </c>
      <c r="C297" s="26" t="s">
        <v>57</v>
      </c>
      <c r="D297" s="79" t="s">
        <v>280</v>
      </c>
      <c r="E297" s="63">
        <f t="shared" si="33"/>
        <v>10000</v>
      </c>
      <c r="F297" s="28">
        <v>10000</v>
      </c>
      <c r="G297" s="28">
        <v>0</v>
      </c>
      <c r="H297" s="28">
        <v>0</v>
      </c>
      <c r="I297" s="28">
        <v>0</v>
      </c>
      <c r="J297" s="63">
        <f t="shared" si="34"/>
        <v>0</v>
      </c>
      <c r="K297" s="28">
        <v>0</v>
      </c>
      <c r="L297" s="28">
        <v>0</v>
      </c>
      <c r="M297" s="28">
        <v>0</v>
      </c>
      <c r="N297" s="28">
        <v>0</v>
      </c>
      <c r="O297" s="28">
        <v>0</v>
      </c>
      <c r="P297" s="27">
        <f t="shared" si="35"/>
        <v>10000</v>
      </c>
    </row>
    <row r="298" spans="1:16" s="106" customFormat="1" ht="28.5">
      <c r="A298" s="29" t="s">
        <v>271</v>
      </c>
      <c r="B298" s="30"/>
      <c r="C298" s="31"/>
      <c r="D298" s="82" t="s">
        <v>475</v>
      </c>
      <c r="E298" s="62">
        <f aca="true" t="shared" si="36" ref="E298:E307">F298+I298</f>
        <v>711509</v>
      </c>
      <c r="F298" s="22">
        <f>F299+F300</f>
        <v>711509</v>
      </c>
      <c r="G298" s="22">
        <f>G299+G300</f>
        <v>533015</v>
      </c>
      <c r="H298" s="22">
        <f>H299+H300</f>
        <v>31931</v>
      </c>
      <c r="I298" s="22">
        <f>I299+I300</f>
        <v>0</v>
      </c>
      <c r="J298" s="62">
        <f t="shared" si="34"/>
        <v>0</v>
      </c>
      <c r="K298" s="22">
        <v>0</v>
      </c>
      <c r="L298" s="22">
        <v>0</v>
      </c>
      <c r="M298" s="22">
        <v>0</v>
      </c>
      <c r="N298" s="22">
        <v>0</v>
      </c>
      <c r="O298" s="22">
        <v>0</v>
      </c>
      <c r="P298" s="22">
        <f t="shared" si="35"/>
        <v>711509</v>
      </c>
    </row>
    <row r="299" spans="1:16" s="13" customFormat="1" ht="42.75">
      <c r="A299" s="5" t="s">
        <v>272</v>
      </c>
      <c r="B299" s="32" t="s">
        <v>35</v>
      </c>
      <c r="C299" s="32" t="s">
        <v>20</v>
      </c>
      <c r="D299" s="77" t="s">
        <v>558</v>
      </c>
      <c r="E299" s="62">
        <f t="shared" si="36"/>
        <v>696509</v>
      </c>
      <c r="F299" s="23">
        <v>696509</v>
      </c>
      <c r="G299" s="23">
        <v>533015</v>
      </c>
      <c r="H299" s="23">
        <v>31931</v>
      </c>
      <c r="I299" s="23">
        <v>0</v>
      </c>
      <c r="J299" s="62">
        <f t="shared" si="34"/>
        <v>0</v>
      </c>
      <c r="K299" s="23">
        <v>0</v>
      </c>
      <c r="L299" s="23">
        <v>0</v>
      </c>
      <c r="M299" s="23">
        <v>0</v>
      </c>
      <c r="N299" s="23">
        <v>0</v>
      </c>
      <c r="O299" s="23">
        <v>0</v>
      </c>
      <c r="P299" s="22">
        <f t="shared" si="35"/>
        <v>696509</v>
      </c>
    </row>
    <row r="300" spans="1:16" s="13" customFormat="1" ht="28.5">
      <c r="A300" s="18" t="s">
        <v>273</v>
      </c>
      <c r="B300" s="19"/>
      <c r="C300" s="20"/>
      <c r="D300" s="78" t="s">
        <v>274</v>
      </c>
      <c r="E300" s="61">
        <f t="shared" si="36"/>
        <v>15000</v>
      </c>
      <c r="F300" s="21">
        <f>F301</f>
        <v>15000</v>
      </c>
      <c r="G300" s="21">
        <f>G301</f>
        <v>0</v>
      </c>
      <c r="H300" s="21">
        <f>H301</f>
        <v>0</v>
      </c>
      <c r="I300" s="21">
        <f>I301</f>
        <v>0</v>
      </c>
      <c r="J300" s="61">
        <f t="shared" si="34"/>
        <v>0</v>
      </c>
      <c r="K300" s="21">
        <f>K301</f>
        <v>0</v>
      </c>
      <c r="L300" s="21">
        <f>L301</f>
        <v>0</v>
      </c>
      <c r="M300" s="21">
        <f>M301</f>
        <v>0</v>
      </c>
      <c r="N300" s="21">
        <f>N301</f>
        <v>0</v>
      </c>
      <c r="O300" s="21">
        <f>O301</f>
        <v>0</v>
      </c>
      <c r="P300" s="21">
        <f t="shared" si="35"/>
        <v>15000</v>
      </c>
    </row>
    <row r="301" spans="1:16" s="13" customFormat="1" ht="30">
      <c r="A301" s="24" t="s">
        <v>278</v>
      </c>
      <c r="B301" s="25" t="s">
        <v>279</v>
      </c>
      <c r="C301" s="26" t="s">
        <v>57</v>
      </c>
      <c r="D301" s="79" t="s">
        <v>280</v>
      </c>
      <c r="E301" s="63">
        <f t="shared" si="36"/>
        <v>15000</v>
      </c>
      <c r="F301" s="28">
        <v>15000</v>
      </c>
      <c r="G301" s="28">
        <v>0</v>
      </c>
      <c r="H301" s="28">
        <v>0</v>
      </c>
      <c r="I301" s="28">
        <v>0</v>
      </c>
      <c r="J301" s="63">
        <f t="shared" si="34"/>
        <v>0</v>
      </c>
      <c r="K301" s="28">
        <v>0</v>
      </c>
      <c r="L301" s="28">
        <v>0</v>
      </c>
      <c r="M301" s="28">
        <v>0</v>
      </c>
      <c r="N301" s="28">
        <v>0</v>
      </c>
      <c r="O301" s="28">
        <v>0</v>
      </c>
      <c r="P301" s="27">
        <f t="shared" si="35"/>
        <v>15000</v>
      </c>
    </row>
    <row r="302" spans="1:16" s="105" customFormat="1" ht="24" customHeight="1">
      <c r="A302" s="70" t="s">
        <v>282</v>
      </c>
      <c r="B302" s="71"/>
      <c r="C302" s="72"/>
      <c r="D302" s="76" t="s">
        <v>283</v>
      </c>
      <c r="E302" s="73">
        <f t="shared" si="36"/>
        <v>1040631</v>
      </c>
      <c r="F302" s="74">
        <f>F303</f>
        <v>1040631</v>
      </c>
      <c r="G302" s="74">
        <f aca="true" t="shared" si="37" ref="G302:I303">G303</f>
        <v>656958</v>
      </c>
      <c r="H302" s="74">
        <f t="shared" si="37"/>
        <v>207301</v>
      </c>
      <c r="I302" s="74">
        <f t="shared" si="37"/>
        <v>0</v>
      </c>
      <c r="J302" s="73">
        <f t="shared" si="34"/>
        <v>10000</v>
      </c>
      <c r="K302" s="74">
        <f aca="true" t="shared" si="38" ref="K302:O303">K303</f>
        <v>10000</v>
      </c>
      <c r="L302" s="74">
        <f t="shared" si="38"/>
        <v>0</v>
      </c>
      <c r="M302" s="74">
        <f t="shared" si="38"/>
        <v>0</v>
      </c>
      <c r="N302" s="74">
        <f t="shared" si="38"/>
        <v>0</v>
      </c>
      <c r="O302" s="74">
        <f t="shared" si="38"/>
        <v>0</v>
      </c>
      <c r="P302" s="74">
        <f t="shared" si="35"/>
        <v>1050631</v>
      </c>
    </row>
    <row r="303" spans="1:16" s="106" customFormat="1" ht="15">
      <c r="A303" s="29" t="s">
        <v>284</v>
      </c>
      <c r="B303" s="30"/>
      <c r="C303" s="31"/>
      <c r="D303" s="103" t="s">
        <v>476</v>
      </c>
      <c r="E303" s="62">
        <f t="shared" si="36"/>
        <v>1040631</v>
      </c>
      <c r="F303" s="22">
        <f>F304</f>
        <v>1040631</v>
      </c>
      <c r="G303" s="22">
        <f t="shared" si="37"/>
        <v>656958</v>
      </c>
      <c r="H303" s="22">
        <f t="shared" si="37"/>
        <v>207301</v>
      </c>
      <c r="I303" s="22">
        <f t="shared" si="37"/>
        <v>0</v>
      </c>
      <c r="J303" s="62">
        <f t="shared" si="34"/>
        <v>10000</v>
      </c>
      <c r="K303" s="22">
        <f t="shared" si="38"/>
        <v>10000</v>
      </c>
      <c r="L303" s="22">
        <f t="shared" si="38"/>
        <v>0</v>
      </c>
      <c r="M303" s="22">
        <f t="shared" si="38"/>
        <v>0</v>
      </c>
      <c r="N303" s="22">
        <f t="shared" si="38"/>
        <v>0</v>
      </c>
      <c r="O303" s="22">
        <f t="shared" si="38"/>
        <v>0</v>
      </c>
      <c r="P303" s="22">
        <f t="shared" si="35"/>
        <v>1050631</v>
      </c>
    </row>
    <row r="304" spans="1:16" s="13" customFormat="1" ht="42.75">
      <c r="A304" s="5" t="s">
        <v>285</v>
      </c>
      <c r="B304" s="32" t="s">
        <v>35</v>
      </c>
      <c r="C304" s="32" t="s">
        <v>20</v>
      </c>
      <c r="D304" s="77" t="s">
        <v>558</v>
      </c>
      <c r="E304" s="62">
        <f t="shared" si="36"/>
        <v>1040631</v>
      </c>
      <c r="F304" s="23">
        <v>1040631</v>
      </c>
      <c r="G304" s="23">
        <v>656958</v>
      </c>
      <c r="H304" s="23">
        <v>207301</v>
      </c>
      <c r="I304" s="23">
        <v>0</v>
      </c>
      <c r="J304" s="62">
        <f t="shared" si="34"/>
        <v>10000</v>
      </c>
      <c r="K304" s="23">
        <v>10000</v>
      </c>
      <c r="L304" s="23">
        <v>0</v>
      </c>
      <c r="M304" s="23">
        <v>0</v>
      </c>
      <c r="N304" s="23">
        <v>0</v>
      </c>
      <c r="O304" s="23">
        <v>0</v>
      </c>
      <c r="P304" s="22">
        <f t="shared" si="35"/>
        <v>1050631</v>
      </c>
    </row>
    <row r="305" spans="1:16" s="105" customFormat="1" ht="28.5" customHeight="1">
      <c r="A305" s="70" t="s">
        <v>286</v>
      </c>
      <c r="B305" s="71"/>
      <c r="C305" s="72"/>
      <c r="D305" s="76" t="s">
        <v>287</v>
      </c>
      <c r="E305" s="73">
        <f t="shared" si="36"/>
        <v>484614</v>
      </c>
      <c r="F305" s="74">
        <f>F306</f>
        <v>484614</v>
      </c>
      <c r="G305" s="74">
        <f>G306</f>
        <v>223244</v>
      </c>
      <c r="H305" s="74">
        <f>H306</f>
        <v>24800</v>
      </c>
      <c r="I305" s="74">
        <f>I306</f>
        <v>0</v>
      </c>
      <c r="J305" s="73">
        <f t="shared" si="34"/>
        <v>0</v>
      </c>
      <c r="K305" s="74">
        <f>K306</f>
        <v>0</v>
      </c>
      <c r="L305" s="74">
        <f>L306</f>
        <v>0</v>
      </c>
      <c r="M305" s="74">
        <f>M306</f>
        <v>0</v>
      </c>
      <c r="N305" s="74">
        <f>N306</f>
        <v>0</v>
      </c>
      <c r="O305" s="74">
        <f>O306</f>
        <v>0</v>
      </c>
      <c r="P305" s="74">
        <f t="shared" si="35"/>
        <v>484614</v>
      </c>
    </row>
    <row r="306" spans="1:16" s="106" customFormat="1" ht="15">
      <c r="A306" s="29" t="s">
        <v>288</v>
      </c>
      <c r="B306" s="30"/>
      <c r="C306" s="31"/>
      <c r="D306" s="82" t="s">
        <v>289</v>
      </c>
      <c r="E306" s="62">
        <f t="shared" si="36"/>
        <v>484614</v>
      </c>
      <c r="F306" s="22">
        <f>F307+F308</f>
        <v>484614</v>
      </c>
      <c r="G306" s="22">
        <f>G307+G308</f>
        <v>223244</v>
      </c>
      <c r="H306" s="22">
        <f>H307+H308</f>
        <v>24800</v>
      </c>
      <c r="I306" s="22">
        <f>I307+I308</f>
        <v>0</v>
      </c>
      <c r="J306" s="62">
        <f t="shared" si="34"/>
        <v>0</v>
      </c>
      <c r="K306" s="22">
        <f>K307+K308</f>
        <v>0</v>
      </c>
      <c r="L306" s="22">
        <f>L307+L308</f>
        <v>0</v>
      </c>
      <c r="M306" s="22">
        <f>M307+M308</f>
        <v>0</v>
      </c>
      <c r="N306" s="22">
        <f>N307+N308</f>
        <v>0</v>
      </c>
      <c r="O306" s="22">
        <f>O307+O308</f>
        <v>0</v>
      </c>
      <c r="P306" s="22">
        <f t="shared" si="35"/>
        <v>484614</v>
      </c>
    </row>
    <row r="307" spans="1:16" s="13" customFormat="1" ht="42.75">
      <c r="A307" s="5" t="s">
        <v>290</v>
      </c>
      <c r="B307" s="32" t="s">
        <v>35</v>
      </c>
      <c r="C307" s="32" t="s">
        <v>20</v>
      </c>
      <c r="D307" s="77" t="s">
        <v>558</v>
      </c>
      <c r="E307" s="62">
        <f t="shared" si="36"/>
        <v>387698</v>
      </c>
      <c r="F307" s="23">
        <v>387698</v>
      </c>
      <c r="G307" s="23">
        <v>223244</v>
      </c>
      <c r="H307" s="23">
        <v>24800</v>
      </c>
      <c r="I307" s="23">
        <v>0</v>
      </c>
      <c r="J307" s="62">
        <f t="shared" si="34"/>
        <v>0</v>
      </c>
      <c r="K307" s="23">
        <v>0</v>
      </c>
      <c r="L307" s="23">
        <v>0</v>
      </c>
      <c r="M307" s="23">
        <v>0</v>
      </c>
      <c r="N307" s="23">
        <v>0</v>
      </c>
      <c r="O307" s="23">
        <v>0</v>
      </c>
      <c r="P307" s="22">
        <f t="shared" si="35"/>
        <v>387698</v>
      </c>
    </row>
    <row r="308" spans="1:16" s="13" customFormat="1" ht="15">
      <c r="A308" s="19" t="s">
        <v>525</v>
      </c>
      <c r="B308" s="19" t="s">
        <v>32</v>
      </c>
      <c r="C308" s="19" t="s">
        <v>31</v>
      </c>
      <c r="D308" s="80" t="s">
        <v>523</v>
      </c>
      <c r="E308" s="61">
        <f>F308+I308</f>
        <v>96916</v>
      </c>
      <c r="F308" s="21">
        <f>F309</f>
        <v>96916</v>
      </c>
      <c r="G308" s="21">
        <f>G309</f>
        <v>0</v>
      </c>
      <c r="H308" s="21">
        <f>H309</f>
        <v>0</v>
      </c>
      <c r="I308" s="21">
        <f>I309</f>
        <v>0</v>
      </c>
      <c r="J308" s="61">
        <f>K308+N308</f>
        <v>0</v>
      </c>
      <c r="K308" s="21">
        <f>K309</f>
        <v>0</v>
      </c>
      <c r="L308" s="21">
        <f>L309</f>
        <v>0</v>
      </c>
      <c r="M308" s="21">
        <f>M309</f>
        <v>0</v>
      </c>
      <c r="N308" s="21">
        <f>N309</f>
        <v>0</v>
      </c>
      <c r="O308" s="21">
        <f>O309</f>
        <v>0</v>
      </c>
      <c r="P308" s="21">
        <f>E308+J308</f>
        <v>96916</v>
      </c>
    </row>
    <row r="309" spans="1:16" s="13" customFormat="1" ht="30">
      <c r="A309" s="24" t="s">
        <v>505</v>
      </c>
      <c r="B309" s="25" t="s">
        <v>501</v>
      </c>
      <c r="C309" s="26" t="s">
        <v>31</v>
      </c>
      <c r="D309" s="81" t="s">
        <v>506</v>
      </c>
      <c r="E309" s="63">
        <f aca="true" t="shared" si="39" ref="E309:E314">F309+I309</f>
        <v>96916</v>
      </c>
      <c r="F309" s="28">
        <f>46916+50000</f>
        <v>96916</v>
      </c>
      <c r="G309" s="28">
        <v>0</v>
      </c>
      <c r="H309" s="28">
        <v>0</v>
      </c>
      <c r="I309" s="28">
        <v>0</v>
      </c>
      <c r="J309" s="63">
        <f aca="true" t="shared" si="40" ref="J309:J314">K309+N309</f>
        <v>0</v>
      </c>
      <c r="K309" s="28">
        <v>0</v>
      </c>
      <c r="L309" s="28">
        <v>0</v>
      </c>
      <c r="M309" s="28">
        <v>0</v>
      </c>
      <c r="N309" s="28">
        <v>0</v>
      </c>
      <c r="O309" s="28">
        <v>0</v>
      </c>
      <c r="P309" s="27">
        <f>E309+J309</f>
        <v>96916</v>
      </c>
    </row>
    <row r="310" spans="1:16" s="105" customFormat="1" ht="46.5" customHeight="1">
      <c r="A310" s="70" t="s">
        <v>291</v>
      </c>
      <c r="B310" s="71"/>
      <c r="C310" s="72"/>
      <c r="D310" s="76" t="s">
        <v>292</v>
      </c>
      <c r="E310" s="73">
        <f t="shared" si="39"/>
        <v>4995066</v>
      </c>
      <c r="F310" s="74">
        <f>F311</f>
        <v>4995066</v>
      </c>
      <c r="G310" s="74">
        <f>G311</f>
        <v>3045540</v>
      </c>
      <c r="H310" s="74">
        <f>H311</f>
        <v>252060</v>
      </c>
      <c r="I310" s="74">
        <f>I311</f>
        <v>0</v>
      </c>
      <c r="J310" s="73">
        <f t="shared" si="40"/>
        <v>73000</v>
      </c>
      <c r="K310" s="74">
        <f>K311</f>
        <v>23000</v>
      </c>
      <c r="L310" s="74">
        <f>L311</f>
        <v>0</v>
      </c>
      <c r="M310" s="74">
        <f>M311</f>
        <v>0</v>
      </c>
      <c r="N310" s="74">
        <f>N311</f>
        <v>50000</v>
      </c>
      <c r="O310" s="74">
        <f>O311</f>
        <v>50000</v>
      </c>
      <c r="P310" s="74">
        <f>E310+J310</f>
        <v>5068066</v>
      </c>
    </row>
    <row r="311" spans="1:16" s="106" customFormat="1" ht="28.5">
      <c r="A311" s="29" t="s">
        <v>293</v>
      </c>
      <c r="B311" s="30"/>
      <c r="C311" s="31"/>
      <c r="D311" s="82" t="s">
        <v>294</v>
      </c>
      <c r="E311" s="62">
        <f t="shared" si="39"/>
        <v>4995066</v>
      </c>
      <c r="F311" s="22">
        <f>F312+F313</f>
        <v>4995066</v>
      </c>
      <c r="G311" s="22">
        <f>G312+G313</f>
        <v>3045540</v>
      </c>
      <c r="H311" s="22">
        <f>H312+H313</f>
        <v>252060</v>
      </c>
      <c r="I311" s="22">
        <f>I312+I313</f>
        <v>0</v>
      </c>
      <c r="J311" s="62">
        <f t="shared" si="40"/>
        <v>73000</v>
      </c>
      <c r="K311" s="22">
        <f aca="true" t="shared" si="41" ref="K311:P311">K312+K313</f>
        <v>23000</v>
      </c>
      <c r="L311" s="22">
        <f t="shared" si="41"/>
        <v>0</v>
      </c>
      <c r="M311" s="22">
        <f t="shared" si="41"/>
        <v>0</v>
      </c>
      <c r="N311" s="22">
        <f t="shared" si="41"/>
        <v>50000</v>
      </c>
      <c r="O311" s="22">
        <f t="shared" si="41"/>
        <v>50000</v>
      </c>
      <c r="P311" s="22">
        <f t="shared" si="41"/>
        <v>5068066</v>
      </c>
    </row>
    <row r="312" spans="1:16" s="13" customFormat="1" ht="42.75">
      <c r="A312" s="5" t="s">
        <v>295</v>
      </c>
      <c r="B312" s="32" t="s">
        <v>35</v>
      </c>
      <c r="C312" s="32" t="s">
        <v>20</v>
      </c>
      <c r="D312" s="77" t="s">
        <v>558</v>
      </c>
      <c r="E312" s="62">
        <f t="shared" si="39"/>
        <v>4985066</v>
      </c>
      <c r="F312" s="23">
        <f>4885066+100000</f>
        <v>4985066</v>
      </c>
      <c r="G312" s="23">
        <v>3045540</v>
      </c>
      <c r="H312" s="23">
        <v>252060</v>
      </c>
      <c r="I312" s="23">
        <v>0</v>
      </c>
      <c r="J312" s="62">
        <f t="shared" si="40"/>
        <v>73000</v>
      </c>
      <c r="K312" s="23">
        <v>23000</v>
      </c>
      <c r="L312" s="23">
        <v>0</v>
      </c>
      <c r="M312" s="23">
        <v>0</v>
      </c>
      <c r="N312" s="23">
        <v>50000</v>
      </c>
      <c r="O312" s="23">
        <v>50000</v>
      </c>
      <c r="P312" s="22">
        <f aca="true" t="shared" si="42" ref="P312:P319">E312+J312</f>
        <v>5058066</v>
      </c>
    </row>
    <row r="313" spans="1:16" s="13" customFormat="1" ht="28.5">
      <c r="A313" s="5" t="s">
        <v>296</v>
      </c>
      <c r="B313" s="7" t="s">
        <v>298</v>
      </c>
      <c r="C313" s="6" t="s">
        <v>297</v>
      </c>
      <c r="D313" s="77" t="s">
        <v>299</v>
      </c>
      <c r="E313" s="62">
        <f t="shared" si="39"/>
        <v>10000</v>
      </c>
      <c r="F313" s="23">
        <v>10000</v>
      </c>
      <c r="G313" s="23">
        <v>0</v>
      </c>
      <c r="H313" s="23">
        <v>0</v>
      </c>
      <c r="I313" s="23">
        <v>0</v>
      </c>
      <c r="J313" s="62">
        <f t="shared" si="40"/>
        <v>0</v>
      </c>
      <c r="K313" s="23">
        <v>0</v>
      </c>
      <c r="L313" s="23">
        <v>0</v>
      </c>
      <c r="M313" s="23">
        <v>0</v>
      </c>
      <c r="N313" s="23">
        <v>0</v>
      </c>
      <c r="O313" s="23">
        <v>0</v>
      </c>
      <c r="P313" s="22">
        <f t="shared" si="42"/>
        <v>10000</v>
      </c>
    </row>
    <row r="314" spans="1:16" s="105" customFormat="1" ht="27" customHeight="1">
      <c r="A314" s="70" t="s">
        <v>300</v>
      </c>
      <c r="B314" s="71"/>
      <c r="C314" s="72"/>
      <c r="D314" s="76" t="s">
        <v>301</v>
      </c>
      <c r="E314" s="73">
        <f t="shared" si="39"/>
        <v>6408002</v>
      </c>
      <c r="F314" s="74">
        <f aca="true" t="shared" si="43" ref="F314:O314">F315</f>
        <v>5508002</v>
      </c>
      <c r="G314" s="74">
        <f t="shared" si="43"/>
        <v>3023840</v>
      </c>
      <c r="H314" s="74">
        <f t="shared" si="43"/>
        <v>225392</v>
      </c>
      <c r="I314" s="74">
        <f t="shared" si="43"/>
        <v>900000</v>
      </c>
      <c r="J314" s="73">
        <f t="shared" si="40"/>
        <v>240000</v>
      </c>
      <c r="K314" s="74">
        <f>K315</f>
        <v>0</v>
      </c>
      <c r="L314" s="74">
        <f t="shared" si="43"/>
        <v>0</v>
      </c>
      <c r="M314" s="74">
        <f t="shared" si="43"/>
        <v>0</v>
      </c>
      <c r="N314" s="74">
        <f t="shared" si="43"/>
        <v>240000</v>
      </c>
      <c r="O314" s="74">
        <f t="shared" si="43"/>
        <v>240000</v>
      </c>
      <c r="P314" s="74">
        <f t="shared" si="42"/>
        <v>6648002</v>
      </c>
    </row>
    <row r="315" spans="1:16" s="106" customFormat="1" ht="57">
      <c r="A315" s="29" t="s">
        <v>302</v>
      </c>
      <c r="B315" s="30"/>
      <c r="C315" s="31"/>
      <c r="D315" s="82" t="s">
        <v>303</v>
      </c>
      <c r="E315" s="62">
        <f>F315+I315</f>
        <v>6408002</v>
      </c>
      <c r="F315" s="22">
        <f>F316+F317+F319</f>
        <v>5508002</v>
      </c>
      <c r="G315" s="22">
        <f>G316+G317+G318+G319</f>
        <v>3023840</v>
      </c>
      <c r="H315" s="22">
        <f>H316+H317+H318+H319</f>
        <v>225392</v>
      </c>
      <c r="I315" s="22">
        <f>I316+I317+I318+I319</f>
        <v>900000</v>
      </c>
      <c r="J315" s="62">
        <f>K315+N315</f>
        <v>240000</v>
      </c>
      <c r="K315" s="22">
        <f>K316+K317+K318+K319</f>
        <v>0</v>
      </c>
      <c r="L315" s="22">
        <f>L316+L317+L318+L319</f>
        <v>0</v>
      </c>
      <c r="M315" s="22">
        <f>M316+M317+M318+M319</f>
        <v>0</v>
      </c>
      <c r="N315" s="22">
        <f>N316+N317+N318+N319</f>
        <v>240000</v>
      </c>
      <c r="O315" s="22">
        <f>O316+O317+O318+O319</f>
        <v>240000</v>
      </c>
      <c r="P315" s="22">
        <f>E315+J315</f>
        <v>6648002</v>
      </c>
    </row>
    <row r="316" spans="1:16" s="13" customFormat="1" ht="42.75">
      <c r="A316" s="5" t="s">
        <v>304</v>
      </c>
      <c r="B316" s="32" t="s">
        <v>35</v>
      </c>
      <c r="C316" s="32" t="s">
        <v>20</v>
      </c>
      <c r="D316" s="77" t="s">
        <v>558</v>
      </c>
      <c r="E316" s="62">
        <f>F316+I316</f>
        <v>4308002</v>
      </c>
      <c r="F316" s="23">
        <v>4308002</v>
      </c>
      <c r="G316" s="23">
        <v>3023840</v>
      </c>
      <c r="H316" s="23">
        <v>225392</v>
      </c>
      <c r="I316" s="23">
        <v>0</v>
      </c>
      <c r="J316" s="62">
        <f>K316+N316</f>
        <v>0</v>
      </c>
      <c r="K316" s="23">
        <v>0</v>
      </c>
      <c r="L316" s="23">
        <v>0</v>
      </c>
      <c r="M316" s="23">
        <v>0</v>
      </c>
      <c r="N316" s="23">
        <v>0</v>
      </c>
      <c r="O316" s="23">
        <v>0</v>
      </c>
      <c r="P316" s="22">
        <f t="shared" si="42"/>
        <v>4308002</v>
      </c>
    </row>
    <row r="317" spans="1:16" s="13" customFormat="1" ht="15">
      <c r="A317" s="5" t="s">
        <v>305</v>
      </c>
      <c r="B317" s="7" t="s">
        <v>307</v>
      </c>
      <c r="C317" s="6" t="s">
        <v>306</v>
      </c>
      <c r="D317" s="77" t="s">
        <v>308</v>
      </c>
      <c r="E317" s="62">
        <f>F317+I317</f>
        <v>900000</v>
      </c>
      <c r="F317" s="23">
        <v>0</v>
      </c>
      <c r="G317" s="23">
        <v>0</v>
      </c>
      <c r="H317" s="23">
        <v>0</v>
      </c>
      <c r="I317" s="23">
        <f>1550000-150000-500000</f>
        <v>900000</v>
      </c>
      <c r="J317" s="62">
        <f>K317+N317</f>
        <v>90000</v>
      </c>
      <c r="K317" s="23">
        <v>0</v>
      </c>
      <c r="L317" s="23">
        <v>0</v>
      </c>
      <c r="M317" s="23">
        <v>0</v>
      </c>
      <c r="N317" s="23">
        <v>90000</v>
      </c>
      <c r="O317" s="23">
        <v>90000</v>
      </c>
      <c r="P317" s="22">
        <f t="shared" si="42"/>
        <v>990000</v>
      </c>
    </row>
    <row r="318" spans="1:16" s="13" customFormat="1" ht="75" customHeight="1">
      <c r="A318" s="5">
        <v>4518070</v>
      </c>
      <c r="B318" s="32" t="s">
        <v>559</v>
      </c>
      <c r="C318" s="6" t="s">
        <v>147</v>
      </c>
      <c r="D318" s="77" t="s">
        <v>560</v>
      </c>
      <c r="E318" s="62">
        <f>F318+I318</f>
        <v>0</v>
      </c>
      <c r="F318" s="23">
        <v>0</v>
      </c>
      <c r="G318" s="23">
        <v>0</v>
      </c>
      <c r="H318" s="23">
        <v>0</v>
      </c>
      <c r="I318" s="23">
        <v>0</v>
      </c>
      <c r="J318" s="62">
        <f>K318+N318</f>
        <v>150000</v>
      </c>
      <c r="K318" s="23">
        <v>0</v>
      </c>
      <c r="L318" s="23">
        <v>0</v>
      </c>
      <c r="M318" s="23">
        <v>0</v>
      </c>
      <c r="N318" s="23">
        <f>150000</f>
        <v>150000</v>
      </c>
      <c r="O318" s="23">
        <f>150000</f>
        <v>150000</v>
      </c>
      <c r="P318" s="22">
        <f t="shared" si="42"/>
        <v>150000</v>
      </c>
    </row>
    <row r="319" spans="1:16" s="13" customFormat="1" ht="15">
      <c r="A319" s="18" t="s">
        <v>479</v>
      </c>
      <c r="B319" s="68" t="s">
        <v>32</v>
      </c>
      <c r="C319" s="69" t="s">
        <v>31</v>
      </c>
      <c r="D319" s="78" t="s">
        <v>33</v>
      </c>
      <c r="E319" s="61">
        <f>F319+I319</f>
        <v>1200000</v>
      </c>
      <c r="F319" s="21">
        <f>F321+F322</f>
        <v>1200000</v>
      </c>
      <c r="G319" s="21">
        <f>G321+G322</f>
        <v>0</v>
      </c>
      <c r="H319" s="21">
        <f>H321+H322</f>
        <v>0</v>
      </c>
      <c r="I319" s="21">
        <f>I321+I322</f>
        <v>0</v>
      </c>
      <c r="J319" s="61">
        <f>K319+N319</f>
        <v>0</v>
      </c>
      <c r="K319" s="21">
        <f>K321+K322</f>
        <v>0</v>
      </c>
      <c r="L319" s="21">
        <f>L321+L322</f>
        <v>0</v>
      </c>
      <c r="M319" s="21">
        <f>M321+M322</f>
        <v>0</v>
      </c>
      <c r="N319" s="21">
        <f>N321+N322</f>
        <v>0</v>
      </c>
      <c r="O319" s="21">
        <f>O321+O322</f>
        <v>0</v>
      </c>
      <c r="P319" s="21">
        <f t="shared" si="42"/>
        <v>1200000</v>
      </c>
    </row>
    <row r="320" spans="1:16" s="49" customFormat="1" ht="15">
      <c r="A320" s="44"/>
      <c r="B320" s="45"/>
      <c r="C320" s="46"/>
      <c r="D320" s="100" t="s">
        <v>489</v>
      </c>
      <c r="E320" s="65"/>
      <c r="F320" s="48"/>
      <c r="G320" s="48"/>
      <c r="H320" s="48"/>
      <c r="I320" s="48"/>
      <c r="J320" s="65"/>
      <c r="K320" s="48"/>
      <c r="L320" s="48"/>
      <c r="M320" s="48"/>
      <c r="N320" s="48"/>
      <c r="O320" s="48"/>
      <c r="P320" s="47"/>
    </row>
    <row r="321" spans="1:16" s="49" customFormat="1" ht="90">
      <c r="A321" s="50" t="s">
        <v>490</v>
      </c>
      <c r="B321" s="51" t="s">
        <v>488</v>
      </c>
      <c r="C321" s="52" t="s">
        <v>31</v>
      </c>
      <c r="D321" s="101" t="s">
        <v>499</v>
      </c>
      <c r="E321" s="62">
        <f>F321+I321</f>
        <v>200000</v>
      </c>
      <c r="F321" s="53">
        <v>200000</v>
      </c>
      <c r="G321" s="53">
        <v>0</v>
      </c>
      <c r="H321" s="53">
        <v>0</v>
      </c>
      <c r="I321" s="53">
        <v>0</v>
      </c>
      <c r="J321" s="62">
        <f>K321+N321</f>
        <v>0</v>
      </c>
      <c r="K321" s="53">
        <v>0</v>
      </c>
      <c r="L321" s="53">
        <v>0</v>
      </c>
      <c r="M321" s="53">
        <v>0</v>
      </c>
      <c r="N321" s="53">
        <v>0</v>
      </c>
      <c r="O321" s="53">
        <v>0</v>
      </c>
      <c r="P321" s="54">
        <f>E321+J321</f>
        <v>200000</v>
      </c>
    </row>
    <row r="322" spans="1:16" s="49" customFormat="1" ht="60">
      <c r="A322" s="50" t="s">
        <v>535</v>
      </c>
      <c r="B322" s="51" t="s">
        <v>536</v>
      </c>
      <c r="C322" s="52" t="s">
        <v>31</v>
      </c>
      <c r="D322" s="101" t="s">
        <v>537</v>
      </c>
      <c r="E322" s="62">
        <f>F322+I322</f>
        <v>1000000</v>
      </c>
      <c r="F322" s="53">
        <v>1000000</v>
      </c>
      <c r="G322" s="53">
        <v>0</v>
      </c>
      <c r="H322" s="53">
        <v>0</v>
      </c>
      <c r="I322" s="53">
        <v>0</v>
      </c>
      <c r="J322" s="62">
        <f>K322+N322</f>
        <v>0</v>
      </c>
      <c r="K322" s="53">
        <v>0</v>
      </c>
      <c r="L322" s="53">
        <v>0</v>
      </c>
      <c r="M322" s="53">
        <v>0</v>
      </c>
      <c r="N322" s="53">
        <v>0</v>
      </c>
      <c r="O322" s="53">
        <v>0</v>
      </c>
      <c r="P322" s="54">
        <f>E322+J322</f>
        <v>1000000</v>
      </c>
    </row>
    <row r="323" spans="1:16" s="105" customFormat="1" ht="25.5" customHeight="1">
      <c r="A323" s="70" t="s">
        <v>309</v>
      </c>
      <c r="B323" s="71"/>
      <c r="C323" s="72"/>
      <c r="D323" s="76" t="s">
        <v>310</v>
      </c>
      <c r="E323" s="73">
        <f>F323+I323</f>
        <v>146920737</v>
      </c>
      <c r="F323" s="74">
        <f aca="true" t="shared" si="44" ref="F323:O323">F324</f>
        <v>146920737</v>
      </c>
      <c r="G323" s="74">
        <f t="shared" si="44"/>
        <v>3109300</v>
      </c>
      <c r="H323" s="74">
        <f t="shared" si="44"/>
        <v>7509475</v>
      </c>
      <c r="I323" s="74">
        <f t="shared" si="44"/>
        <v>0</v>
      </c>
      <c r="J323" s="73">
        <f>K323+N323</f>
        <v>162467522</v>
      </c>
      <c r="K323" s="74">
        <f t="shared" si="44"/>
        <v>92700</v>
      </c>
      <c r="L323" s="74">
        <f t="shared" si="44"/>
        <v>0</v>
      </c>
      <c r="M323" s="74">
        <f t="shared" si="44"/>
        <v>50000</v>
      </c>
      <c r="N323" s="74">
        <f t="shared" si="44"/>
        <v>162374822</v>
      </c>
      <c r="O323" s="74">
        <f t="shared" si="44"/>
        <v>162089822</v>
      </c>
      <c r="P323" s="74">
        <f>E323+J323</f>
        <v>309388259</v>
      </c>
    </row>
    <row r="324" spans="1:16" s="106" customFormat="1" ht="27" customHeight="1">
      <c r="A324" s="29" t="s">
        <v>311</v>
      </c>
      <c r="B324" s="30"/>
      <c r="C324" s="31"/>
      <c r="D324" s="82" t="s">
        <v>312</v>
      </c>
      <c r="E324" s="62">
        <f>F324+I324</f>
        <v>146920737</v>
      </c>
      <c r="F324" s="22">
        <f>F325+F326+F327+F328+F330+F332+F333+F334+F335+F336+F337+F338+F339+F340+F345</f>
        <v>146920737</v>
      </c>
      <c r="G324" s="22">
        <f aca="true" t="shared" si="45" ref="G324:O324">G325+G326+G327+G328+G330+G332+G333+G334+G335+G336+G337+G338+G339+G340+G345</f>
        <v>3109300</v>
      </c>
      <c r="H324" s="22">
        <f t="shared" si="45"/>
        <v>7509475</v>
      </c>
      <c r="I324" s="22">
        <f t="shared" si="45"/>
        <v>0</v>
      </c>
      <c r="J324" s="62">
        <f>K324+N324</f>
        <v>162467522</v>
      </c>
      <c r="K324" s="22">
        <f t="shared" si="45"/>
        <v>92700</v>
      </c>
      <c r="L324" s="22">
        <f t="shared" si="45"/>
        <v>0</v>
      </c>
      <c r="M324" s="22">
        <f t="shared" si="45"/>
        <v>50000</v>
      </c>
      <c r="N324" s="22">
        <f t="shared" si="45"/>
        <v>162374822</v>
      </c>
      <c r="O324" s="22">
        <f t="shared" si="45"/>
        <v>162089822</v>
      </c>
      <c r="P324" s="22">
        <f>E324+J324</f>
        <v>309388259</v>
      </c>
    </row>
    <row r="325" spans="1:16" s="13" customFormat="1" ht="42.75">
      <c r="A325" s="5" t="s">
        <v>313</v>
      </c>
      <c r="B325" s="32" t="s">
        <v>35</v>
      </c>
      <c r="C325" s="32" t="s">
        <v>20</v>
      </c>
      <c r="D325" s="77" t="s">
        <v>558</v>
      </c>
      <c r="E325" s="62">
        <f>F325+I325</f>
        <v>5165979</v>
      </c>
      <c r="F325" s="23">
        <f>4735359+430620</f>
        <v>5165979</v>
      </c>
      <c r="G325" s="23">
        <v>3109300</v>
      </c>
      <c r="H325" s="23">
        <v>309475</v>
      </c>
      <c r="I325" s="23">
        <v>0</v>
      </c>
      <c r="J325" s="62">
        <f>K325+N325</f>
        <v>130700</v>
      </c>
      <c r="K325" s="23">
        <v>92700</v>
      </c>
      <c r="L325" s="23">
        <v>0</v>
      </c>
      <c r="M325" s="23">
        <v>50000</v>
      </c>
      <c r="N325" s="23">
        <v>38000</v>
      </c>
      <c r="O325" s="23">
        <v>38000</v>
      </c>
      <c r="P325" s="22">
        <f>E325+J325</f>
        <v>5296679</v>
      </c>
    </row>
    <row r="326" spans="1:16" s="13" customFormat="1" ht="28.5">
      <c r="A326" s="5" t="s">
        <v>314</v>
      </c>
      <c r="B326" s="7" t="s">
        <v>37</v>
      </c>
      <c r="C326" s="6" t="s">
        <v>36</v>
      </c>
      <c r="D326" s="77" t="s">
        <v>38</v>
      </c>
      <c r="E326" s="62">
        <f aca="true" t="shared" si="46" ref="E326:E347">F326+I326</f>
        <v>400000</v>
      </c>
      <c r="F326" s="23">
        <v>400000</v>
      </c>
      <c r="G326" s="23">
        <v>0</v>
      </c>
      <c r="H326" s="23">
        <v>0</v>
      </c>
      <c r="I326" s="23">
        <v>0</v>
      </c>
      <c r="J326" s="62">
        <f aca="true" t="shared" si="47" ref="J326:J347">K326+N326</f>
        <v>0</v>
      </c>
      <c r="K326" s="23">
        <v>0</v>
      </c>
      <c r="L326" s="23">
        <v>0</v>
      </c>
      <c r="M326" s="23">
        <v>0</v>
      </c>
      <c r="N326" s="23">
        <v>0</v>
      </c>
      <c r="O326" s="23">
        <v>0</v>
      </c>
      <c r="P326" s="22">
        <f aca="true" t="shared" si="48" ref="P326:P347">E326+J326</f>
        <v>400000</v>
      </c>
    </row>
    <row r="327" spans="1:16" s="13" customFormat="1" ht="57">
      <c r="A327" s="5" t="s">
        <v>315</v>
      </c>
      <c r="B327" s="7" t="s">
        <v>317</v>
      </c>
      <c r="C327" s="6" t="s">
        <v>316</v>
      </c>
      <c r="D327" s="77" t="s">
        <v>318</v>
      </c>
      <c r="E327" s="62">
        <f t="shared" si="46"/>
        <v>27400580</v>
      </c>
      <c r="F327" s="23">
        <f>28200000-430620-450000+75200+6000</f>
        <v>27400580</v>
      </c>
      <c r="G327" s="23">
        <v>0</v>
      </c>
      <c r="H327" s="23">
        <v>0</v>
      </c>
      <c r="I327" s="23">
        <v>0</v>
      </c>
      <c r="J327" s="62">
        <f t="shared" si="47"/>
        <v>1150000</v>
      </c>
      <c r="K327" s="23">
        <v>0</v>
      </c>
      <c r="L327" s="23">
        <v>0</v>
      </c>
      <c r="M327" s="23">
        <v>0</v>
      </c>
      <c r="N327" s="23">
        <f>1200000-50000</f>
        <v>1150000</v>
      </c>
      <c r="O327" s="23">
        <f>1200000-50000</f>
        <v>1150000</v>
      </c>
      <c r="P327" s="22">
        <f t="shared" si="48"/>
        <v>28550580</v>
      </c>
    </row>
    <row r="328" spans="1:16" s="13" customFormat="1" ht="28.5">
      <c r="A328" s="18" t="s">
        <v>319</v>
      </c>
      <c r="B328" s="19"/>
      <c r="C328" s="20"/>
      <c r="D328" s="78" t="s">
        <v>320</v>
      </c>
      <c r="E328" s="61">
        <f>F328+I328</f>
        <v>0</v>
      </c>
      <c r="F328" s="21">
        <f>F329</f>
        <v>0</v>
      </c>
      <c r="G328" s="21">
        <f>G329</f>
        <v>0</v>
      </c>
      <c r="H328" s="21">
        <f>H329</f>
        <v>0</v>
      </c>
      <c r="I328" s="21">
        <f>I329</f>
        <v>0</v>
      </c>
      <c r="J328" s="61">
        <f>K328+N328</f>
        <v>3385000</v>
      </c>
      <c r="K328" s="21">
        <f>K329</f>
        <v>0</v>
      </c>
      <c r="L328" s="21">
        <f>L329</f>
        <v>0</v>
      </c>
      <c r="M328" s="21">
        <f>M329</f>
        <v>0</v>
      </c>
      <c r="N328" s="21">
        <f>N329</f>
        <v>3385000</v>
      </c>
      <c r="O328" s="21">
        <f>O329</f>
        <v>3100000</v>
      </c>
      <c r="P328" s="21">
        <f t="shared" si="48"/>
        <v>3385000</v>
      </c>
    </row>
    <row r="329" spans="1:16" s="13" customFormat="1" ht="15">
      <c r="A329" s="24" t="s">
        <v>321</v>
      </c>
      <c r="B329" s="25" t="s">
        <v>322</v>
      </c>
      <c r="C329" s="26" t="s">
        <v>316</v>
      </c>
      <c r="D329" s="79" t="s">
        <v>323</v>
      </c>
      <c r="E329" s="63">
        <f t="shared" si="46"/>
        <v>0</v>
      </c>
      <c r="F329" s="28">
        <v>0</v>
      </c>
      <c r="G329" s="28">
        <v>0</v>
      </c>
      <c r="H329" s="28">
        <v>0</v>
      </c>
      <c r="I329" s="28">
        <v>0</v>
      </c>
      <c r="J329" s="63">
        <f t="shared" si="47"/>
        <v>3385000</v>
      </c>
      <c r="K329" s="28">
        <v>0</v>
      </c>
      <c r="L329" s="28">
        <v>0</v>
      </c>
      <c r="M329" s="28">
        <v>0</v>
      </c>
      <c r="N329" s="28">
        <v>3385000</v>
      </c>
      <c r="O329" s="28">
        <v>3100000</v>
      </c>
      <c r="P329" s="27">
        <f t="shared" si="48"/>
        <v>3385000</v>
      </c>
    </row>
    <row r="330" spans="1:16" s="13" customFormat="1" ht="28.5">
      <c r="A330" s="5" t="s">
        <v>324</v>
      </c>
      <c r="B330" s="32"/>
      <c r="C330" s="33"/>
      <c r="D330" s="77" t="s">
        <v>325</v>
      </c>
      <c r="E330" s="62">
        <f t="shared" si="46"/>
        <v>0</v>
      </c>
      <c r="F330" s="23">
        <f>F331</f>
        <v>0</v>
      </c>
      <c r="G330" s="23">
        <f>G331</f>
        <v>0</v>
      </c>
      <c r="H330" s="23">
        <f>H331</f>
        <v>0</v>
      </c>
      <c r="I330" s="23">
        <f>I331</f>
        <v>0</v>
      </c>
      <c r="J330" s="62">
        <f t="shared" si="47"/>
        <v>1000000</v>
      </c>
      <c r="K330" s="23">
        <f>K331</f>
        <v>0</v>
      </c>
      <c r="L330" s="23">
        <f>L331</f>
        <v>0</v>
      </c>
      <c r="M330" s="23">
        <f>M331</f>
        <v>0</v>
      </c>
      <c r="N330" s="23">
        <f>N331</f>
        <v>1000000</v>
      </c>
      <c r="O330" s="23">
        <f>O331</f>
        <v>1000000</v>
      </c>
      <c r="P330" s="22">
        <f t="shared" si="48"/>
        <v>1000000</v>
      </c>
    </row>
    <row r="331" spans="1:16" s="13" customFormat="1" ht="30">
      <c r="A331" s="24" t="s">
        <v>326</v>
      </c>
      <c r="B331" s="25" t="s">
        <v>327</v>
      </c>
      <c r="C331" s="26" t="s">
        <v>39</v>
      </c>
      <c r="D331" s="79" t="s">
        <v>328</v>
      </c>
      <c r="E331" s="63">
        <f t="shared" si="46"/>
        <v>0</v>
      </c>
      <c r="F331" s="28">
        <v>0</v>
      </c>
      <c r="G331" s="28">
        <v>0</v>
      </c>
      <c r="H331" s="28">
        <v>0</v>
      </c>
      <c r="I331" s="28">
        <v>0</v>
      </c>
      <c r="J331" s="63">
        <f t="shared" si="47"/>
        <v>1000000</v>
      </c>
      <c r="K331" s="28">
        <v>0</v>
      </c>
      <c r="L331" s="28">
        <v>0</v>
      </c>
      <c r="M331" s="28">
        <v>0</v>
      </c>
      <c r="N331" s="28">
        <f>5000000-4000000</f>
        <v>1000000</v>
      </c>
      <c r="O331" s="28">
        <f>5000000-4000000</f>
        <v>1000000</v>
      </c>
      <c r="P331" s="27">
        <f t="shared" si="48"/>
        <v>1000000</v>
      </c>
    </row>
    <row r="332" spans="1:16" s="13" customFormat="1" ht="15">
      <c r="A332" s="5" t="s">
        <v>329</v>
      </c>
      <c r="B332" s="7" t="s">
        <v>40</v>
      </c>
      <c r="C332" s="6" t="s">
        <v>39</v>
      </c>
      <c r="D332" s="77" t="s">
        <v>41</v>
      </c>
      <c r="E332" s="62">
        <f t="shared" si="46"/>
        <v>70844178</v>
      </c>
      <c r="F332" s="23">
        <f>72200000+1000000-1858857+903035+100000-1500000</f>
        <v>70844178</v>
      </c>
      <c r="G332" s="23">
        <v>0</v>
      </c>
      <c r="H332" s="23">
        <v>7200000</v>
      </c>
      <c r="I332" s="23">
        <v>0</v>
      </c>
      <c r="J332" s="62">
        <f t="shared" si="47"/>
        <v>10955822</v>
      </c>
      <c r="K332" s="23">
        <v>0</v>
      </c>
      <c r="L332" s="23">
        <v>0</v>
      </c>
      <c r="M332" s="23">
        <v>0</v>
      </c>
      <c r="N332" s="23">
        <f>9500000+500000+955822</f>
        <v>10955822</v>
      </c>
      <c r="O332" s="23">
        <f>9500000+500000+955822</f>
        <v>10955822</v>
      </c>
      <c r="P332" s="22">
        <f t="shared" si="48"/>
        <v>81800000</v>
      </c>
    </row>
    <row r="333" spans="1:16" s="13" customFormat="1" ht="81" customHeight="1">
      <c r="A333" s="5" t="s">
        <v>330</v>
      </c>
      <c r="B333" s="7" t="s">
        <v>331</v>
      </c>
      <c r="C333" s="6" t="s">
        <v>39</v>
      </c>
      <c r="D333" s="77" t="s">
        <v>332</v>
      </c>
      <c r="E333" s="62">
        <f t="shared" si="46"/>
        <v>2000000</v>
      </c>
      <c r="F333" s="23">
        <v>2000000</v>
      </c>
      <c r="G333" s="23">
        <v>0</v>
      </c>
      <c r="H333" s="23">
        <v>0</v>
      </c>
      <c r="I333" s="23">
        <v>0</v>
      </c>
      <c r="J333" s="62">
        <f t="shared" si="47"/>
        <v>0</v>
      </c>
      <c r="K333" s="23">
        <v>0</v>
      </c>
      <c r="L333" s="23">
        <v>0</v>
      </c>
      <c r="M333" s="23">
        <v>0</v>
      </c>
      <c r="N333" s="23">
        <v>0</v>
      </c>
      <c r="O333" s="23">
        <v>0</v>
      </c>
      <c r="P333" s="22">
        <f t="shared" si="48"/>
        <v>2000000</v>
      </c>
    </row>
    <row r="334" spans="1:16" s="13" customFormat="1" ht="39" customHeight="1">
      <c r="A334" s="5" t="s">
        <v>333</v>
      </c>
      <c r="B334" s="7" t="s">
        <v>222</v>
      </c>
      <c r="C334" s="6" t="s">
        <v>147</v>
      </c>
      <c r="D334" s="77" t="s">
        <v>223</v>
      </c>
      <c r="E334" s="62">
        <f t="shared" si="46"/>
        <v>0</v>
      </c>
      <c r="F334" s="23">
        <v>0</v>
      </c>
      <c r="G334" s="23">
        <v>0</v>
      </c>
      <c r="H334" s="23">
        <v>0</v>
      </c>
      <c r="I334" s="23">
        <v>0</v>
      </c>
      <c r="J334" s="62">
        <f t="shared" si="47"/>
        <v>11210000</v>
      </c>
      <c r="K334" s="23">
        <v>0</v>
      </c>
      <c r="L334" s="23">
        <v>0</v>
      </c>
      <c r="M334" s="23">
        <v>0</v>
      </c>
      <c r="N334" s="23">
        <f>12260000+300000+150000-1500000</f>
        <v>11210000</v>
      </c>
      <c r="O334" s="23">
        <f>12260000+300000+150000-1500000</f>
        <v>11210000</v>
      </c>
      <c r="P334" s="22">
        <f t="shared" si="48"/>
        <v>11210000</v>
      </c>
    </row>
    <row r="335" spans="1:16" s="13" customFormat="1" ht="57">
      <c r="A335" s="5" t="s">
        <v>334</v>
      </c>
      <c r="B335" s="7" t="s">
        <v>335</v>
      </c>
      <c r="C335" s="6" t="s">
        <v>60</v>
      </c>
      <c r="D335" s="77" t="s">
        <v>336</v>
      </c>
      <c r="E335" s="62">
        <f t="shared" si="46"/>
        <v>0</v>
      </c>
      <c r="F335" s="23">
        <v>0</v>
      </c>
      <c r="G335" s="23">
        <v>0</v>
      </c>
      <c r="H335" s="23">
        <v>0</v>
      </c>
      <c r="I335" s="23">
        <v>0</v>
      </c>
      <c r="J335" s="62">
        <f t="shared" si="47"/>
        <v>500000</v>
      </c>
      <c r="K335" s="23">
        <v>0</v>
      </c>
      <c r="L335" s="23">
        <v>0</v>
      </c>
      <c r="M335" s="23">
        <v>0</v>
      </c>
      <c r="N335" s="23">
        <f>500000</f>
        <v>500000</v>
      </c>
      <c r="O335" s="23">
        <f>500000</f>
        <v>500000</v>
      </c>
      <c r="P335" s="22">
        <f t="shared" si="48"/>
        <v>500000</v>
      </c>
    </row>
    <row r="336" spans="1:16" s="13" customFormat="1" ht="57">
      <c r="A336" s="5" t="s">
        <v>530</v>
      </c>
      <c r="B336" s="7" t="s">
        <v>531</v>
      </c>
      <c r="C336" s="6" t="s">
        <v>158</v>
      </c>
      <c r="D336" s="102" t="s">
        <v>522</v>
      </c>
      <c r="E336" s="62">
        <f>F336+I336</f>
        <v>0</v>
      </c>
      <c r="F336" s="23">
        <v>0</v>
      </c>
      <c r="G336" s="23">
        <v>0</v>
      </c>
      <c r="H336" s="23">
        <v>0</v>
      </c>
      <c r="I336" s="23">
        <v>0</v>
      </c>
      <c r="J336" s="62">
        <f>K336+N336</f>
        <v>1146000</v>
      </c>
      <c r="K336" s="23">
        <v>0</v>
      </c>
      <c r="L336" s="23">
        <v>0</v>
      </c>
      <c r="M336" s="23">
        <v>0</v>
      </c>
      <c r="N336" s="23">
        <v>1146000</v>
      </c>
      <c r="O336" s="23">
        <v>1146000</v>
      </c>
      <c r="P336" s="22">
        <f>E336+J336</f>
        <v>1146000</v>
      </c>
    </row>
    <row r="337" spans="1:16" s="55" customFormat="1" ht="57">
      <c r="A337" s="5">
        <v>4716360</v>
      </c>
      <c r="B337" s="7">
        <v>6360</v>
      </c>
      <c r="C337" s="6" t="s">
        <v>158</v>
      </c>
      <c r="D337" s="77" t="s">
        <v>522</v>
      </c>
      <c r="E337" s="62">
        <f>F337+I337</f>
        <v>0</v>
      </c>
      <c r="F337" s="23"/>
      <c r="G337" s="23"/>
      <c r="H337" s="23"/>
      <c r="I337" s="23"/>
      <c r="J337" s="62">
        <f>K337+N337</f>
        <v>0</v>
      </c>
      <c r="K337" s="23"/>
      <c r="L337" s="23"/>
      <c r="M337" s="23"/>
      <c r="N337" s="23">
        <v>0</v>
      </c>
      <c r="O337" s="23">
        <v>0</v>
      </c>
      <c r="P337" s="22">
        <f>E337+J337</f>
        <v>0</v>
      </c>
    </row>
    <row r="338" spans="1:16" s="13" customFormat="1" ht="28.5">
      <c r="A338" s="5" t="s">
        <v>337</v>
      </c>
      <c r="B338" s="7" t="s">
        <v>339</v>
      </c>
      <c r="C338" s="6" t="s">
        <v>338</v>
      </c>
      <c r="D338" s="77" t="s">
        <v>340</v>
      </c>
      <c r="E338" s="62">
        <f t="shared" si="46"/>
        <v>38600000</v>
      </c>
      <c r="F338" s="23">
        <f>30600000+8000000</f>
        <v>38600000</v>
      </c>
      <c r="G338" s="23">
        <v>0</v>
      </c>
      <c r="H338" s="23">
        <v>0</v>
      </c>
      <c r="I338" s="23">
        <v>0</v>
      </c>
      <c r="J338" s="62">
        <f t="shared" si="47"/>
        <v>0</v>
      </c>
      <c r="K338" s="23">
        <v>0</v>
      </c>
      <c r="L338" s="23">
        <v>0</v>
      </c>
      <c r="M338" s="23">
        <v>0</v>
      </c>
      <c r="N338" s="23">
        <v>0</v>
      </c>
      <c r="O338" s="23">
        <v>0</v>
      </c>
      <c r="P338" s="22">
        <f t="shared" si="48"/>
        <v>38600000</v>
      </c>
    </row>
    <row r="339" spans="1:16" s="13" customFormat="1" ht="28.5">
      <c r="A339" s="5" t="s">
        <v>341</v>
      </c>
      <c r="B339" s="7" t="s">
        <v>148</v>
      </c>
      <c r="C339" s="6" t="s">
        <v>147</v>
      </c>
      <c r="D339" s="77" t="s">
        <v>149</v>
      </c>
      <c r="E339" s="62">
        <f t="shared" si="46"/>
        <v>0</v>
      </c>
      <c r="F339" s="23">
        <v>0</v>
      </c>
      <c r="G339" s="23">
        <v>0</v>
      </c>
      <c r="H339" s="23">
        <v>0</v>
      </c>
      <c r="I339" s="23">
        <v>0</v>
      </c>
      <c r="J339" s="62">
        <f t="shared" si="47"/>
        <v>72990000</v>
      </c>
      <c r="K339" s="23">
        <v>0</v>
      </c>
      <c r="L339" s="23">
        <v>0</v>
      </c>
      <c r="M339" s="23">
        <v>0</v>
      </c>
      <c r="N339" s="23">
        <f>73790000+2200000-5000000+1500000+500000</f>
        <v>72990000</v>
      </c>
      <c r="O339" s="23">
        <f>73790000+2200000-5000000+1500000+500000</f>
        <v>72990000</v>
      </c>
      <c r="P339" s="22">
        <f t="shared" si="48"/>
        <v>72990000</v>
      </c>
    </row>
    <row r="340" spans="1:16" s="13" customFormat="1" ht="15">
      <c r="A340" s="18" t="s">
        <v>342</v>
      </c>
      <c r="B340" s="68" t="s">
        <v>32</v>
      </c>
      <c r="C340" s="69" t="s">
        <v>31</v>
      </c>
      <c r="D340" s="78" t="s">
        <v>33</v>
      </c>
      <c r="E340" s="61">
        <f t="shared" si="46"/>
        <v>2510000</v>
      </c>
      <c r="F340" s="21">
        <f>F342+F343+F344</f>
        <v>2510000</v>
      </c>
      <c r="G340" s="21">
        <f>G342+G343+G344</f>
        <v>0</v>
      </c>
      <c r="H340" s="21">
        <f>H342+H343+H344</f>
        <v>0</v>
      </c>
      <c r="I340" s="21">
        <f>I342+I343+I344</f>
        <v>0</v>
      </c>
      <c r="J340" s="61">
        <f t="shared" si="47"/>
        <v>0</v>
      </c>
      <c r="K340" s="21">
        <f>K342+K343+K344</f>
        <v>0</v>
      </c>
      <c r="L340" s="21">
        <f>L342+L343+L344</f>
        <v>0</v>
      </c>
      <c r="M340" s="21">
        <f>M342+M343+M344</f>
        <v>0</v>
      </c>
      <c r="N340" s="21">
        <f>N342+N343+N344</f>
        <v>0</v>
      </c>
      <c r="O340" s="21">
        <f>O342+O343+O344</f>
        <v>0</v>
      </c>
      <c r="P340" s="21">
        <f t="shared" si="48"/>
        <v>2510000</v>
      </c>
    </row>
    <row r="341" spans="1:16" s="49" customFormat="1" ht="15">
      <c r="A341" s="44"/>
      <c r="B341" s="45"/>
      <c r="C341" s="46"/>
      <c r="D341" s="100" t="s">
        <v>489</v>
      </c>
      <c r="E341" s="62"/>
      <c r="F341" s="48"/>
      <c r="G341" s="48"/>
      <c r="H341" s="48"/>
      <c r="I341" s="48"/>
      <c r="J341" s="62"/>
      <c r="K341" s="48"/>
      <c r="L341" s="48"/>
      <c r="M341" s="48"/>
      <c r="N341" s="48"/>
      <c r="O341" s="48"/>
      <c r="P341" s="22"/>
    </row>
    <row r="342" spans="1:16" s="49" customFormat="1" ht="30">
      <c r="A342" s="50" t="s">
        <v>508</v>
      </c>
      <c r="B342" s="51">
        <v>8604</v>
      </c>
      <c r="C342" s="52" t="s">
        <v>31</v>
      </c>
      <c r="D342" s="101" t="s">
        <v>496</v>
      </c>
      <c r="E342" s="66">
        <f t="shared" si="46"/>
        <v>200000</v>
      </c>
      <c r="F342" s="53">
        <v>200000</v>
      </c>
      <c r="G342" s="53">
        <v>0</v>
      </c>
      <c r="H342" s="53">
        <v>0</v>
      </c>
      <c r="I342" s="53">
        <v>0</v>
      </c>
      <c r="J342" s="66">
        <f t="shared" si="47"/>
        <v>0</v>
      </c>
      <c r="K342" s="53">
        <v>0</v>
      </c>
      <c r="L342" s="53">
        <v>0</v>
      </c>
      <c r="M342" s="53">
        <v>0</v>
      </c>
      <c r="N342" s="53">
        <v>0</v>
      </c>
      <c r="O342" s="53">
        <v>0</v>
      </c>
      <c r="P342" s="54">
        <f t="shared" si="48"/>
        <v>200000</v>
      </c>
    </row>
    <row r="343" spans="1:16" s="49" customFormat="1" ht="45">
      <c r="A343" s="50">
        <v>4718605</v>
      </c>
      <c r="B343" s="51">
        <v>8605</v>
      </c>
      <c r="C343" s="56" t="s">
        <v>31</v>
      </c>
      <c r="D343" s="101" t="s">
        <v>497</v>
      </c>
      <c r="E343" s="66">
        <f t="shared" si="46"/>
        <v>1300000</v>
      </c>
      <c r="F343" s="53">
        <v>1300000</v>
      </c>
      <c r="G343" s="53"/>
      <c r="H343" s="53"/>
      <c r="I343" s="53"/>
      <c r="J343" s="66">
        <f t="shared" si="47"/>
        <v>0</v>
      </c>
      <c r="K343" s="53"/>
      <c r="L343" s="53"/>
      <c r="M343" s="53"/>
      <c r="N343" s="53"/>
      <c r="O343" s="53"/>
      <c r="P343" s="54">
        <f t="shared" si="48"/>
        <v>1300000</v>
      </c>
    </row>
    <row r="344" spans="1:16" s="49" customFormat="1" ht="45">
      <c r="A344" s="50">
        <v>4718606</v>
      </c>
      <c r="B344" s="51">
        <v>8606</v>
      </c>
      <c r="C344" s="56" t="s">
        <v>31</v>
      </c>
      <c r="D344" s="101" t="s">
        <v>498</v>
      </c>
      <c r="E344" s="66">
        <f t="shared" si="46"/>
        <v>1010000</v>
      </c>
      <c r="F344" s="53">
        <v>1010000</v>
      </c>
      <c r="G344" s="53"/>
      <c r="H344" s="53"/>
      <c r="I344" s="53"/>
      <c r="J344" s="66">
        <f t="shared" si="47"/>
        <v>0</v>
      </c>
      <c r="K344" s="53"/>
      <c r="L344" s="53"/>
      <c r="M344" s="53"/>
      <c r="N344" s="53"/>
      <c r="O344" s="53"/>
      <c r="P344" s="54">
        <f t="shared" si="48"/>
        <v>1010000</v>
      </c>
    </row>
    <row r="345" spans="1:16" s="13" customFormat="1" ht="15">
      <c r="A345" s="18" t="s">
        <v>343</v>
      </c>
      <c r="B345" s="68" t="s">
        <v>344</v>
      </c>
      <c r="C345" s="69" t="s">
        <v>35</v>
      </c>
      <c r="D345" s="78" t="s">
        <v>345</v>
      </c>
      <c r="E345" s="61">
        <f t="shared" si="46"/>
        <v>0</v>
      </c>
      <c r="F345" s="21">
        <f>F347</f>
        <v>0</v>
      </c>
      <c r="G345" s="21">
        <f aca="true" t="shared" si="49" ref="G345:O345">G347</f>
        <v>0</v>
      </c>
      <c r="H345" s="21">
        <f t="shared" si="49"/>
        <v>0</v>
      </c>
      <c r="I345" s="21">
        <f t="shared" si="49"/>
        <v>0</v>
      </c>
      <c r="J345" s="61">
        <f t="shared" si="47"/>
        <v>60000000</v>
      </c>
      <c r="K345" s="21">
        <f>K347</f>
        <v>0</v>
      </c>
      <c r="L345" s="21">
        <f t="shared" si="49"/>
        <v>0</v>
      </c>
      <c r="M345" s="21">
        <f t="shared" si="49"/>
        <v>0</v>
      </c>
      <c r="N345" s="21">
        <f t="shared" si="49"/>
        <v>60000000</v>
      </c>
      <c r="O345" s="21">
        <f t="shared" si="49"/>
        <v>60000000</v>
      </c>
      <c r="P345" s="21">
        <f t="shared" si="48"/>
        <v>60000000</v>
      </c>
    </row>
    <row r="346" spans="1:16" s="49" customFormat="1" ht="15">
      <c r="A346" s="44"/>
      <c r="B346" s="45"/>
      <c r="C346" s="46"/>
      <c r="D346" s="100" t="s">
        <v>489</v>
      </c>
      <c r="E346" s="62"/>
      <c r="F346" s="48"/>
      <c r="G346" s="48"/>
      <c r="H346" s="48"/>
      <c r="I346" s="48"/>
      <c r="J346" s="62"/>
      <c r="K346" s="48"/>
      <c r="L346" s="48"/>
      <c r="M346" s="48"/>
      <c r="N346" s="48"/>
      <c r="O346" s="48"/>
      <c r="P346" s="22"/>
    </row>
    <row r="347" spans="1:16" s="57" customFormat="1" ht="60">
      <c r="A347" s="50" t="s">
        <v>491</v>
      </c>
      <c r="B347" s="51">
        <v>8801</v>
      </c>
      <c r="C347" s="52" t="s">
        <v>35</v>
      </c>
      <c r="D347" s="101" t="s">
        <v>495</v>
      </c>
      <c r="E347" s="66">
        <f t="shared" si="46"/>
        <v>0</v>
      </c>
      <c r="F347" s="53">
        <v>0</v>
      </c>
      <c r="G347" s="53">
        <v>0</v>
      </c>
      <c r="H347" s="53">
        <v>0</v>
      </c>
      <c r="I347" s="53">
        <v>0</v>
      </c>
      <c r="J347" s="66">
        <f t="shared" si="47"/>
        <v>60000000</v>
      </c>
      <c r="K347" s="53">
        <v>0</v>
      </c>
      <c r="L347" s="53">
        <v>0</v>
      </c>
      <c r="M347" s="53">
        <v>0</v>
      </c>
      <c r="N347" s="53">
        <v>60000000</v>
      </c>
      <c r="O347" s="53">
        <v>60000000</v>
      </c>
      <c r="P347" s="54">
        <f t="shared" si="48"/>
        <v>60000000</v>
      </c>
    </row>
    <row r="348" spans="1:16" s="105" customFormat="1" ht="38.25" customHeight="1">
      <c r="A348" s="70" t="s">
        <v>346</v>
      </c>
      <c r="B348" s="71"/>
      <c r="C348" s="72"/>
      <c r="D348" s="76" t="s">
        <v>347</v>
      </c>
      <c r="E348" s="73">
        <f aca="true" t="shared" si="50" ref="E348:E353">F348+I348</f>
        <v>3608137</v>
      </c>
      <c r="F348" s="74">
        <f>F349+F356</f>
        <v>3608137</v>
      </c>
      <c r="G348" s="74">
        <f>G349+G356</f>
        <v>1821608</v>
      </c>
      <c r="H348" s="74">
        <f>H349+H356</f>
        <v>277275</v>
      </c>
      <c r="I348" s="74">
        <f>I349+I356</f>
        <v>0</v>
      </c>
      <c r="J348" s="73">
        <f aca="true" t="shared" si="51" ref="J348:J353">K348+N348</f>
        <v>766000</v>
      </c>
      <c r="K348" s="74">
        <f>K349+K356</f>
        <v>0</v>
      </c>
      <c r="L348" s="74">
        <f>L349+L356</f>
        <v>0</v>
      </c>
      <c r="M348" s="74">
        <f>M349+M356</f>
        <v>0</v>
      </c>
      <c r="N348" s="74">
        <f>N349+N356</f>
        <v>766000</v>
      </c>
      <c r="O348" s="74">
        <f>O349+O356</f>
        <v>766000</v>
      </c>
      <c r="P348" s="74">
        <f aca="true" t="shared" si="52" ref="P348:P353">E348+J348</f>
        <v>4374137</v>
      </c>
    </row>
    <row r="349" spans="1:16" s="106" customFormat="1" ht="28.5">
      <c r="A349" s="29" t="s">
        <v>348</v>
      </c>
      <c r="B349" s="30"/>
      <c r="C349" s="31"/>
      <c r="D349" s="82" t="s">
        <v>349</v>
      </c>
      <c r="E349" s="62">
        <f t="shared" si="50"/>
        <v>2677792</v>
      </c>
      <c r="F349" s="22">
        <f>F350+F351+F352+F353</f>
        <v>2677792</v>
      </c>
      <c r="G349" s="22">
        <f aca="true" t="shared" si="53" ref="G349:O349">G350+G351+G352+G353</f>
        <v>1226014</v>
      </c>
      <c r="H349" s="22">
        <f t="shared" si="53"/>
        <v>202855</v>
      </c>
      <c r="I349" s="22">
        <f t="shared" si="53"/>
        <v>0</v>
      </c>
      <c r="J349" s="62">
        <f t="shared" si="51"/>
        <v>766000</v>
      </c>
      <c r="K349" s="22">
        <f t="shared" si="53"/>
        <v>0</v>
      </c>
      <c r="L349" s="22">
        <f t="shared" si="53"/>
        <v>0</v>
      </c>
      <c r="M349" s="22">
        <f t="shared" si="53"/>
        <v>0</v>
      </c>
      <c r="N349" s="22">
        <f t="shared" si="53"/>
        <v>766000</v>
      </c>
      <c r="O349" s="22">
        <f t="shared" si="53"/>
        <v>766000</v>
      </c>
      <c r="P349" s="22">
        <f t="shared" si="52"/>
        <v>3443792</v>
      </c>
    </row>
    <row r="350" spans="1:16" s="13" customFormat="1" ht="42.75">
      <c r="A350" s="5" t="s">
        <v>350</v>
      </c>
      <c r="B350" s="32" t="s">
        <v>35</v>
      </c>
      <c r="C350" s="32" t="s">
        <v>20</v>
      </c>
      <c r="D350" s="77" t="s">
        <v>558</v>
      </c>
      <c r="E350" s="62">
        <f t="shared" si="50"/>
        <v>2177792</v>
      </c>
      <c r="F350" s="23">
        <v>2177792</v>
      </c>
      <c r="G350" s="23">
        <v>1226014</v>
      </c>
      <c r="H350" s="23">
        <v>202855</v>
      </c>
      <c r="I350" s="23">
        <v>0</v>
      </c>
      <c r="J350" s="62">
        <f t="shared" si="51"/>
        <v>0</v>
      </c>
      <c r="K350" s="23">
        <v>0</v>
      </c>
      <c r="L350" s="23">
        <v>0</v>
      </c>
      <c r="M350" s="23">
        <v>0</v>
      </c>
      <c r="N350" s="23">
        <v>0</v>
      </c>
      <c r="O350" s="23">
        <v>0</v>
      </c>
      <c r="P350" s="22">
        <f t="shared" si="52"/>
        <v>2177792</v>
      </c>
    </row>
    <row r="351" spans="1:16" s="13" customFormat="1" ht="28.5">
      <c r="A351" s="5" t="s">
        <v>351</v>
      </c>
      <c r="B351" s="7" t="s">
        <v>353</v>
      </c>
      <c r="C351" s="6" t="s">
        <v>352</v>
      </c>
      <c r="D351" s="77" t="s">
        <v>354</v>
      </c>
      <c r="E351" s="62">
        <f t="shared" si="50"/>
        <v>0</v>
      </c>
      <c r="F351" s="23">
        <v>0</v>
      </c>
      <c r="G351" s="23">
        <v>0</v>
      </c>
      <c r="H351" s="23">
        <v>0</v>
      </c>
      <c r="I351" s="23">
        <v>0</v>
      </c>
      <c r="J351" s="62">
        <f t="shared" si="51"/>
        <v>266000</v>
      </c>
      <c r="K351" s="23">
        <v>0</v>
      </c>
      <c r="L351" s="23">
        <v>0</v>
      </c>
      <c r="M351" s="23">
        <v>0</v>
      </c>
      <c r="N351" s="23">
        <f>1500000-1234000</f>
        <v>266000</v>
      </c>
      <c r="O351" s="23">
        <f>1500000-1234000</f>
        <v>266000</v>
      </c>
      <c r="P351" s="22">
        <f t="shared" si="52"/>
        <v>266000</v>
      </c>
    </row>
    <row r="352" spans="1:16" s="13" customFormat="1" ht="28.5">
      <c r="A352" s="5" t="s">
        <v>355</v>
      </c>
      <c r="B352" s="7" t="s">
        <v>148</v>
      </c>
      <c r="C352" s="6" t="s">
        <v>147</v>
      </c>
      <c r="D352" s="77" t="s">
        <v>149</v>
      </c>
      <c r="E352" s="62">
        <f t="shared" si="50"/>
        <v>0</v>
      </c>
      <c r="F352" s="23">
        <v>0</v>
      </c>
      <c r="G352" s="23">
        <v>0</v>
      </c>
      <c r="H352" s="23">
        <v>0</v>
      </c>
      <c r="I352" s="23">
        <v>0</v>
      </c>
      <c r="J352" s="62">
        <f t="shared" si="51"/>
        <v>500000</v>
      </c>
      <c r="K352" s="23">
        <v>0</v>
      </c>
      <c r="L352" s="23">
        <v>0</v>
      </c>
      <c r="M352" s="23">
        <v>0</v>
      </c>
      <c r="N352" s="23">
        <v>500000</v>
      </c>
      <c r="O352" s="23">
        <v>500000</v>
      </c>
      <c r="P352" s="22">
        <f t="shared" si="52"/>
        <v>500000</v>
      </c>
    </row>
    <row r="353" spans="1:16" s="13" customFormat="1" ht="15">
      <c r="A353" s="5" t="s">
        <v>356</v>
      </c>
      <c r="B353" s="7" t="s">
        <v>344</v>
      </c>
      <c r="C353" s="6" t="s">
        <v>35</v>
      </c>
      <c r="D353" s="77" t="s">
        <v>345</v>
      </c>
      <c r="E353" s="62">
        <f t="shared" si="50"/>
        <v>500000</v>
      </c>
      <c r="F353" s="23">
        <f>F355</f>
        <v>500000</v>
      </c>
      <c r="G353" s="23">
        <f>G355</f>
        <v>0</v>
      </c>
      <c r="H353" s="23">
        <f>H355</f>
        <v>0</v>
      </c>
      <c r="I353" s="23">
        <f>I355</f>
        <v>0</v>
      </c>
      <c r="J353" s="62">
        <f t="shared" si="51"/>
        <v>0</v>
      </c>
      <c r="K353" s="23">
        <f>K355</f>
        <v>0</v>
      </c>
      <c r="L353" s="23">
        <f>L355</f>
        <v>0</v>
      </c>
      <c r="M353" s="23">
        <f>M355</f>
        <v>0</v>
      </c>
      <c r="N353" s="23">
        <f>N355</f>
        <v>0</v>
      </c>
      <c r="O353" s="23">
        <f>O355</f>
        <v>0</v>
      </c>
      <c r="P353" s="22">
        <f t="shared" si="52"/>
        <v>500000</v>
      </c>
    </row>
    <row r="354" spans="1:16" s="49" customFormat="1" ht="15">
      <c r="A354" s="50"/>
      <c r="B354" s="51"/>
      <c r="C354" s="52"/>
      <c r="D354" s="100" t="s">
        <v>489</v>
      </c>
      <c r="E354" s="66"/>
      <c r="F354" s="53"/>
      <c r="G354" s="53"/>
      <c r="H354" s="53"/>
      <c r="I354" s="53"/>
      <c r="J354" s="66"/>
      <c r="K354" s="53"/>
      <c r="L354" s="53"/>
      <c r="M354" s="53"/>
      <c r="N354" s="53"/>
      <c r="O354" s="53"/>
      <c r="P354" s="54"/>
    </row>
    <row r="355" spans="1:16" s="49" customFormat="1" ht="45">
      <c r="A355" s="50" t="s">
        <v>493</v>
      </c>
      <c r="B355" s="51" t="s">
        <v>492</v>
      </c>
      <c r="C355" s="52" t="s">
        <v>35</v>
      </c>
      <c r="D355" s="101" t="s">
        <v>494</v>
      </c>
      <c r="E355" s="66">
        <f>F355+I355</f>
        <v>500000</v>
      </c>
      <c r="F355" s="53">
        <v>500000</v>
      </c>
      <c r="G355" s="53">
        <v>0</v>
      </c>
      <c r="H355" s="53">
        <v>0</v>
      </c>
      <c r="I355" s="53">
        <v>0</v>
      </c>
      <c r="J355" s="66">
        <f>K355+N355</f>
        <v>0</v>
      </c>
      <c r="K355" s="53">
        <v>0</v>
      </c>
      <c r="L355" s="53">
        <v>0</v>
      </c>
      <c r="M355" s="53">
        <v>0</v>
      </c>
      <c r="N355" s="53">
        <v>0</v>
      </c>
      <c r="O355" s="53">
        <v>0</v>
      </c>
      <c r="P355" s="54">
        <f aca="true" t="shared" si="54" ref="P355:P360">E355+J355</f>
        <v>500000</v>
      </c>
    </row>
    <row r="356" spans="1:16" s="106" customFormat="1" ht="28.5">
      <c r="A356" s="29" t="s">
        <v>348</v>
      </c>
      <c r="B356" s="30"/>
      <c r="C356" s="31"/>
      <c r="D356" s="103" t="s">
        <v>425</v>
      </c>
      <c r="E356" s="62">
        <f aca="true" t="shared" si="55" ref="E356:E375">F356+I356</f>
        <v>930345</v>
      </c>
      <c r="F356" s="22">
        <f>F357</f>
        <v>930345</v>
      </c>
      <c r="G356" s="22">
        <f>G357</f>
        <v>595594</v>
      </c>
      <c r="H356" s="22">
        <f>H357</f>
        <v>74420</v>
      </c>
      <c r="I356" s="22">
        <f>I357</f>
        <v>0</v>
      </c>
      <c r="J356" s="62">
        <f aca="true" t="shared" si="56" ref="J356:J386">K356+N356</f>
        <v>0</v>
      </c>
      <c r="K356" s="22">
        <f>K357</f>
        <v>0</v>
      </c>
      <c r="L356" s="22">
        <f>L357</f>
        <v>0</v>
      </c>
      <c r="M356" s="22">
        <f>M357</f>
        <v>0</v>
      </c>
      <c r="N356" s="22">
        <f>N357</f>
        <v>0</v>
      </c>
      <c r="O356" s="22">
        <f>O357</f>
        <v>0</v>
      </c>
      <c r="P356" s="22">
        <f t="shared" si="54"/>
        <v>930345</v>
      </c>
    </row>
    <row r="357" spans="1:16" s="13" customFormat="1" ht="42.75">
      <c r="A357" s="5" t="s">
        <v>350</v>
      </c>
      <c r="B357" s="32" t="s">
        <v>35</v>
      </c>
      <c r="C357" s="32" t="s">
        <v>20</v>
      </c>
      <c r="D357" s="77" t="s">
        <v>558</v>
      </c>
      <c r="E357" s="62">
        <f t="shared" si="55"/>
        <v>930345</v>
      </c>
      <c r="F357" s="23">
        <v>930345</v>
      </c>
      <c r="G357" s="23">
        <v>595594</v>
      </c>
      <c r="H357" s="23">
        <v>74420</v>
      </c>
      <c r="I357" s="23">
        <v>0</v>
      </c>
      <c r="J357" s="62">
        <f t="shared" si="56"/>
        <v>0</v>
      </c>
      <c r="K357" s="23">
        <v>0</v>
      </c>
      <c r="L357" s="23">
        <v>0</v>
      </c>
      <c r="M357" s="23">
        <v>0</v>
      </c>
      <c r="N357" s="23">
        <v>0</v>
      </c>
      <c r="O357" s="23">
        <v>0</v>
      </c>
      <c r="P357" s="22">
        <f t="shared" si="54"/>
        <v>930345</v>
      </c>
    </row>
    <row r="358" spans="1:16" s="105" customFormat="1" ht="47.25">
      <c r="A358" s="70" t="s">
        <v>357</v>
      </c>
      <c r="B358" s="71"/>
      <c r="C358" s="72"/>
      <c r="D358" s="76" t="s">
        <v>358</v>
      </c>
      <c r="E358" s="73">
        <f t="shared" si="55"/>
        <v>1103975</v>
      </c>
      <c r="F358" s="74">
        <f aca="true" t="shared" si="57" ref="F358:O358">F359</f>
        <v>1103975</v>
      </c>
      <c r="G358" s="74">
        <f t="shared" si="57"/>
        <v>780493</v>
      </c>
      <c r="H358" s="74">
        <f t="shared" si="57"/>
        <v>57634</v>
      </c>
      <c r="I358" s="74">
        <f t="shared" si="57"/>
        <v>0</v>
      </c>
      <c r="J358" s="73">
        <f t="shared" si="56"/>
        <v>9766074.8</v>
      </c>
      <c r="K358" s="74">
        <f t="shared" si="57"/>
        <v>2707900</v>
      </c>
      <c r="L358" s="74">
        <f t="shared" si="57"/>
        <v>0</v>
      </c>
      <c r="M358" s="74">
        <f t="shared" si="57"/>
        <v>0</v>
      </c>
      <c r="N358" s="74">
        <f t="shared" si="57"/>
        <v>7058174.8</v>
      </c>
      <c r="O358" s="74">
        <f t="shared" si="57"/>
        <v>200000</v>
      </c>
      <c r="P358" s="74">
        <f t="shared" si="54"/>
        <v>10870049.8</v>
      </c>
    </row>
    <row r="359" spans="1:16" s="106" customFormat="1" ht="28.5">
      <c r="A359" s="29" t="s">
        <v>359</v>
      </c>
      <c r="B359" s="30"/>
      <c r="C359" s="31"/>
      <c r="D359" s="82" t="s">
        <v>360</v>
      </c>
      <c r="E359" s="62">
        <f>F359+I359</f>
        <v>1103975</v>
      </c>
      <c r="F359" s="22">
        <f>F360+F361+F362+F363+F364+F365+F366</f>
        <v>1103975</v>
      </c>
      <c r="G359" s="22">
        <f>G360+G361+G362+G363+G364+G365+G366</f>
        <v>780493</v>
      </c>
      <c r="H359" s="22">
        <f>H360+H361+H362+H363+H364+H365+H366</f>
        <v>57634</v>
      </c>
      <c r="I359" s="22">
        <f>I360+I361+I362+I363+I364+I365+I366</f>
        <v>0</v>
      </c>
      <c r="J359" s="62">
        <f>K359+N359</f>
        <v>9766074.8</v>
      </c>
      <c r="K359" s="22">
        <f>K360+K361+K362+K363+K364+K365+K366</f>
        <v>2707900</v>
      </c>
      <c r="L359" s="22">
        <f>L360+L361+L362+L363+L364+L365+L366</f>
        <v>0</v>
      </c>
      <c r="M359" s="22">
        <f>M360+M361+M362+M363+M364+M365+M366</f>
        <v>0</v>
      </c>
      <c r="N359" s="22">
        <f>N360+N361+N362+N363+N364+N365+N366</f>
        <v>7058174.8</v>
      </c>
      <c r="O359" s="22">
        <f>O360+O361+O362+O363+O364+O365+O366</f>
        <v>200000</v>
      </c>
      <c r="P359" s="22">
        <f t="shared" si="54"/>
        <v>10870049.8</v>
      </c>
    </row>
    <row r="360" spans="1:16" s="13" customFormat="1" ht="42.75">
      <c r="A360" s="5" t="s">
        <v>361</v>
      </c>
      <c r="B360" s="32" t="s">
        <v>35</v>
      </c>
      <c r="C360" s="32" t="s">
        <v>20</v>
      </c>
      <c r="D360" s="77" t="s">
        <v>558</v>
      </c>
      <c r="E360" s="62">
        <f t="shared" si="55"/>
        <v>1072199</v>
      </c>
      <c r="F360" s="23">
        <f>1103975-31776</f>
        <v>1072199</v>
      </c>
      <c r="G360" s="23">
        <v>780493</v>
      </c>
      <c r="H360" s="23">
        <v>57634</v>
      </c>
      <c r="I360" s="23">
        <v>0</v>
      </c>
      <c r="J360" s="62">
        <f t="shared" si="56"/>
        <v>0</v>
      </c>
      <c r="K360" s="23">
        <v>0</v>
      </c>
      <c r="L360" s="23">
        <v>0</v>
      </c>
      <c r="M360" s="23">
        <v>0</v>
      </c>
      <c r="N360" s="23">
        <v>0</v>
      </c>
      <c r="O360" s="23">
        <v>0</v>
      </c>
      <c r="P360" s="22">
        <f t="shared" si="54"/>
        <v>1072199</v>
      </c>
    </row>
    <row r="361" spans="1:16" s="13" customFormat="1" ht="28.5">
      <c r="A361" s="5" t="s">
        <v>362</v>
      </c>
      <c r="B361" s="7" t="s">
        <v>148</v>
      </c>
      <c r="C361" s="6" t="s">
        <v>147</v>
      </c>
      <c r="D361" s="77" t="s">
        <v>149</v>
      </c>
      <c r="E361" s="62">
        <f t="shared" si="55"/>
        <v>0</v>
      </c>
      <c r="F361" s="23">
        <v>0</v>
      </c>
      <c r="G361" s="23">
        <v>0</v>
      </c>
      <c r="H361" s="23">
        <v>0</v>
      </c>
      <c r="I361" s="23">
        <v>0</v>
      </c>
      <c r="J361" s="62">
        <f t="shared" si="56"/>
        <v>200000</v>
      </c>
      <c r="K361" s="23">
        <v>0</v>
      </c>
      <c r="L361" s="23">
        <v>0</v>
      </c>
      <c r="M361" s="23">
        <v>0</v>
      </c>
      <c r="N361" s="23">
        <v>200000</v>
      </c>
      <c r="O361" s="23">
        <v>200000</v>
      </c>
      <c r="P361" s="22">
        <f aca="true" t="shared" si="58" ref="P361:P370">E361+J361</f>
        <v>200000</v>
      </c>
    </row>
    <row r="362" spans="1:18" s="13" customFormat="1" ht="28.5">
      <c r="A362" s="5" t="s">
        <v>363</v>
      </c>
      <c r="B362" s="7" t="s">
        <v>152</v>
      </c>
      <c r="C362" s="6" t="s">
        <v>151</v>
      </c>
      <c r="D362" s="77" t="s">
        <v>153</v>
      </c>
      <c r="E362" s="62">
        <f t="shared" si="55"/>
        <v>0</v>
      </c>
      <c r="F362" s="23">
        <v>0</v>
      </c>
      <c r="G362" s="23">
        <v>0</v>
      </c>
      <c r="H362" s="23">
        <v>0</v>
      </c>
      <c r="I362" s="23">
        <v>0</v>
      </c>
      <c r="J362" s="62">
        <f>K362+N362</f>
        <v>7533974.8</v>
      </c>
      <c r="K362" s="23">
        <f>230000+400000+100000</f>
        <v>730000</v>
      </c>
      <c r="L362" s="23">
        <v>0</v>
      </c>
      <c r="M362" s="23">
        <v>0</v>
      </c>
      <c r="N362" s="23">
        <f>5600000-404200+436174.8+1172000</f>
        <v>6803974.8</v>
      </c>
      <c r="O362" s="23">
        <v>0</v>
      </c>
      <c r="P362" s="22">
        <f t="shared" si="58"/>
        <v>7533974.8</v>
      </c>
      <c r="R362" s="115">
        <f>P362+P363+P364+P365</f>
        <v>9566074.8</v>
      </c>
    </row>
    <row r="363" spans="1:16" s="13" customFormat="1" ht="15">
      <c r="A363" s="5" t="s">
        <v>364</v>
      </c>
      <c r="B363" s="7" t="s">
        <v>366</v>
      </c>
      <c r="C363" s="6" t="s">
        <v>365</v>
      </c>
      <c r="D363" s="77" t="s">
        <v>367</v>
      </c>
      <c r="E363" s="62">
        <f t="shared" si="55"/>
        <v>0</v>
      </c>
      <c r="F363" s="23">
        <v>0</v>
      </c>
      <c r="G363" s="23">
        <v>0</v>
      </c>
      <c r="H363" s="23">
        <v>0</v>
      </c>
      <c r="I363" s="23">
        <v>0</v>
      </c>
      <c r="J363" s="62">
        <f t="shared" si="56"/>
        <v>1504200</v>
      </c>
      <c r="K363" s="23">
        <f>1500000-50000</f>
        <v>1450000</v>
      </c>
      <c r="L363" s="23">
        <v>0</v>
      </c>
      <c r="M363" s="23">
        <v>0</v>
      </c>
      <c r="N363" s="23">
        <f>54200</f>
        <v>54200</v>
      </c>
      <c r="O363" s="23">
        <v>0</v>
      </c>
      <c r="P363" s="22">
        <f t="shared" si="58"/>
        <v>1504200</v>
      </c>
    </row>
    <row r="364" spans="1:16" s="13" customFormat="1" ht="42.75">
      <c r="A364" s="5" t="s">
        <v>368</v>
      </c>
      <c r="B364" s="7" t="s">
        <v>370</v>
      </c>
      <c r="C364" s="6" t="s">
        <v>369</v>
      </c>
      <c r="D364" s="77" t="s">
        <v>371</v>
      </c>
      <c r="E364" s="62">
        <f t="shared" si="55"/>
        <v>0</v>
      </c>
      <c r="F364" s="23">
        <v>0</v>
      </c>
      <c r="G364" s="23">
        <v>0</v>
      </c>
      <c r="H364" s="23">
        <v>0</v>
      </c>
      <c r="I364" s="23">
        <v>0</v>
      </c>
      <c r="J364" s="62">
        <f t="shared" si="56"/>
        <v>500000</v>
      </c>
      <c r="K364" s="23">
        <v>500000</v>
      </c>
      <c r="L364" s="23">
        <v>0</v>
      </c>
      <c r="M364" s="23">
        <v>0</v>
      </c>
      <c r="N364" s="23">
        <v>0</v>
      </c>
      <c r="O364" s="23">
        <v>0</v>
      </c>
      <c r="P364" s="22">
        <f t="shared" si="58"/>
        <v>500000</v>
      </c>
    </row>
    <row r="365" spans="1:16" s="13" customFormat="1" ht="42.75">
      <c r="A365" s="5" t="s">
        <v>372</v>
      </c>
      <c r="B365" s="7" t="s">
        <v>374</v>
      </c>
      <c r="C365" s="6" t="s">
        <v>373</v>
      </c>
      <c r="D365" s="77" t="s">
        <v>375</v>
      </c>
      <c r="E365" s="62">
        <f t="shared" si="55"/>
        <v>0</v>
      </c>
      <c r="F365" s="23">
        <v>0</v>
      </c>
      <c r="G365" s="23">
        <v>0</v>
      </c>
      <c r="H365" s="23">
        <v>0</v>
      </c>
      <c r="I365" s="23">
        <v>0</v>
      </c>
      <c r="J365" s="62">
        <f t="shared" si="56"/>
        <v>27900</v>
      </c>
      <c r="K365" s="23">
        <v>27900</v>
      </c>
      <c r="L365" s="23">
        <v>0</v>
      </c>
      <c r="M365" s="23">
        <v>0</v>
      </c>
      <c r="N365" s="23">
        <v>0</v>
      </c>
      <c r="O365" s="23">
        <v>0</v>
      </c>
      <c r="P365" s="22">
        <f t="shared" si="58"/>
        <v>27900</v>
      </c>
    </row>
    <row r="366" spans="1:16" s="13" customFormat="1" ht="15">
      <c r="A366" s="18" t="s">
        <v>550</v>
      </c>
      <c r="B366" s="68" t="s">
        <v>32</v>
      </c>
      <c r="C366" s="69" t="s">
        <v>31</v>
      </c>
      <c r="D366" s="78" t="s">
        <v>33</v>
      </c>
      <c r="E366" s="61">
        <f t="shared" si="55"/>
        <v>31776</v>
      </c>
      <c r="F366" s="21">
        <f>F368</f>
        <v>31776</v>
      </c>
      <c r="G366" s="21">
        <f>G368</f>
        <v>0</v>
      </c>
      <c r="H366" s="21">
        <f>H368</f>
        <v>0</v>
      </c>
      <c r="I366" s="21">
        <f>I368</f>
        <v>0</v>
      </c>
      <c r="J366" s="61">
        <f t="shared" si="56"/>
        <v>0</v>
      </c>
      <c r="K366" s="21">
        <f>K368</f>
        <v>0</v>
      </c>
      <c r="L366" s="21">
        <f>L368</f>
        <v>0</v>
      </c>
      <c r="M366" s="21">
        <f>M368</f>
        <v>0</v>
      </c>
      <c r="N366" s="21">
        <f>N368</f>
        <v>0</v>
      </c>
      <c r="O366" s="21">
        <f>O368</f>
        <v>0</v>
      </c>
      <c r="P366" s="21">
        <f t="shared" si="58"/>
        <v>31776</v>
      </c>
    </row>
    <row r="367" spans="1:16" s="49" customFormat="1" ht="15">
      <c r="A367" s="44"/>
      <c r="B367" s="45"/>
      <c r="C367" s="46"/>
      <c r="D367" s="100" t="s">
        <v>489</v>
      </c>
      <c r="E367" s="62"/>
      <c r="F367" s="48"/>
      <c r="G367" s="48"/>
      <c r="H367" s="48"/>
      <c r="I367" s="48"/>
      <c r="J367" s="62"/>
      <c r="K367" s="48"/>
      <c r="L367" s="48"/>
      <c r="M367" s="48"/>
      <c r="N367" s="48"/>
      <c r="O367" s="48"/>
      <c r="P367" s="22"/>
    </row>
    <row r="368" spans="1:16" s="49" customFormat="1" ht="30">
      <c r="A368" s="50" t="s">
        <v>551</v>
      </c>
      <c r="B368" s="51">
        <v>8604</v>
      </c>
      <c r="C368" s="52" t="s">
        <v>31</v>
      </c>
      <c r="D368" s="101" t="s">
        <v>496</v>
      </c>
      <c r="E368" s="66">
        <f>F368+I368</f>
        <v>31776</v>
      </c>
      <c r="F368" s="53">
        <v>31776</v>
      </c>
      <c r="G368" s="53">
        <v>0</v>
      </c>
      <c r="H368" s="53">
        <v>0</v>
      </c>
      <c r="I368" s="53">
        <v>0</v>
      </c>
      <c r="J368" s="66">
        <f>K368+N368</f>
        <v>0</v>
      </c>
      <c r="K368" s="53">
        <v>0</v>
      </c>
      <c r="L368" s="53">
        <v>0</v>
      </c>
      <c r="M368" s="53">
        <v>0</v>
      </c>
      <c r="N368" s="53">
        <v>0</v>
      </c>
      <c r="O368" s="53">
        <v>0</v>
      </c>
      <c r="P368" s="54">
        <f>E368+J368</f>
        <v>31776</v>
      </c>
    </row>
    <row r="369" spans="1:16" s="105" customFormat="1" ht="38.25" customHeight="1">
      <c r="A369" s="70" t="s">
        <v>376</v>
      </c>
      <c r="B369" s="71"/>
      <c r="C369" s="72"/>
      <c r="D369" s="76" t="s">
        <v>377</v>
      </c>
      <c r="E369" s="73">
        <f t="shared" si="55"/>
        <v>45067962</v>
      </c>
      <c r="F369" s="74">
        <f>F370</f>
        <v>1067962</v>
      </c>
      <c r="G369" s="74">
        <f>G370</f>
        <v>515479</v>
      </c>
      <c r="H369" s="74">
        <f>H370</f>
        <v>31684</v>
      </c>
      <c r="I369" s="74">
        <f>I370</f>
        <v>44000000</v>
      </c>
      <c r="J369" s="73">
        <f t="shared" si="56"/>
        <v>5015000</v>
      </c>
      <c r="K369" s="74">
        <f>K370</f>
        <v>15000</v>
      </c>
      <c r="L369" s="74">
        <f>L370</f>
        <v>0</v>
      </c>
      <c r="M369" s="74">
        <f>M370</f>
        <v>0</v>
      </c>
      <c r="N369" s="74">
        <f>N370</f>
        <v>5000000</v>
      </c>
      <c r="O369" s="74">
        <f>O370</f>
        <v>5000000</v>
      </c>
      <c r="P369" s="74">
        <f t="shared" si="58"/>
        <v>50082962</v>
      </c>
    </row>
    <row r="370" spans="1:16" s="106" customFormat="1" ht="28.5">
      <c r="A370" s="29" t="s">
        <v>378</v>
      </c>
      <c r="B370" s="30"/>
      <c r="C370" s="31"/>
      <c r="D370" s="82" t="s">
        <v>379</v>
      </c>
      <c r="E370" s="62">
        <f t="shared" si="55"/>
        <v>45067962</v>
      </c>
      <c r="F370" s="22">
        <f>F371+F372+F373+F374+F375</f>
        <v>1067962</v>
      </c>
      <c r="G370" s="22">
        <f>G371+G372+G373+G374+G375</f>
        <v>515479</v>
      </c>
      <c r="H370" s="22">
        <f>H371+H372+H373+H374+H375</f>
        <v>31684</v>
      </c>
      <c r="I370" s="22">
        <f>I371+I372+I373+I374+I375</f>
        <v>44000000</v>
      </c>
      <c r="J370" s="62">
        <f t="shared" si="56"/>
        <v>5015000</v>
      </c>
      <c r="K370" s="22">
        <f>K371+K372+K373+K374+K375</f>
        <v>15000</v>
      </c>
      <c r="L370" s="22">
        <f>L371+L372+L373+L374+L375</f>
        <v>0</v>
      </c>
      <c r="M370" s="22">
        <f>M371+M372+M373+M374+M375</f>
        <v>0</v>
      </c>
      <c r="N370" s="22">
        <f>N371+N372+N373+N374+N375</f>
        <v>5000000</v>
      </c>
      <c r="O370" s="22">
        <f>O371+O372+O373+O374+O375</f>
        <v>5000000</v>
      </c>
      <c r="P370" s="22">
        <f t="shared" si="58"/>
        <v>50082962</v>
      </c>
    </row>
    <row r="371" spans="1:16" s="13" customFormat="1" ht="42.75">
      <c r="A371" s="5" t="s">
        <v>380</v>
      </c>
      <c r="B371" s="32" t="s">
        <v>35</v>
      </c>
      <c r="C371" s="32" t="s">
        <v>20</v>
      </c>
      <c r="D371" s="77" t="s">
        <v>558</v>
      </c>
      <c r="E371" s="62">
        <f t="shared" si="55"/>
        <v>867962</v>
      </c>
      <c r="F371" s="23">
        <v>867962</v>
      </c>
      <c r="G371" s="23">
        <v>515479</v>
      </c>
      <c r="H371" s="23">
        <v>31684</v>
      </c>
      <c r="I371" s="23">
        <v>0</v>
      </c>
      <c r="J371" s="62">
        <f t="shared" si="56"/>
        <v>0</v>
      </c>
      <c r="K371" s="23">
        <v>0</v>
      </c>
      <c r="L371" s="23">
        <v>0</v>
      </c>
      <c r="M371" s="23">
        <v>0</v>
      </c>
      <c r="N371" s="23">
        <v>0</v>
      </c>
      <c r="O371" s="23">
        <v>0</v>
      </c>
      <c r="P371" s="22">
        <f>E371+J371</f>
        <v>867962</v>
      </c>
    </row>
    <row r="372" spans="1:16" s="13" customFormat="1" ht="28.5">
      <c r="A372" s="5" t="s">
        <v>381</v>
      </c>
      <c r="B372" s="7" t="s">
        <v>383</v>
      </c>
      <c r="C372" s="6" t="s">
        <v>382</v>
      </c>
      <c r="D372" s="77" t="s">
        <v>384</v>
      </c>
      <c r="E372" s="62">
        <f t="shared" si="55"/>
        <v>44000000</v>
      </c>
      <c r="F372" s="23">
        <v>0</v>
      </c>
      <c r="G372" s="23">
        <v>0</v>
      </c>
      <c r="H372" s="23">
        <v>0</v>
      </c>
      <c r="I372" s="23">
        <f>34000000+10000000</f>
        <v>44000000</v>
      </c>
      <c r="J372" s="62">
        <f t="shared" si="56"/>
        <v>0</v>
      </c>
      <c r="K372" s="23">
        <v>0</v>
      </c>
      <c r="L372" s="23">
        <v>0</v>
      </c>
      <c r="M372" s="23">
        <v>0</v>
      </c>
      <c r="N372" s="23">
        <v>0</v>
      </c>
      <c r="O372" s="23">
        <v>0</v>
      </c>
      <c r="P372" s="22">
        <f>E372+J372</f>
        <v>44000000</v>
      </c>
    </row>
    <row r="373" spans="1:16" s="13" customFormat="1" ht="28.5">
      <c r="A373" s="5" t="s">
        <v>385</v>
      </c>
      <c r="B373" s="7" t="s">
        <v>387</v>
      </c>
      <c r="C373" s="6" t="s">
        <v>386</v>
      </c>
      <c r="D373" s="77" t="s">
        <v>388</v>
      </c>
      <c r="E373" s="62">
        <f t="shared" si="55"/>
        <v>200000</v>
      </c>
      <c r="F373" s="23">
        <v>200000</v>
      </c>
      <c r="G373" s="23">
        <v>0</v>
      </c>
      <c r="H373" s="23">
        <v>0</v>
      </c>
      <c r="I373" s="23">
        <v>0</v>
      </c>
      <c r="J373" s="62">
        <f t="shared" si="56"/>
        <v>0</v>
      </c>
      <c r="K373" s="23">
        <v>0</v>
      </c>
      <c r="L373" s="23">
        <v>0</v>
      </c>
      <c r="M373" s="23">
        <v>0</v>
      </c>
      <c r="N373" s="23">
        <v>0</v>
      </c>
      <c r="O373" s="23">
        <v>0</v>
      </c>
      <c r="P373" s="22">
        <f>E373+J373</f>
        <v>200000</v>
      </c>
    </row>
    <row r="374" spans="1:16" s="13" customFormat="1" ht="28.5">
      <c r="A374" s="5" t="s">
        <v>389</v>
      </c>
      <c r="B374" s="7" t="s">
        <v>391</v>
      </c>
      <c r="C374" s="6" t="s">
        <v>390</v>
      </c>
      <c r="D374" s="77" t="s">
        <v>392</v>
      </c>
      <c r="E374" s="62">
        <f t="shared" si="55"/>
        <v>0</v>
      </c>
      <c r="F374" s="23">
        <v>0</v>
      </c>
      <c r="G374" s="23">
        <v>0</v>
      </c>
      <c r="H374" s="23">
        <v>0</v>
      </c>
      <c r="I374" s="23">
        <v>0</v>
      </c>
      <c r="J374" s="62">
        <f t="shared" si="56"/>
        <v>15000</v>
      </c>
      <c r="K374" s="23">
        <v>15000</v>
      </c>
      <c r="L374" s="23">
        <v>0</v>
      </c>
      <c r="M374" s="23">
        <v>0</v>
      </c>
      <c r="N374" s="23">
        <v>0</v>
      </c>
      <c r="O374" s="23">
        <v>0</v>
      </c>
      <c r="P374" s="22">
        <f>E374+J374</f>
        <v>15000</v>
      </c>
    </row>
    <row r="375" spans="1:18" s="13" customFormat="1" ht="28.5">
      <c r="A375" s="5" t="s">
        <v>393</v>
      </c>
      <c r="B375" s="7" t="s">
        <v>148</v>
      </c>
      <c r="C375" s="6" t="s">
        <v>147</v>
      </c>
      <c r="D375" s="77" t="s">
        <v>149</v>
      </c>
      <c r="E375" s="62">
        <f t="shared" si="55"/>
        <v>0</v>
      </c>
      <c r="F375" s="23">
        <v>0</v>
      </c>
      <c r="G375" s="23">
        <v>0</v>
      </c>
      <c r="H375" s="23">
        <v>0</v>
      </c>
      <c r="I375" s="23">
        <v>0</v>
      </c>
      <c r="J375" s="62">
        <f t="shared" si="56"/>
        <v>5000000</v>
      </c>
      <c r="K375" s="23">
        <v>0</v>
      </c>
      <c r="L375" s="23">
        <v>0</v>
      </c>
      <c r="M375" s="23">
        <v>0</v>
      </c>
      <c r="N375" s="23">
        <v>5000000</v>
      </c>
      <c r="O375" s="23">
        <v>5000000</v>
      </c>
      <c r="P375" s="22">
        <f>E375+J375</f>
        <v>5000000</v>
      </c>
      <c r="R375" s="115">
        <f>P375+P361+P352+P339+P87</f>
        <v>79550000</v>
      </c>
    </row>
    <row r="376" spans="1:16" s="105" customFormat="1" ht="31.5">
      <c r="A376" s="70" t="s">
        <v>394</v>
      </c>
      <c r="B376" s="71"/>
      <c r="C376" s="72"/>
      <c r="D376" s="76" t="s">
        <v>395</v>
      </c>
      <c r="E376" s="73">
        <f aca="true" t="shared" si="59" ref="E376:E386">F376+I376</f>
        <v>1644630</v>
      </c>
      <c r="F376" s="74">
        <f>F377</f>
        <v>1644630</v>
      </c>
      <c r="G376" s="74">
        <f>G377</f>
        <v>952669</v>
      </c>
      <c r="H376" s="74">
        <f>H377</f>
        <v>62110</v>
      </c>
      <c r="I376" s="74">
        <f>I377</f>
        <v>0</v>
      </c>
      <c r="J376" s="73">
        <f t="shared" si="56"/>
        <v>2482100</v>
      </c>
      <c r="K376" s="74">
        <f>K377</f>
        <v>0</v>
      </c>
      <c r="L376" s="74">
        <f>L377</f>
        <v>0</v>
      </c>
      <c r="M376" s="74">
        <f>M377</f>
        <v>0</v>
      </c>
      <c r="N376" s="74">
        <f>N377</f>
        <v>2482100</v>
      </c>
      <c r="O376" s="74">
        <f>O377</f>
        <v>2482100</v>
      </c>
      <c r="P376" s="74">
        <f aca="true" t="shared" si="60" ref="P376:P394">E376+J376</f>
        <v>4126730</v>
      </c>
    </row>
    <row r="377" spans="1:16" s="106" customFormat="1" ht="42.75">
      <c r="A377" s="29" t="s">
        <v>396</v>
      </c>
      <c r="B377" s="30"/>
      <c r="C377" s="31"/>
      <c r="D377" s="82" t="s">
        <v>397</v>
      </c>
      <c r="E377" s="62">
        <f t="shared" si="59"/>
        <v>1644630</v>
      </c>
      <c r="F377" s="22">
        <f>F378+F379+F380</f>
        <v>1644630</v>
      </c>
      <c r="G377" s="22">
        <f>G378+G379+G380</f>
        <v>952669</v>
      </c>
      <c r="H377" s="22">
        <f>H378+H379+H380</f>
        <v>62110</v>
      </c>
      <c r="I377" s="22">
        <f>I378+I379+I380</f>
        <v>0</v>
      </c>
      <c r="J377" s="62">
        <f t="shared" si="56"/>
        <v>2482100</v>
      </c>
      <c r="K377" s="22">
        <f>K378+K379+K380</f>
        <v>0</v>
      </c>
      <c r="L377" s="22">
        <f>L378+L379+L380</f>
        <v>0</v>
      </c>
      <c r="M377" s="22">
        <f>M378+M379+M380</f>
        <v>0</v>
      </c>
      <c r="N377" s="22">
        <f>N378+N379+N380</f>
        <v>2482100</v>
      </c>
      <c r="O377" s="22">
        <f>O378+O379+O380</f>
        <v>2482100</v>
      </c>
      <c r="P377" s="22">
        <f t="shared" si="60"/>
        <v>4126730</v>
      </c>
    </row>
    <row r="378" spans="1:18" s="13" customFormat="1" ht="42.75">
      <c r="A378" s="5" t="s">
        <v>398</v>
      </c>
      <c r="B378" s="32" t="s">
        <v>35</v>
      </c>
      <c r="C378" s="32" t="s">
        <v>20</v>
      </c>
      <c r="D378" s="77" t="s">
        <v>558</v>
      </c>
      <c r="E378" s="62">
        <f t="shared" si="59"/>
        <v>1480130</v>
      </c>
      <c r="F378" s="23">
        <v>1480130</v>
      </c>
      <c r="G378" s="23">
        <v>952669</v>
      </c>
      <c r="H378" s="23">
        <v>62110</v>
      </c>
      <c r="I378" s="23">
        <v>0</v>
      </c>
      <c r="J378" s="62">
        <f t="shared" si="56"/>
        <v>76000</v>
      </c>
      <c r="K378" s="23">
        <v>0</v>
      </c>
      <c r="L378" s="23">
        <v>0</v>
      </c>
      <c r="M378" s="23">
        <v>0</v>
      </c>
      <c r="N378" s="23">
        <v>76000</v>
      </c>
      <c r="O378" s="23">
        <v>76000</v>
      </c>
      <c r="P378" s="22">
        <f t="shared" si="60"/>
        <v>1556130</v>
      </c>
      <c r="R378" s="115"/>
    </row>
    <row r="379" spans="1:18" s="13" customFormat="1" ht="71.25">
      <c r="A379" s="5" t="s">
        <v>533</v>
      </c>
      <c r="B379" s="32" t="s">
        <v>534</v>
      </c>
      <c r="C379" s="6" t="s">
        <v>39</v>
      </c>
      <c r="D379" s="102" t="s">
        <v>532</v>
      </c>
      <c r="E379" s="62">
        <f t="shared" si="59"/>
        <v>0</v>
      </c>
      <c r="F379" s="23">
        <v>0</v>
      </c>
      <c r="G379" s="23">
        <v>0</v>
      </c>
      <c r="H379" s="23">
        <v>0</v>
      </c>
      <c r="I379" s="23">
        <v>0</v>
      </c>
      <c r="J379" s="62">
        <f t="shared" si="56"/>
        <v>2370600</v>
      </c>
      <c r="K379" s="23">
        <v>0</v>
      </c>
      <c r="L379" s="23">
        <v>0</v>
      </c>
      <c r="M379" s="23">
        <v>0</v>
      </c>
      <c r="N379" s="23">
        <v>2370600</v>
      </c>
      <c r="O379" s="23">
        <v>2370600</v>
      </c>
      <c r="P379" s="22">
        <f t="shared" si="60"/>
        <v>2370600</v>
      </c>
      <c r="R379" s="115">
        <f>P379+P380</f>
        <v>2570600</v>
      </c>
    </row>
    <row r="380" spans="1:16" s="13" customFormat="1" ht="42.75">
      <c r="A380" s="5" t="s">
        <v>399</v>
      </c>
      <c r="B380" s="7" t="s">
        <v>401</v>
      </c>
      <c r="C380" s="6" t="s">
        <v>400</v>
      </c>
      <c r="D380" s="77" t="s">
        <v>402</v>
      </c>
      <c r="E380" s="62">
        <f t="shared" si="59"/>
        <v>164500</v>
      </c>
      <c r="F380" s="23">
        <f>200000-35500</f>
        <v>164500</v>
      </c>
      <c r="G380" s="23">
        <v>0</v>
      </c>
      <c r="H380" s="23">
        <v>0</v>
      </c>
      <c r="I380" s="23">
        <v>0</v>
      </c>
      <c r="J380" s="62">
        <f t="shared" si="56"/>
        <v>35500</v>
      </c>
      <c r="K380" s="23">
        <v>0</v>
      </c>
      <c r="L380" s="23">
        <v>0</v>
      </c>
      <c r="M380" s="23">
        <v>0</v>
      </c>
      <c r="N380" s="23">
        <f>0+35500</f>
        <v>35500</v>
      </c>
      <c r="O380" s="23">
        <f>0+35500</f>
        <v>35500</v>
      </c>
      <c r="P380" s="22">
        <f t="shared" si="60"/>
        <v>200000</v>
      </c>
    </row>
    <row r="381" spans="1:16" s="105" customFormat="1" ht="24" customHeight="1">
      <c r="A381" s="70" t="s">
        <v>403</v>
      </c>
      <c r="B381" s="71"/>
      <c r="C381" s="72"/>
      <c r="D381" s="76" t="s">
        <v>404</v>
      </c>
      <c r="E381" s="73">
        <f t="shared" si="59"/>
        <v>2707813</v>
      </c>
      <c r="F381" s="74">
        <f aca="true" t="shared" si="61" ref="F381:O381">F382</f>
        <v>2707813</v>
      </c>
      <c r="G381" s="74">
        <f t="shared" si="61"/>
        <v>1642036</v>
      </c>
      <c r="H381" s="74">
        <f t="shared" si="61"/>
        <v>105320</v>
      </c>
      <c r="I381" s="74">
        <f t="shared" si="61"/>
        <v>0</v>
      </c>
      <c r="J381" s="73">
        <f t="shared" si="56"/>
        <v>400000</v>
      </c>
      <c r="K381" s="74">
        <f t="shared" si="61"/>
        <v>0</v>
      </c>
      <c r="L381" s="74">
        <f t="shared" si="61"/>
        <v>0</v>
      </c>
      <c r="M381" s="74">
        <f t="shared" si="61"/>
        <v>0</v>
      </c>
      <c r="N381" s="74">
        <f t="shared" si="61"/>
        <v>400000</v>
      </c>
      <c r="O381" s="74">
        <f t="shared" si="61"/>
        <v>400000</v>
      </c>
      <c r="P381" s="74">
        <f t="shared" si="60"/>
        <v>3107813</v>
      </c>
    </row>
    <row r="382" spans="1:16" s="106" customFormat="1" ht="28.5">
      <c r="A382" s="29" t="s">
        <v>405</v>
      </c>
      <c r="B382" s="30"/>
      <c r="C382" s="31"/>
      <c r="D382" s="82" t="s">
        <v>406</v>
      </c>
      <c r="E382" s="62">
        <f t="shared" si="59"/>
        <v>2707813</v>
      </c>
      <c r="F382" s="22">
        <f>F383+F384</f>
        <v>2707813</v>
      </c>
      <c r="G382" s="22">
        <f>G383+G384</f>
        <v>1642036</v>
      </c>
      <c r="H382" s="22">
        <f>H383+H384</f>
        <v>105320</v>
      </c>
      <c r="I382" s="22">
        <f>I383+I384</f>
        <v>0</v>
      </c>
      <c r="J382" s="62">
        <f t="shared" si="56"/>
        <v>400000</v>
      </c>
      <c r="K382" s="22">
        <f>K383+K384</f>
        <v>0</v>
      </c>
      <c r="L382" s="22">
        <f>L383+L384</f>
        <v>0</v>
      </c>
      <c r="M382" s="22">
        <f>M383+M384</f>
        <v>0</v>
      </c>
      <c r="N382" s="22">
        <f>N383+N384</f>
        <v>400000</v>
      </c>
      <c r="O382" s="22">
        <f>O383+O384</f>
        <v>400000</v>
      </c>
      <c r="P382" s="22">
        <f t="shared" si="60"/>
        <v>3107813</v>
      </c>
    </row>
    <row r="383" spans="1:16" s="13" customFormat="1" ht="42.75">
      <c r="A383" s="5" t="s">
        <v>407</v>
      </c>
      <c r="B383" s="32" t="s">
        <v>35</v>
      </c>
      <c r="C383" s="32" t="s">
        <v>20</v>
      </c>
      <c r="D383" s="77" t="s">
        <v>558</v>
      </c>
      <c r="E383" s="62">
        <f t="shared" si="59"/>
        <v>2422813</v>
      </c>
      <c r="F383" s="23">
        <v>2422813</v>
      </c>
      <c r="G383" s="23">
        <v>1642036</v>
      </c>
      <c r="H383" s="23">
        <v>105320</v>
      </c>
      <c r="I383" s="23">
        <v>0</v>
      </c>
      <c r="J383" s="62">
        <f t="shared" si="56"/>
        <v>400000</v>
      </c>
      <c r="K383" s="23">
        <v>0</v>
      </c>
      <c r="L383" s="23">
        <v>0</v>
      </c>
      <c r="M383" s="23">
        <v>0</v>
      </c>
      <c r="N383" s="23">
        <f>400000</f>
        <v>400000</v>
      </c>
      <c r="O383" s="23">
        <f>400000</f>
        <v>400000</v>
      </c>
      <c r="P383" s="22">
        <f t="shared" si="60"/>
        <v>2822813</v>
      </c>
    </row>
    <row r="384" spans="1:16" s="13" customFormat="1" ht="15">
      <c r="A384" s="5" t="s">
        <v>408</v>
      </c>
      <c r="B384" s="7" t="s">
        <v>410</v>
      </c>
      <c r="C384" s="6" t="s">
        <v>409</v>
      </c>
      <c r="D384" s="77" t="s">
        <v>411</v>
      </c>
      <c r="E384" s="62">
        <f t="shared" si="59"/>
        <v>285000</v>
      </c>
      <c r="F384" s="23">
        <v>285000</v>
      </c>
      <c r="G384" s="23">
        <v>0</v>
      </c>
      <c r="H384" s="23">
        <v>0</v>
      </c>
      <c r="I384" s="23">
        <v>0</v>
      </c>
      <c r="J384" s="62">
        <f t="shared" si="56"/>
        <v>0</v>
      </c>
      <c r="K384" s="23">
        <v>0</v>
      </c>
      <c r="L384" s="23">
        <v>0</v>
      </c>
      <c r="M384" s="23">
        <v>0</v>
      </c>
      <c r="N384" s="23">
        <v>0</v>
      </c>
      <c r="O384" s="23">
        <v>0</v>
      </c>
      <c r="P384" s="22">
        <f t="shared" si="60"/>
        <v>285000</v>
      </c>
    </row>
    <row r="385" spans="1:16" s="105" customFormat="1" ht="22.5" customHeight="1">
      <c r="A385" s="70" t="s">
        <v>412</v>
      </c>
      <c r="B385" s="71"/>
      <c r="C385" s="72"/>
      <c r="D385" s="76" t="s">
        <v>413</v>
      </c>
      <c r="E385" s="73">
        <f t="shared" si="59"/>
        <v>3447977</v>
      </c>
      <c r="F385" s="74">
        <f>F386</f>
        <v>3447977</v>
      </c>
      <c r="G385" s="74">
        <f aca="true" t="shared" si="62" ref="G385:I386">G386</f>
        <v>2175326</v>
      </c>
      <c r="H385" s="74">
        <f t="shared" si="62"/>
        <v>169244</v>
      </c>
      <c r="I385" s="74">
        <f t="shared" si="62"/>
        <v>0</v>
      </c>
      <c r="J385" s="73">
        <f t="shared" si="56"/>
        <v>1290000</v>
      </c>
      <c r="K385" s="74">
        <f>K386</f>
        <v>0</v>
      </c>
      <c r="L385" s="74">
        <f aca="true" t="shared" si="63" ref="L385:O386">L386</f>
        <v>0</v>
      </c>
      <c r="M385" s="74">
        <f t="shared" si="63"/>
        <v>0</v>
      </c>
      <c r="N385" s="74">
        <f t="shared" si="63"/>
        <v>1290000</v>
      </c>
      <c r="O385" s="74">
        <f t="shared" si="63"/>
        <v>1290000</v>
      </c>
      <c r="P385" s="74">
        <f>E385+J385</f>
        <v>4737977</v>
      </c>
    </row>
    <row r="386" spans="1:16" s="106" customFormat="1" ht="15">
      <c r="A386" s="29" t="s">
        <v>414</v>
      </c>
      <c r="B386" s="30"/>
      <c r="C386" s="31"/>
      <c r="D386" s="103" t="s">
        <v>477</v>
      </c>
      <c r="E386" s="62">
        <f t="shared" si="59"/>
        <v>3447977</v>
      </c>
      <c r="F386" s="22">
        <f>F387</f>
        <v>3447977</v>
      </c>
      <c r="G386" s="22">
        <f t="shared" si="62"/>
        <v>2175326</v>
      </c>
      <c r="H386" s="22">
        <f t="shared" si="62"/>
        <v>169244</v>
      </c>
      <c r="I386" s="22">
        <f t="shared" si="62"/>
        <v>0</v>
      </c>
      <c r="J386" s="62">
        <f t="shared" si="56"/>
        <v>1290000</v>
      </c>
      <c r="K386" s="22">
        <f>K387</f>
        <v>0</v>
      </c>
      <c r="L386" s="22">
        <f t="shared" si="63"/>
        <v>0</v>
      </c>
      <c r="M386" s="22">
        <f t="shared" si="63"/>
        <v>0</v>
      </c>
      <c r="N386" s="22">
        <f t="shared" si="63"/>
        <v>1290000</v>
      </c>
      <c r="O386" s="22">
        <f t="shared" si="63"/>
        <v>1290000</v>
      </c>
      <c r="P386" s="22">
        <f t="shared" si="60"/>
        <v>4737977</v>
      </c>
    </row>
    <row r="387" spans="1:16" s="13" customFormat="1" ht="42.75">
      <c r="A387" s="5" t="s">
        <v>415</v>
      </c>
      <c r="B387" s="32" t="s">
        <v>35</v>
      </c>
      <c r="C387" s="32" t="s">
        <v>20</v>
      </c>
      <c r="D387" s="77" t="s">
        <v>558</v>
      </c>
      <c r="E387" s="62">
        <f>F387+I387</f>
        <v>3447977</v>
      </c>
      <c r="F387" s="23">
        <f>3237977+210000</f>
        <v>3447977</v>
      </c>
      <c r="G387" s="23">
        <v>2175326</v>
      </c>
      <c r="H387" s="23">
        <v>169244</v>
      </c>
      <c r="I387" s="23">
        <v>0</v>
      </c>
      <c r="J387" s="62">
        <f>K387+N387</f>
        <v>1290000</v>
      </c>
      <c r="K387" s="23">
        <v>0</v>
      </c>
      <c r="L387" s="23">
        <v>0</v>
      </c>
      <c r="M387" s="23">
        <v>0</v>
      </c>
      <c r="N387" s="23">
        <f>1290000</f>
        <v>1290000</v>
      </c>
      <c r="O387" s="23">
        <f>1290000</f>
        <v>1290000</v>
      </c>
      <c r="P387" s="22">
        <f t="shared" si="60"/>
        <v>4737977</v>
      </c>
    </row>
    <row r="388" spans="1:16" s="105" customFormat="1" ht="51.75" customHeight="1">
      <c r="A388" s="70" t="s">
        <v>416</v>
      </c>
      <c r="B388" s="71"/>
      <c r="C388" s="72"/>
      <c r="D388" s="76" t="s">
        <v>542</v>
      </c>
      <c r="E388" s="73">
        <f>F388+I388</f>
        <v>11733315.65</v>
      </c>
      <c r="F388" s="74">
        <f>F389</f>
        <v>11733315.65</v>
      </c>
      <c r="G388" s="74">
        <f>G389</f>
        <v>0</v>
      </c>
      <c r="H388" s="74">
        <f>H389</f>
        <v>0</v>
      </c>
      <c r="I388" s="74">
        <f>I389</f>
        <v>0</v>
      </c>
      <c r="J388" s="73">
        <f>K388+N388</f>
        <v>92000</v>
      </c>
      <c r="K388" s="74">
        <f>K389</f>
        <v>0</v>
      </c>
      <c r="L388" s="74">
        <f>L389</f>
        <v>0</v>
      </c>
      <c r="M388" s="74">
        <f>M389</f>
        <v>0</v>
      </c>
      <c r="N388" s="74">
        <f>N389</f>
        <v>92000</v>
      </c>
      <c r="O388" s="74">
        <f>O389</f>
        <v>92000</v>
      </c>
      <c r="P388" s="74">
        <f t="shared" si="60"/>
        <v>11825315.65</v>
      </c>
    </row>
    <row r="389" spans="1:16" s="106" customFormat="1" ht="45" customHeight="1">
      <c r="A389" s="29" t="s">
        <v>417</v>
      </c>
      <c r="B389" s="30"/>
      <c r="C389" s="31"/>
      <c r="D389" s="82" t="s">
        <v>543</v>
      </c>
      <c r="E389" s="62">
        <f>F389+I389</f>
        <v>11733315.65</v>
      </c>
      <c r="F389" s="22">
        <f>F390+F391+F393+F394</f>
        <v>11733315.65</v>
      </c>
      <c r="G389" s="22">
        <f>G390+G391+G393+G394</f>
        <v>0</v>
      </c>
      <c r="H389" s="22">
        <f>H390+H391+H393+H394</f>
        <v>0</v>
      </c>
      <c r="I389" s="22">
        <f>I390+I391+I393+I394</f>
        <v>0</v>
      </c>
      <c r="J389" s="62">
        <f>K389+N389</f>
        <v>92000</v>
      </c>
      <c r="K389" s="22">
        <f>K390+K391+K393+K394</f>
        <v>0</v>
      </c>
      <c r="L389" s="22">
        <f>L390+L391+L393+L394</f>
        <v>0</v>
      </c>
      <c r="M389" s="22">
        <f>M390+M391+M393+M394</f>
        <v>0</v>
      </c>
      <c r="N389" s="22">
        <f>N390+N391+N393+N394</f>
        <v>92000</v>
      </c>
      <c r="O389" s="22">
        <f>O390+O391+O393+O394</f>
        <v>92000</v>
      </c>
      <c r="P389" s="22">
        <f t="shared" si="60"/>
        <v>11825315.65</v>
      </c>
    </row>
    <row r="390" spans="1:16" s="13" customFormat="1" ht="15">
      <c r="A390" s="5" t="s">
        <v>418</v>
      </c>
      <c r="B390" s="7" t="s">
        <v>419</v>
      </c>
      <c r="C390" s="6" t="s">
        <v>31</v>
      </c>
      <c r="D390" s="77" t="s">
        <v>420</v>
      </c>
      <c r="E390" s="62">
        <v>9000000</v>
      </c>
      <c r="F390" s="23">
        <v>0</v>
      </c>
      <c r="G390" s="23">
        <v>0</v>
      </c>
      <c r="H390" s="23">
        <v>0</v>
      </c>
      <c r="I390" s="23">
        <v>0</v>
      </c>
      <c r="J390" s="62"/>
      <c r="K390" s="23">
        <v>0</v>
      </c>
      <c r="L390" s="23">
        <v>0</v>
      </c>
      <c r="M390" s="23">
        <v>0</v>
      </c>
      <c r="N390" s="23">
        <v>0</v>
      </c>
      <c r="O390" s="23">
        <v>0</v>
      </c>
      <c r="P390" s="22">
        <f t="shared" si="60"/>
        <v>9000000</v>
      </c>
    </row>
    <row r="391" spans="1:16" s="13" customFormat="1" ht="15">
      <c r="A391" s="5" t="s">
        <v>421</v>
      </c>
      <c r="B391" s="7" t="s">
        <v>32</v>
      </c>
      <c r="C391" s="6" t="s">
        <v>31</v>
      </c>
      <c r="D391" s="77" t="s">
        <v>33</v>
      </c>
      <c r="E391" s="62">
        <f>F391+I391</f>
        <v>10125315.65</v>
      </c>
      <c r="F391" s="23">
        <f>17505961-6000000-47000+55000-46000-1334645.35-8000</f>
        <v>10125315.65</v>
      </c>
      <c r="G391" s="23">
        <v>0</v>
      </c>
      <c r="H391" s="23">
        <v>0</v>
      </c>
      <c r="I391" s="23">
        <v>0</v>
      </c>
      <c r="J391" s="62">
        <f>K391+N391</f>
        <v>0</v>
      </c>
      <c r="K391" s="23">
        <v>0</v>
      </c>
      <c r="L391" s="23">
        <v>0</v>
      </c>
      <c r="M391" s="23">
        <v>0</v>
      </c>
      <c r="N391" s="23">
        <v>0</v>
      </c>
      <c r="O391" s="23">
        <v>0</v>
      </c>
      <c r="P391" s="22">
        <f t="shared" si="60"/>
        <v>10125315.65</v>
      </c>
    </row>
    <row r="392" spans="1:16" s="13" customFormat="1" ht="45">
      <c r="A392" s="24"/>
      <c r="B392" s="25"/>
      <c r="C392" s="26"/>
      <c r="D392" s="79" t="s">
        <v>529</v>
      </c>
      <c r="E392" s="63">
        <f>F392+I392</f>
        <v>854000</v>
      </c>
      <c r="F392" s="28">
        <f>900000-47000+55000-46000-8000</f>
        <v>854000</v>
      </c>
      <c r="G392" s="28"/>
      <c r="H392" s="28"/>
      <c r="I392" s="28"/>
      <c r="J392" s="63">
        <f>K392+N392</f>
        <v>0</v>
      </c>
      <c r="K392" s="28"/>
      <c r="L392" s="28"/>
      <c r="M392" s="28"/>
      <c r="N392" s="28"/>
      <c r="O392" s="28"/>
      <c r="P392" s="27">
        <f t="shared" si="60"/>
        <v>854000</v>
      </c>
    </row>
    <row r="393" spans="1:16" s="13" customFormat="1" ht="15">
      <c r="A393" s="5" t="s">
        <v>422</v>
      </c>
      <c r="B393" s="7" t="s">
        <v>344</v>
      </c>
      <c r="C393" s="6" t="s">
        <v>35</v>
      </c>
      <c r="D393" s="77" t="s">
        <v>345</v>
      </c>
      <c r="E393" s="62">
        <f>F393+I393</f>
        <v>0</v>
      </c>
      <c r="F393" s="23">
        <v>0</v>
      </c>
      <c r="G393" s="23">
        <v>0</v>
      </c>
      <c r="H393" s="23">
        <v>0</v>
      </c>
      <c r="I393" s="23">
        <v>0</v>
      </c>
      <c r="J393" s="62">
        <f>K393+N393</f>
        <v>0</v>
      </c>
      <c r="K393" s="23">
        <v>0</v>
      </c>
      <c r="L393" s="23">
        <v>0</v>
      </c>
      <c r="M393" s="23">
        <v>0</v>
      </c>
      <c r="N393" s="23">
        <v>0</v>
      </c>
      <c r="O393" s="23">
        <v>0</v>
      </c>
      <c r="P393" s="22">
        <f t="shared" si="60"/>
        <v>0</v>
      </c>
    </row>
    <row r="394" spans="1:16" s="13" customFormat="1" ht="68.25" customHeight="1">
      <c r="A394" s="5" t="s">
        <v>538</v>
      </c>
      <c r="B394" s="32" t="s">
        <v>540</v>
      </c>
      <c r="C394" s="6" t="s">
        <v>35</v>
      </c>
      <c r="D394" s="102" t="s">
        <v>539</v>
      </c>
      <c r="E394" s="62">
        <f>F394+I394</f>
        <v>1608000</v>
      </c>
      <c r="F394" s="23">
        <v>1608000</v>
      </c>
      <c r="G394" s="23"/>
      <c r="H394" s="23"/>
      <c r="I394" s="23"/>
      <c r="J394" s="62">
        <f>K394+N394</f>
        <v>92000</v>
      </c>
      <c r="K394" s="23"/>
      <c r="L394" s="23"/>
      <c r="M394" s="23"/>
      <c r="N394" s="23">
        <v>92000</v>
      </c>
      <c r="O394" s="23">
        <v>92000</v>
      </c>
      <c r="P394" s="22">
        <f t="shared" si="60"/>
        <v>1700000</v>
      </c>
    </row>
    <row r="395" spans="1:16" s="13" customFormat="1" ht="28.5" customHeight="1">
      <c r="A395" s="58"/>
      <c r="B395" s="29" t="s">
        <v>423</v>
      </c>
      <c r="C395" s="31"/>
      <c r="D395" s="103" t="s">
        <v>7</v>
      </c>
      <c r="E395" s="62">
        <f>F395+I395+E390</f>
        <v>1876743427.6000001</v>
      </c>
      <c r="F395" s="62">
        <f>F15+F24+F43+F89+F127+F283+F302+F305+F310+F314+F323+F348+F358+F369+F376+F381+F385+F388+F390</f>
        <v>1822843427.6000001</v>
      </c>
      <c r="G395" s="62">
        <f>G15+G24+G43+G89+G127+G283+G302+G305+G310+G314+G323+G348+G358+G369+G376+G381+G385+G388+G390</f>
        <v>432689222</v>
      </c>
      <c r="H395" s="62">
        <f>H15+H24+H43+H89+H127+H283+H302+H305+H310+H314+H323+H348+H358+H369+H376+H381+H385+H388+H390</f>
        <v>95100543</v>
      </c>
      <c r="I395" s="62">
        <f>I15+I24+I43+I89+I127+I283+I302+I305+I310+I314+I323+I348+I358+I369+I376+I381+I385+I388+I390</f>
        <v>44900000</v>
      </c>
      <c r="J395" s="62">
        <f>K395+N395</f>
        <v>259750792.20000002</v>
      </c>
      <c r="K395" s="62">
        <f aca="true" t="shared" si="64" ref="K395:P395">K15+K24+K43+K89+K127+K283+K302+K305+K310+K314+K323+K348+K358+K369+K376+K381+K385+K388+K390</f>
        <v>43323878</v>
      </c>
      <c r="L395" s="62">
        <f t="shared" si="64"/>
        <v>828000</v>
      </c>
      <c r="M395" s="62">
        <f t="shared" si="64"/>
        <v>546714</v>
      </c>
      <c r="N395" s="62">
        <f t="shared" si="64"/>
        <v>216426914.20000002</v>
      </c>
      <c r="O395" s="62">
        <f t="shared" si="64"/>
        <v>208382199.4</v>
      </c>
      <c r="P395" s="62">
        <f t="shared" si="64"/>
        <v>2136494219.8</v>
      </c>
    </row>
    <row r="397" spans="1:10" s="1" customFormat="1" ht="45" customHeight="1">
      <c r="A397" s="135"/>
      <c r="B397" s="135"/>
      <c r="C397" s="135"/>
      <c r="D397" s="135"/>
      <c r="E397" s="67"/>
      <c r="I397" s="2"/>
      <c r="J397" s="67"/>
    </row>
    <row r="398" spans="1:16" s="108" customFormat="1" ht="20.25">
      <c r="A398" s="137" t="s">
        <v>513</v>
      </c>
      <c r="B398" s="137"/>
      <c r="C398" s="137"/>
      <c r="D398" s="137"/>
      <c r="E398" s="109"/>
      <c r="I398" s="110"/>
      <c r="J398" s="109"/>
      <c r="N398" s="145" t="s">
        <v>514</v>
      </c>
      <c r="O398" s="145"/>
      <c r="P398" s="145"/>
    </row>
    <row r="399" spans="1:16" s="1" customFormat="1" ht="27.75">
      <c r="A399" s="135"/>
      <c r="B399" s="135"/>
      <c r="C399" s="135"/>
      <c r="D399" s="135"/>
      <c r="E399" s="67"/>
      <c r="J399" s="67"/>
      <c r="N399" s="136"/>
      <c r="O399" s="136"/>
      <c r="P399" s="136"/>
    </row>
    <row r="400" spans="1:16" ht="12.75">
      <c r="A400" s="10"/>
      <c r="D400" s="8">
        <v>1</v>
      </c>
      <c r="E400" s="122">
        <f>F400+I400</f>
        <v>85211144</v>
      </c>
      <c r="F400" s="121">
        <f>F17+F26+F32+F45+F91+F129+F184+F232+F285+F299+F295+F291+F304+F307+F312+F316+F325+F350+F357+F360+F371+F378+F383+F387+G346+F38</f>
        <v>85211144</v>
      </c>
      <c r="G400" s="121">
        <f aca="true" t="shared" si="65" ref="G400:P400">G17+G26+G32+G45+G91+G129+G184+G232+G285+G299+G295+G291+G304+G307+G312+G316+G325+G350+G357+G360+G371+G378+G383+G387+H346+G38</f>
        <v>56795890</v>
      </c>
      <c r="H400" s="121">
        <f t="shared" si="65"/>
        <v>6396643</v>
      </c>
      <c r="I400" s="121">
        <f t="shared" si="65"/>
        <v>0</v>
      </c>
      <c r="J400" s="121">
        <f t="shared" si="65"/>
        <v>2975714</v>
      </c>
      <c r="K400" s="121">
        <f t="shared" si="65"/>
        <v>551714</v>
      </c>
      <c r="L400" s="121">
        <f t="shared" si="65"/>
        <v>0</v>
      </c>
      <c r="M400" s="121">
        <f t="shared" si="65"/>
        <v>401514</v>
      </c>
      <c r="N400" s="121">
        <f t="shared" si="65"/>
        <v>2424000</v>
      </c>
      <c r="O400" s="121">
        <f t="shared" si="65"/>
        <v>2424000</v>
      </c>
      <c r="P400" s="121">
        <f t="shared" si="65"/>
        <v>88186858</v>
      </c>
    </row>
    <row r="401" spans="1:16" ht="12.75">
      <c r="A401" s="10"/>
      <c r="D401" s="120" t="s">
        <v>556</v>
      </c>
      <c r="E401" s="122">
        <f>F401+I401</f>
        <v>540023323.95</v>
      </c>
      <c r="F401" s="121">
        <f>F46+F48+F52+F55+F57+F58+F59+F60+F185+F233+F130</f>
        <v>540023323.95</v>
      </c>
      <c r="G401" s="121">
        <f>G46+G48+G52+G55+G57+G58+G59+G60</f>
        <v>329155630</v>
      </c>
      <c r="H401" s="121">
        <f aca="true" t="shared" si="66" ref="H401:O401">H46+H48+H52+H55+H57+H58+H59+H60</f>
        <v>75484700</v>
      </c>
      <c r="I401" s="121">
        <f t="shared" si="66"/>
        <v>0</v>
      </c>
      <c r="J401" s="121">
        <f t="shared" si="66"/>
        <v>43650283</v>
      </c>
      <c r="K401" s="121">
        <f t="shared" si="66"/>
        <v>26633000</v>
      </c>
      <c r="L401" s="121">
        <f t="shared" si="66"/>
        <v>89200</v>
      </c>
      <c r="M401" s="121">
        <f t="shared" si="66"/>
        <v>110600</v>
      </c>
      <c r="N401" s="121">
        <f t="shared" si="66"/>
        <v>17017283</v>
      </c>
      <c r="O401" s="121">
        <f t="shared" si="66"/>
        <v>16955283</v>
      </c>
      <c r="P401" s="121">
        <f>E401+J401</f>
        <v>583673606.95</v>
      </c>
    </row>
    <row r="402" spans="4:16" ht="12.75">
      <c r="D402" s="8">
        <v>20</v>
      </c>
      <c r="E402" s="122">
        <f>F402</f>
        <v>362883871</v>
      </c>
      <c r="F402" s="121">
        <f>F92+F94+F97+F99+F101+F104+F105</f>
        <v>362883871</v>
      </c>
      <c r="G402" s="121">
        <f aca="true" t="shared" si="67" ref="G402:O402">G92+G94+G97+G99+G101+G104+G105</f>
        <v>0</v>
      </c>
      <c r="H402" s="121">
        <f t="shared" si="67"/>
        <v>0</v>
      </c>
      <c r="I402" s="121">
        <f t="shared" si="67"/>
        <v>0</v>
      </c>
      <c r="J402" s="121">
        <f t="shared" si="67"/>
        <v>18717062.4</v>
      </c>
      <c r="K402" s="121">
        <f t="shared" si="67"/>
        <v>11083704</v>
      </c>
      <c r="L402" s="121">
        <f t="shared" si="67"/>
        <v>0</v>
      </c>
      <c r="M402" s="121">
        <f t="shared" si="67"/>
        <v>0</v>
      </c>
      <c r="N402" s="121">
        <f t="shared" si="67"/>
        <v>7633358.4</v>
      </c>
      <c r="O402" s="121">
        <f t="shared" si="67"/>
        <v>7068118.4</v>
      </c>
      <c r="P402" s="121">
        <f>E402+J402</f>
        <v>381600933.4</v>
      </c>
    </row>
    <row r="403" spans="4:16" ht="12.75">
      <c r="D403" s="8">
        <v>30</v>
      </c>
      <c r="E403" s="122">
        <f>F403+I403</f>
        <v>594721600</v>
      </c>
      <c r="F403" s="121">
        <f>F27+F33+F39+F61+F63+F64+F108+F113+F117+F118+F119+F121+F122+F127-F129-F130-F184-F185-F232-F233+F286+F289+F293+F297+F301+F326</f>
        <v>594721600</v>
      </c>
      <c r="G403" s="121">
        <f aca="true" t="shared" si="68" ref="G403:O403">G27+G33+G39+G61+G63+G64+G108+G113+G117+G118+G119+G121+G122+G127-G129-G130-G184-G185-G232-G233+G286+G289+G293+G297+G301</f>
        <v>16807102</v>
      </c>
      <c r="H403" s="121">
        <f t="shared" si="68"/>
        <v>1540000</v>
      </c>
      <c r="I403" s="121">
        <f t="shared" si="68"/>
        <v>0</v>
      </c>
      <c r="J403" s="121">
        <f t="shared" si="68"/>
        <v>1399660</v>
      </c>
      <c r="K403" s="121">
        <f t="shared" si="68"/>
        <v>639660</v>
      </c>
      <c r="L403" s="121">
        <f t="shared" si="68"/>
        <v>137800</v>
      </c>
      <c r="M403" s="121">
        <f t="shared" si="68"/>
        <v>0</v>
      </c>
      <c r="N403" s="121">
        <f t="shared" si="68"/>
        <v>760000</v>
      </c>
      <c r="O403" s="121">
        <f t="shared" si="68"/>
        <v>760000</v>
      </c>
      <c r="P403" s="121">
        <f>E403+J403</f>
        <v>596121260</v>
      </c>
    </row>
    <row r="404" spans="4:16" ht="12.75">
      <c r="D404" s="8">
        <v>40</v>
      </c>
      <c r="E404" s="122">
        <f>F404+I404</f>
        <v>49127500</v>
      </c>
      <c r="F404" s="121">
        <f>F65+F66+F67+F68+F69</f>
        <v>49127500</v>
      </c>
      <c r="G404" s="121">
        <f aca="true" t="shared" si="69" ref="G404:P404">G65+G66+G67+G68+G69</f>
        <v>19944900</v>
      </c>
      <c r="H404" s="121">
        <f t="shared" si="69"/>
        <v>2767600</v>
      </c>
      <c r="I404" s="121">
        <f t="shared" si="69"/>
        <v>0</v>
      </c>
      <c r="J404" s="121">
        <f t="shared" si="69"/>
        <v>4153100</v>
      </c>
      <c r="K404" s="121">
        <f t="shared" si="69"/>
        <v>1526800</v>
      </c>
      <c r="L404" s="121">
        <f t="shared" si="69"/>
        <v>601000</v>
      </c>
      <c r="M404" s="121">
        <f t="shared" si="69"/>
        <v>3900</v>
      </c>
      <c r="N404" s="121">
        <f t="shared" si="69"/>
        <v>2626300</v>
      </c>
      <c r="O404" s="121">
        <f t="shared" si="69"/>
        <v>2352000</v>
      </c>
      <c r="P404" s="121">
        <f t="shared" si="69"/>
        <v>53280600</v>
      </c>
    </row>
    <row r="405" spans="4:16" ht="12.75">
      <c r="D405" s="8">
        <v>50</v>
      </c>
      <c r="E405" s="122">
        <f>F405+I405</f>
        <v>25247000</v>
      </c>
      <c r="F405" s="121">
        <f>F71+F72+F74+F75+F77+F78+F80+F82+F84+F85</f>
        <v>25247000</v>
      </c>
      <c r="G405" s="121">
        <f aca="true" t="shared" si="70" ref="G405:O405">G71+G72+G74+G75+G77+G78+G80+G82+G84+G85</f>
        <v>9985700</v>
      </c>
      <c r="H405" s="121">
        <f t="shared" si="70"/>
        <v>1711600</v>
      </c>
      <c r="I405" s="121">
        <f t="shared" si="70"/>
        <v>0</v>
      </c>
      <c r="J405" s="121">
        <f t="shared" si="70"/>
        <v>104000</v>
      </c>
      <c r="K405" s="121">
        <f t="shared" si="70"/>
        <v>104000</v>
      </c>
      <c r="L405" s="121">
        <f t="shared" si="70"/>
        <v>0</v>
      </c>
      <c r="M405" s="121">
        <f t="shared" si="70"/>
        <v>30700</v>
      </c>
      <c r="N405" s="121">
        <f t="shared" si="70"/>
        <v>0</v>
      </c>
      <c r="O405" s="121">
        <f t="shared" si="70"/>
        <v>0</v>
      </c>
      <c r="P405" s="121">
        <f>E405+J405</f>
        <v>25351000</v>
      </c>
    </row>
    <row r="406" spans="4:16" ht="12.75">
      <c r="D406" s="8">
        <v>60</v>
      </c>
      <c r="E406" s="122">
        <f>F406</f>
        <v>107064758</v>
      </c>
      <c r="F406" s="121">
        <f>F333+F327+F40+F331+F329+F34+F28+F332</f>
        <v>107064758</v>
      </c>
      <c r="G406" s="121">
        <f aca="true" t="shared" si="71" ref="G406:P406">G333+G327+G40+G331+G329+G34+G28+G332</f>
        <v>0</v>
      </c>
      <c r="H406" s="121">
        <f t="shared" si="71"/>
        <v>7200000</v>
      </c>
      <c r="I406" s="121">
        <f t="shared" si="71"/>
        <v>0</v>
      </c>
      <c r="J406" s="121">
        <f t="shared" si="71"/>
        <v>16650822</v>
      </c>
      <c r="K406" s="121">
        <f t="shared" si="71"/>
        <v>0</v>
      </c>
      <c r="L406" s="121">
        <f t="shared" si="71"/>
        <v>0</v>
      </c>
      <c r="M406" s="121">
        <f t="shared" si="71"/>
        <v>0</v>
      </c>
      <c r="N406" s="121">
        <f t="shared" si="71"/>
        <v>16650822</v>
      </c>
      <c r="O406" s="121">
        <f t="shared" si="71"/>
        <v>16365822</v>
      </c>
      <c r="P406" s="121">
        <f t="shared" si="71"/>
        <v>123715580</v>
      </c>
    </row>
    <row r="407" spans="4:16" ht="12.75">
      <c r="D407" s="8">
        <v>63</v>
      </c>
      <c r="E407" s="122">
        <f>F407</f>
        <v>0</v>
      </c>
      <c r="F407" s="122">
        <f>F379+F351+F337+F336+F335+F334+F182+F124+F86</f>
        <v>0</v>
      </c>
      <c r="G407" s="122">
        <f aca="true" t="shared" si="72" ref="G407:P407">G379+G351+G337+G336+G335+G334+G182+G124+G86</f>
        <v>0</v>
      </c>
      <c r="H407" s="122">
        <f t="shared" si="72"/>
        <v>0</v>
      </c>
      <c r="I407" s="122">
        <f t="shared" si="72"/>
        <v>0</v>
      </c>
      <c r="J407" s="122">
        <f t="shared" si="72"/>
        <v>22539476</v>
      </c>
      <c r="K407" s="122">
        <f t="shared" si="72"/>
        <v>0</v>
      </c>
      <c r="L407" s="122">
        <f t="shared" si="72"/>
        <v>0</v>
      </c>
      <c r="M407" s="122">
        <f t="shared" si="72"/>
        <v>0</v>
      </c>
      <c r="N407" s="122">
        <f t="shared" si="72"/>
        <v>22539476</v>
      </c>
      <c r="O407" s="122">
        <f t="shared" si="72"/>
        <v>22539476</v>
      </c>
      <c r="P407" s="122">
        <f t="shared" si="72"/>
        <v>22539476</v>
      </c>
    </row>
    <row r="408" spans="4:16" ht="12.75">
      <c r="D408" s="8">
        <v>66</v>
      </c>
      <c r="E408" s="122">
        <f>F408+I408</f>
        <v>82800000</v>
      </c>
      <c r="F408" s="121">
        <f>F372+F338+F374+F373</f>
        <v>38800000</v>
      </c>
      <c r="G408" s="121">
        <f aca="true" t="shared" si="73" ref="G408:P408">G372+G338+G374+G373</f>
        <v>0</v>
      </c>
      <c r="H408" s="121">
        <f t="shared" si="73"/>
        <v>0</v>
      </c>
      <c r="I408" s="121">
        <f t="shared" si="73"/>
        <v>44000000</v>
      </c>
      <c r="J408" s="121">
        <f t="shared" si="73"/>
        <v>15000</v>
      </c>
      <c r="K408" s="121">
        <f t="shared" si="73"/>
        <v>15000</v>
      </c>
      <c r="L408" s="121">
        <f t="shared" si="73"/>
        <v>0</v>
      </c>
      <c r="M408" s="121">
        <f t="shared" si="73"/>
        <v>0</v>
      </c>
      <c r="N408" s="121">
        <f t="shared" si="73"/>
        <v>0</v>
      </c>
      <c r="O408" s="121">
        <f t="shared" si="73"/>
        <v>0</v>
      </c>
      <c r="P408" s="121">
        <f t="shared" si="73"/>
        <v>82815000</v>
      </c>
    </row>
    <row r="409" spans="4:16" ht="12.75">
      <c r="D409" s="8">
        <v>72</v>
      </c>
      <c r="E409" s="122">
        <f>F409</f>
        <v>850000</v>
      </c>
      <c r="F409" s="121">
        <f>F19+F20</f>
        <v>850000</v>
      </c>
      <c r="G409" s="121">
        <f aca="true" t="shared" si="74" ref="G409:O409">G19+G20</f>
        <v>0</v>
      </c>
      <c r="H409" s="121">
        <f t="shared" si="74"/>
        <v>0</v>
      </c>
      <c r="I409" s="121">
        <f t="shared" si="74"/>
        <v>0</v>
      </c>
      <c r="J409" s="121">
        <f t="shared" si="74"/>
        <v>0</v>
      </c>
      <c r="K409" s="121">
        <f t="shared" si="74"/>
        <v>0</v>
      </c>
      <c r="L409" s="121">
        <f t="shared" si="74"/>
        <v>0</v>
      </c>
      <c r="M409" s="121">
        <f t="shared" si="74"/>
        <v>0</v>
      </c>
      <c r="N409" s="121">
        <f t="shared" si="74"/>
        <v>0</v>
      </c>
      <c r="O409" s="121">
        <f t="shared" si="74"/>
        <v>0</v>
      </c>
      <c r="P409" s="121">
        <f>E409+J409</f>
        <v>850000</v>
      </c>
    </row>
    <row r="410" spans="4:16" ht="12.75">
      <c r="D410" s="8">
        <v>73</v>
      </c>
      <c r="E410" s="122">
        <f>F410+I410</f>
        <v>900000</v>
      </c>
      <c r="F410" s="121">
        <f>F317</f>
        <v>0</v>
      </c>
      <c r="G410" s="121">
        <f aca="true" t="shared" si="75" ref="G410:O410">G317</f>
        <v>0</v>
      </c>
      <c r="H410" s="121">
        <f t="shared" si="75"/>
        <v>0</v>
      </c>
      <c r="I410" s="121">
        <f t="shared" si="75"/>
        <v>900000</v>
      </c>
      <c r="J410" s="121">
        <f t="shared" si="75"/>
        <v>90000</v>
      </c>
      <c r="K410" s="121">
        <f t="shared" si="75"/>
        <v>0</v>
      </c>
      <c r="L410" s="121">
        <f t="shared" si="75"/>
        <v>0</v>
      </c>
      <c r="M410" s="121">
        <f t="shared" si="75"/>
        <v>0</v>
      </c>
      <c r="N410" s="121">
        <f t="shared" si="75"/>
        <v>90000</v>
      </c>
      <c r="O410" s="121">
        <f t="shared" si="75"/>
        <v>90000</v>
      </c>
      <c r="P410" s="121">
        <f>E410+J410</f>
        <v>990000</v>
      </c>
    </row>
    <row r="411" spans="4:16" ht="12.75">
      <c r="D411" s="8">
        <v>74</v>
      </c>
      <c r="E411" s="122">
        <f>F411</f>
        <v>295000</v>
      </c>
      <c r="F411" s="121">
        <f>F384+F375+F361+F352+F339+F313+F87</f>
        <v>295000</v>
      </c>
      <c r="G411" s="121">
        <f aca="true" t="shared" si="76" ref="G411:O411">G384+G375+G361+G352+G339+G313+G87</f>
        <v>0</v>
      </c>
      <c r="H411" s="121">
        <f t="shared" si="76"/>
        <v>0</v>
      </c>
      <c r="I411" s="121">
        <f t="shared" si="76"/>
        <v>0</v>
      </c>
      <c r="J411" s="121">
        <f t="shared" si="76"/>
        <v>79550000</v>
      </c>
      <c r="K411" s="121">
        <f t="shared" si="76"/>
        <v>0</v>
      </c>
      <c r="L411" s="121">
        <f t="shared" si="76"/>
        <v>0</v>
      </c>
      <c r="M411" s="121">
        <f t="shared" si="76"/>
        <v>0</v>
      </c>
      <c r="N411" s="121">
        <f t="shared" si="76"/>
        <v>79550000</v>
      </c>
      <c r="O411" s="121">
        <f t="shared" si="76"/>
        <v>79550000</v>
      </c>
      <c r="P411" s="121">
        <f>E411+J411</f>
        <v>79845000</v>
      </c>
    </row>
    <row r="412" spans="4:16" ht="12.75">
      <c r="D412" s="8">
        <v>78</v>
      </c>
      <c r="E412" s="122">
        <f>F412+I412</f>
        <v>164500</v>
      </c>
      <c r="F412" s="121">
        <f>F380</f>
        <v>164500</v>
      </c>
      <c r="G412" s="121">
        <f aca="true" t="shared" si="77" ref="G412:O412">G380</f>
        <v>0</v>
      </c>
      <c r="H412" s="121">
        <f t="shared" si="77"/>
        <v>0</v>
      </c>
      <c r="I412" s="121">
        <f t="shared" si="77"/>
        <v>0</v>
      </c>
      <c r="J412" s="121">
        <f t="shared" si="77"/>
        <v>35500</v>
      </c>
      <c r="K412" s="121">
        <f t="shared" si="77"/>
        <v>0</v>
      </c>
      <c r="L412" s="121">
        <f t="shared" si="77"/>
        <v>0</v>
      </c>
      <c r="M412" s="121">
        <f t="shared" si="77"/>
        <v>0</v>
      </c>
      <c r="N412" s="121">
        <f t="shared" si="77"/>
        <v>35500</v>
      </c>
      <c r="O412" s="121">
        <f t="shared" si="77"/>
        <v>35500</v>
      </c>
      <c r="P412" s="121">
        <f>E412+J412</f>
        <v>200000</v>
      </c>
    </row>
    <row r="413" spans="4:16" ht="12.75">
      <c r="D413" s="8">
        <v>80</v>
      </c>
      <c r="E413" s="122">
        <f>F413+E390</f>
        <v>27454730.65</v>
      </c>
      <c r="F413" s="121">
        <f>F389+F366+F353+F345+F340+F319+F308+F125+F107+F41+F35+F29+F21+F318</f>
        <v>18454730.65</v>
      </c>
      <c r="G413" s="121">
        <f aca="true" t="shared" si="78" ref="G413:O413">G389+G366+G353+G345+G340+G319+G308+G125+G107+G41+G35+G29+G21+G318</f>
        <v>0</v>
      </c>
      <c r="H413" s="121">
        <f t="shared" si="78"/>
        <v>0</v>
      </c>
      <c r="I413" s="121">
        <f t="shared" si="78"/>
        <v>0</v>
      </c>
      <c r="J413" s="121">
        <f t="shared" si="78"/>
        <v>60242000</v>
      </c>
      <c r="K413" s="121">
        <f t="shared" si="78"/>
        <v>0</v>
      </c>
      <c r="L413" s="121">
        <f t="shared" si="78"/>
        <v>0</v>
      </c>
      <c r="M413" s="121">
        <f t="shared" si="78"/>
        <v>0</v>
      </c>
      <c r="N413" s="121">
        <f t="shared" si="78"/>
        <v>60242000</v>
      </c>
      <c r="O413" s="121">
        <f t="shared" si="78"/>
        <v>60242000</v>
      </c>
      <c r="P413" s="121">
        <f>E413+J413</f>
        <v>87696730.65</v>
      </c>
    </row>
    <row r="414" spans="4:16" ht="12.75">
      <c r="D414" s="8">
        <v>90</v>
      </c>
      <c r="E414" s="122">
        <f>F414</f>
        <v>0</v>
      </c>
      <c r="F414" s="121">
        <f>F365+F364+F363+F362</f>
        <v>0</v>
      </c>
      <c r="G414" s="121">
        <f>G365+G364+G363+G362</f>
        <v>0</v>
      </c>
      <c r="H414" s="121">
        <f>H365+H364+H363+H362</f>
        <v>0</v>
      </c>
      <c r="I414" s="121">
        <f>I365+I364+I363+I362</f>
        <v>0</v>
      </c>
      <c r="J414" s="121">
        <f>J88+J365+J364+J363+J362</f>
        <v>9628174.8</v>
      </c>
      <c r="K414" s="121">
        <f aca="true" t="shared" si="79" ref="K414:P414">K88+K365+K364+K363+K362</f>
        <v>2770000</v>
      </c>
      <c r="L414" s="121">
        <f t="shared" si="79"/>
        <v>0</v>
      </c>
      <c r="M414" s="121">
        <f t="shared" si="79"/>
        <v>0</v>
      </c>
      <c r="N414" s="121">
        <f t="shared" si="79"/>
        <v>6858174.8</v>
      </c>
      <c r="O414" s="121">
        <f t="shared" si="79"/>
        <v>0</v>
      </c>
      <c r="P414" s="121">
        <f t="shared" si="79"/>
        <v>9628174.8</v>
      </c>
    </row>
    <row r="415" spans="5:16" ht="12.75">
      <c r="E415" s="122">
        <f>E400+E401+E402+E403+E404+E405+E406+E407+E408+E409+E410+E411+E412+E413+E414</f>
        <v>1876743427.6000001</v>
      </c>
      <c r="F415" s="122">
        <f aca="true" t="shared" si="80" ref="F415:P415">F400+F401+F402+F403+F404+F405+F406+F407+F408+F409+F410+F411+F412+F413+F414</f>
        <v>1822843427.6000001</v>
      </c>
      <c r="G415" s="122">
        <f t="shared" si="80"/>
        <v>432689222</v>
      </c>
      <c r="H415" s="122">
        <f t="shared" si="80"/>
        <v>95100543</v>
      </c>
      <c r="I415" s="122">
        <f t="shared" si="80"/>
        <v>44900000</v>
      </c>
      <c r="J415" s="122">
        <f t="shared" si="80"/>
        <v>259750792.20000002</v>
      </c>
      <c r="K415" s="122">
        <f t="shared" si="80"/>
        <v>43323878</v>
      </c>
      <c r="L415" s="122">
        <f t="shared" si="80"/>
        <v>828000</v>
      </c>
      <c r="M415" s="122">
        <f t="shared" si="80"/>
        <v>546714</v>
      </c>
      <c r="N415" s="122">
        <f t="shared" si="80"/>
        <v>216426914.20000002</v>
      </c>
      <c r="O415" s="122">
        <f t="shared" si="80"/>
        <v>208382199.4</v>
      </c>
      <c r="P415" s="122">
        <f t="shared" si="80"/>
        <v>2136494219.8</v>
      </c>
    </row>
    <row r="416" ht="12.75">
      <c r="E416" s="122"/>
    </row>
    <row r="418" spans="5:16" ht="12.75">
      <c r="E418" s="122">
        <f>E395-E415</f>
        <v>0</v>
      </c>
      <c r="F418" s="122">
        <f aca="true" t="shared" si="81" ref="F418:P418">F395-F415</f>
        <v>0</v>
      </c>
      <c r="G418" s="122">
        <f t="shared" si="81"/>
        <v>0</v>
      </c>
      <c r="H418" s="122">
        <f t="shared" si="81"/>
        <v>0</v>
      </c>
      <c r="I418" s="122">
        <f t="shared" si="81"/>
        <v>0</v>
      </c>
      <c r="J418" s="122">
        <f t="shared" si="81"/>
        <v>0</v>
      </c>
      <c r="K418" s="122">
        <f t="shared" si="81"/>
        <v>0</v>
      </c>
      <c r="L418" s="122">
        <f t="shared" si="81"/>
        <v>0</v>
      </c>
      <c r="M418" s="122">
        <f t="shared" si="81"/>
        <v>0</v>
      </c>
      <c r="N418" s="122">
        <f t="shared" si="81"/>
        <v>0</v>
      </c>
      <c r="O418" s="122">
        <f t="shared" si="81"/>
        <v>0</v>
      </c>
      <c r="P418" s="122">
        <f t="shared" si="81"/>
        <v>0</v>
      </c>
    </row>
  </sheetData>
  <sheetProtection/>
  <mergeCells count="77">
    <mergeCell ref="K190:K191"/>
    <mergeCell ref="K238:K239"/>
    <mergeCell ref="J10:O10"/>
    <mergeCell ref="L190:L191"/>
    <mergeCell ref="N238:N239"/>
    <mergeCell ref="N11:N13"/>
    <mergeCell ref="N190:N191"/>
    <mergeCell ref="M190:M191"/>
    <mergeCell ref="M12:M13"/>
    <mergeCell ref="K11:K13"/>
    <mergeCell ref="I135:I136"/>
    <mergeCell ref="K135:K136"/>
    <mergeCell ref="J135:J136"/>
    <mergeCell ref="H135:H136"/>
    <mergeCell ref="L11:M11"/>
    <mergeCell ref="E238:E239"/>
    <mergeCell ref="F238:F239"/>
    <mergeCell ref="F190:F191"/>
    <mergeCell ref="J238:J239"/>
    <mergeCell ref="H190:H191"/>
    <mergeCell ref="I190:I191"/>
    <mergeCell ref="G190:G191"/>
    <mergeCell ref="J190:J191"/>
    <mergeCell ref="H238:H239"/>
    <mergeCell ref="A7:P7"/>
    <mergeCell ref="A8:P8"/>
    <mergeCell ref="N398:P398"/>
    <mergeCell ref="L238:L239"/>
    <mergeCell ref="M238:M239"/>
    <mergeCell ref="P10:P13"/>
    <mergeCell ref="P135:P136"/>
    <mergeCell ref="M135:M136"/>
    <mergeCell ref="O135:O136"/>
    <mergeCell ref="O12:O13"/>
    <mergeCell ref="E10:I10"/>
    <mergeCell ref="H12:H13"/>
    <mergeCell ref="P238:P239"/>
    <mergeCell ref="O238:O239"/>
    <mergeCell ref="I11:I13"/>
    <mergeCell ref="J11:J13"/>
    <mergeCell ref="F135:F136"/>
    <mergeCell ref="G135:G136"/>
    <mergeCell ref="G11:H11"/>
    <mergeCell ref="G12:G13"/>
    <mergeCell ref="L1:P1"/>
    <mergeCell ref="L2:P2"/>
    <mergeCell ref="L3:P3"/>
    <mergeCell ref="O190:O191"/>
    <mergeCell ref="P190:P191"/>
    <mergeCell ref="N135:N136"/>
    <mergeCell ref="L135:L136"/>
    <mergeCell ref="L12:L13"/>
    <mergeCell ref="L5:P5"/>
    <mergeCell ref="L4:P4"/>
    <mergeCell ref="A399:D399"/>
    <mergeCell ref="N399:P399"/>
    <mergeCell ref="A398:D398"/>
    <mergeCell ref="C238:C239"/>
    <mergeCell ref="A397:D397"/>
    <mergeCell ref="G238:G239"/>
    <mergeCell ref="A238:A239"/>
    <mergeCell ref="B238:B239"/>
    <mergeCell ref="I238:I239"/>
    <mergeCell ref="A190:A191"/>
    <mergeCell ref="B190:B191"/>
    <mergeCell ref="A135:A136"/>
    <mergeCell ref="B135:B136"/>
    <mergeCell ref="C190:C191"/>
    <mergeCell ref="E190:E191"/>
    <mergeCell ref="E11:E13"/>
    <mergeCell ref="F11:F13"/>
    <mergeCell ref="C135:C136"/>
    <mergeCell ref="E135:E136"/>
    <mergeCell ref="A10:A13"/>
    <mergeCell ref="B10:B13"/>
    <mergeCell ref="C10:C13"/>
    <mergeCell ref="D10:D13"/>
  </mergeCells>
  <printOptions/>
  <pageMargins left="0.7874015748031497" right="0.3937007874015748" top="1.1811023622047245" bottom="0.3937007874015748" header="0.7086614173228347" footer="0.31496062992125984"/>
  <pageSetup fitToHeight="15" horizontalDpi="600" verticalDpi="600" orientation="landscape" paperSize="9" scale="45" r:id="rId1"/>
  <headerFooter alignWithMargins="0">
    <oddHeader>&amp;C&amp;P</oddHeader>
  </headerFooter>
  <rowBreaks count="1" manualBreakCount="1">
    <brk id="3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2017-03-28T08:32:51Z</cp:lastPrinted>
  <dcterms:created xsi:type="dcterms:W3CDTF">2017-01-11T06:29:21Z</dcterms:created>
  <dcterms:modified xsi:type="dcterms:W3CDTF">2017-04-24T12:03:00Z</dcterms:modified>
  <cp:category/>
  <cp:version/>
  <cp:contentType/>
  <cp:contentStatus/>
</cp:coreProperties>
</file>