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4820" windowHeight="9252" activeTab="0"/>
  </bookViews>
  <sheets>
    <sheet name="Лист1" sheetId="1" r:id="rId1"/>
  </sheets>
  <externalReferences>
    <externalReference r:id="rId4"/>
  </externalReferences>
  <definedNames>
    <definedName name="_xlnm.Print_Area" localSheetId="0">'Лист1'!$A$1:$P$424</definedName>
  </definedNames>
  <calcPr fullCalcOnLoad="1"/>
</workbook>
</file>

<file path=xl/sharedStrings.xml><?xml version="1.0" encoding="utf-8"?>
<sst xmlns="http://schemas.openxmlformats.org/spreadsheetml/2006/main" count="1157" uniqueCount="572">
  <si>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</si>
  <si>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</si>
  <si>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</si>
  <si>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</si>
  <si>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</si>
  <si>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</si>
  <si>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</si>
  <si>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</si>
  <si>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</si>
  <si>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</si>
  <si>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</si>
  <si>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</si>
  <si>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</si>
  <si>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</si>
  <si>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</si>
  <si>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</si>
  <si>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0100000</t>
  </si>
  <si>
    <t>Апарат місцевої ради</t>
  </si>
  <si>
    <t>0110000</t>
  </si>
  <si>
    <t>0110170</t>
  </si>
  <si>
    <t>0111</t>
  </si>
  <si>
    <t>0170</t>
  </si>
  <si>
    <t>0117210</t>
  </si>
  <si>
    <t>Підтримка засобів масової інформації</t>
  </si>
  <si>
    <t>0117211</t>
  </si>
  <si>
    <t>0830</t>
  </si>
  <si>
    <t>7211</t>
  </si>
  <si>
    <t>Сприяння діяльності телебачення і радіомовлення</t>
  </si>
  <si>
    <t>0117212</t>
  </si>
  <si>
    <t>7212</t>
  </si>
  <si>
    <t>Підтримка періодичних видань (газет та журналів)</t>
  </si>
  <si>
    <t>0133</t>
  </si>
  <si>
    <t>8600</t>
  </si>
  <si>
    <t>Інші видатки</t>
  </si>
  <si>
    <t>0300000</t>
  </si>
  <si>
    <t>0180</t>
  </si>
  <si>
    <t>1050</t>
  </si>
  <si>
    <t>3240</t>
  </si>
  <si>
    <t>Організація та проведення громадських робіт</t>
  </si>
  <si>
    <t>0620</t>
  </si>
  <si>
    <t>6060</t>
  </si>
  <si>
    <t>Благоустрій міст, сіл, селищ</t>
  </si>
  <si>
    <t>Оргінізація та проведення громадських робіт</t>
  </si>
  <si>
    <t>1000000</t>
  </si>
  <si>
    <t>Департамент з гуманітарних питань  міської ради</t>
  </si>
  <si>
    <t>1010000</t>
  </si>
  <si>
    <t>1010180</t>
  </si>
  <si>
    <t>1011010</t>
  </si>
  <si>
    <t>0910</t>
  </si>
  <si>
    <t>1010</t>
  </si>
  <si>
    <t>Дошкільна освiта</t>
  </si>
  <si>
    <t>1011020</t>
  </si>
  <si>
    <t>0921</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</si>
  <si>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</si>
  <si>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</si>
  <si>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1011040</t>
  </si>
  <si>
    <t>0922</t>
  </si>
  <si>
    <t>1040</t>
  </si>
  <si>
    <t>Надання загальної середньої освіти загальноосвiтнiми школами-iнтернатами, загальноосвітніми санаторними школами-інтернатами</t>
  </si>
  <si>
    <t>1011090</t>
  </si>
  <si>
    <t>0960</t>
  </si>
  <si>
    <t>1090</t>
  </si>
  <si>
    <t>Надання позашкільної освіти позашкільними закладами освіти, заходи із позашкільної роботи з дітьми</t>
  </si>
  <si>
    <t>1011170</t>
  </si>
  <si>
    <t>0990</t>
  </si>
  <si>
    <t>1170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</si>
  <si>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</si>
  <si>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</si>
  <si>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</si>
  <si>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</si>
  <si>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1011200</t>
  </si>
  <si>
    <t>1200</t>
  </si>
  <si>
    <t>Здійснення централізованого господарського обслуговування</t>
  </si>
  <si>
    <t>1011230</t>
  </si>
  <si>
    <t>1230</t>
  </si>
  <si>
    <t>Надання допомоги дітям-сиротам і дітям, позбавленим батьківського піклування, яким виповнюється 18 років</t>
  </si>
  <si>
    <t>1013140</t>
  </si>
  <si>
    <t>1013141</t>
  </si>
  <si>
    <t>3141</t>
  </si>
  <si>
    <t>Здійснення заходів та реалізація проектів на виконання Державної цільової соціальної програми `Молодь України`</t>
  </si>
  <si>
    <t>1013160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</si>
  <si>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</si>
  <si>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</si>
  <si>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1013500</t>
  </si>
  <si>
    <t>3500</t>
  </si>
  <si>
    <t>1014020</t>
  </si>
  <si>
    <t>0821</t>
  </si>
  <si>
    <t>4020</t>
  </si>
  <si>
    <t>Театри</t>
  </si>
  <si>
    <t>1014030</t>
  </si>
  <si>
    <t>0822</t>
  </si>
  <si>
    <t>4030</t>
  </si>
  <si>
    <t>Фiлармонiї, музичнi колективи i ансамблі та iншi мистецькі заклади та заходи</t>
  </si>
  <si>
    <t>1014060</t>
  </si>
  <si>
    <t>0824</t>
  </si>
  <si>
    <t>4060</t>
  </si>
  <si>
    <t>Бiблiотеки</t>
  </si>
  <si>
    <t>1014070</t>
  </si>
  <si>
    <t>4070</t>
  </si>
  <si>
    <t>Музеї i виставки</t>
  </si>
  <si>
    <t>1014100</t>
  </si>
  <si>
    <t>4100</t>
  </si>
  <si>
    <t>Школи естетичного виховання дiтей</t>
  </si>
  <si>
    <t>1015010</t>
  </si>
  <si>
    <t>Проведення спортивної роботи в регіоні</t>
  </si>
  <si>
    <t>1015011</t>
  </si>
  <si>
    <t>0810</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</si>
  <si>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</si>
  <si>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</si>
  <si>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</si>
  <si>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</si>
  <si>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</si>
  <si>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1015020</t>
  </si>
  <si>
    <t>Здійснення фізкультурно-спортивної та реабілітаційної роботи серед інвалідів</t>
  </si>
  <si>
    <t>1015021</t>
  </si>
  <si>
    <t>5021</t>
  </si>
  <si>
    <t>Утримання центрів з інвалідного спорту і реабілітаційних шкіл</t>
  </si>
  <si>
    <t>1015022</t>
  </si>
  <si>
    <t>5022</t>
  </si>
  <si>
    <t>Проведення навчально-тренувальних зборів і змагань та заходів з інвалідного спорту</t>
  </si>
  <si>
    <t>1015030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</si>
  <si>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</si>
  <si>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</si>
  <si>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</si>
  <si>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</si>
  <si>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1015032</t>
  </si>
  <si>
    <t>5032</t>
  </si>
  <si>
    <t>Фінансова підтримка дитячо-юнацьких спортивних шкіл фізкультурно-спортивних товариств</t>
  </si>
  <si>
    <t>1015040</t>
  </si>
  <si>
    <t>Підтримка і розвиток спортивної інфраструктури</t>
  </si>
  <si>
    <t>1015041</t>
  </si>
  <si>
    <t>5041</t>
  </si>
  <si>
    <t>Утримання комунальних спортивних споруд</t>
  </si>
  <si>
    <t>1015050</t>
  </si>
  <si>
    <t>Підтримка фізкультурно-спортивного руху</t>
  </si>
  <si>
    <t>1015053</t>
  </si>
  <si>
    <t>5053</t>
  </si>
  <si>
    <t>Фінансова підтримка на утримання місцевих осередків (рад) всеукраїнських організацій фізкультурно-спортивної спрямованості</t>
  </si>
  <si>
    <t>1015060</t>
  </si>
  <si>
    <t>Інші заходи з розвитку фізичної культури та спорту</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</si>
  <si>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</si>
  <si>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</si>
  <si>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</si>
  <si>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t>
  </si>
  <si>
    <t>5062</t>
  </si>
  <si>
    <t>Підтримка спорту вищих досягнень та організацій, які здійснюють фізкультурно-спортивну діяльність в регіоні</t>
  </si>
  <si>
    <t>1017470</t>
  </si>
  <si>
    <t>0490</t>
  </si>
  <si>
    <t>7470</t>
  </si>
  <si>
    <t>Внески до статутного капіталу суб`єктів господарювання</t>
  </si>
  <si>
    <t>1019110</t>
  </si>
  <si>
    <t>0511</t>
  </si>
  <si>
    <t>9110</t>
  </si>
  <si>
    <t>Охорона та раціональне використання природних ресурсів</t>
  </si>
  <si>
    <t>1400000</t>
  </si>
  <si>
    <t>1410000</t>
  </si>
  <si>
    <t>1410180</t>
  </si>
  <si>
    <t>1412010</t>
  </si>
  <si>
    <t>0731</t>
  </si>
  <si>
    <t>2010</t>
  </si>
  <si>
    <t>Багатопрофільна стаціонарна медична допомога населенню</t>
  </si>
  <si>
    <t>1412030</t>
  </si>
  <si>
    <t>0732</t>
  </si>
  <si>
    <t>2030</t>
  </si>
  <si>
    <t>Спеціалізована стаціонарна медична допомога населенню</t>
  </si>
  <si>
    <t>1412120</t>
  </si>
  <si>
    <t>0721</t>
  </si>
  <si>
    <t>2120</t>
  </si>
  <si>
    <t>Амбулаторно-поліклінічна допомога населенню</t>
  </si>
  <si>
    <t>1412140</t>
  </si>
  <si>
    <t>0722</t>
  </si>
  <si>
    <t>2140</t>
  </si>
  <si>
    <t>Надання стоматологічної допомоги населенню</t>
  </si>
  <si>
    <t>1412180</t>
  </si>
  <si>
    <t>0726</t>
  </si>
  <si>
    <t>2180</t>
  </si>
  <si>
    <t>Первинна медична допомога населенню</t>
  </si>
  <si>
    <t>1412200</t>
  </si>
  <si>
    <t>0763</t>
  </si>
  <si>
    <t>2200</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</si>
  <si>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</si>
  <si>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1412220</t>
  </si>
  <si>
    <t>2220</t>
  </si>
  <si>
    <t>Інші заходи в галузі охорони здоров`я</t>
  </si>
  <si>
    <t>1413030</t>
  </si>
  <si>
    <t>1413031</t>
  </si>
  <si>
    <t>1030</t>
  </si>
  <si>
    <t>3031</t>
  </si>
  <si>
    <t>1413035</t>
  </si>
  <si>
    <t>1070</t>
  </si>
  <si>
    <t>3035</t>
  </si>
  <si>
    <t>Компенсаційні виплати на пільговий проїзд автомобільним транспортом окремим категоріям громадян</t>
  </si>
  <si>
    <t>1413037</t>
  </si>
  <si>
    <t>3037</t>
  </si>
  <si>
    <t>Компенсаційні виплати за пільговий проїзд окремих категорій громадян на залізничному транспорті</t>
  </si>
  <si>
    <t>1413038</t>
  </si>
  <si>
    <t>3038</t>
  </si>
  <si>
    <t>Компенсаційні виплати на пільговий проїзд електротранспортом окремим категоріям громадян</t>
  </si>
  <si>
    <t>1413130</t>
  </si>
  <si>
    <t>Здійснення соціальної роботи з вразливими категоріями населення</t>
  </si>
  <si>
    <t>1413131</t>
  </si>
  <si>
    <t>3131</t>
  </si>
  <si>
    <t>Центри соціальних служб для сім`ї, дітей та молоді</t>
  </si>
  <si>
    <t>1413132</t>
  </si>
  <si>
    <t>3132</t>
  </si>
  <si>
    <t>Програми і заходи центрів соціальних служб для сім`ї, дітей та молоді</t>
  </si>
  <si>
    <t>1413134</t>
  </si>
  <si>
    <t>3134</t>
  </si>
  <si>
    <t>Заходи державної політики з питань сім`ї</t>
  </si>
  <si>
    <t>1413160</t>
  </si>
  <si>
    <t>1413200</t>
  </si>
  <si>
    <t>Соціальний захист ветеранів війни та праці</t>
  </si>
  <si>
    <t>1413202</t>
  </si>
  <si>
    <t>3202</t>
  </si>
  <si>
    <t>Надання фінансової підтримки громадським організаціям інвалідів і ветеранів, діяльність яких має соціальну спрямованість</t>
  </si>
  <si>
    <t>1413300</t>
  </si>
  <si>
    <t>3300</t>
  </si>
  <si>
    <t>Інші установи та заклади</t>
  </si>
  <si>
    <t>1413400</t>
  </si>
  <si>
    <t>3400</t>
  </si>
  <si>
    <t>Інші видатки на соціальний захист населення  </t>
  </si>
  <si>
    <t>1416310</t>
  </si>
  <si>
    <t>6310</t>
  </si>
  <si>
    <t>Реалізація заходів щодо інвестиційного розвитку території</t>
  </si>
  <si>
    <t>1500000</t>
  </si>
  <si>
    <t>Орган з питань праці та соціального захисту населення</t>
  </si>
  <si>
    <t>1060</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</si>
  <si>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</si>
  <si>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</si>
  <si>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</si>
  <si>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</si>
  <si>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</si>
  <si>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</si>
  <si>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</si>
  <si>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</si>
  <si>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</si>
  <si>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</si>
  <si>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3021</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</si>
  <si>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</si>
  <si>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</si>
  <si>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</si>
  <si>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</si>
  <si>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</si>
  <si>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</si>
  <si>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</si>
  <si>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</si>
  <si>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</si>
  <si>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</si>
  <si>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</si>
  <si>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</si>
  <si>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</si>
  <si>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</si>
  <si>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</si>
  <si>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</si>
  <si>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</si>
  <si>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</si>
  <si>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</si>
  <si>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</si>
  <si>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</si>
  <si>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</si>
  <si>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</si>
  <si>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соціальних та реабілітаційних послуг громадянам в установах соціального обслуговування</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</si>
  <si>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</si>
  <si>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</si>
  <si>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</si>
  <si>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</si>
  <si>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</si>
  <si>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</si>
  <si>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</si>
  <si>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2000000</t>
  </si>
  <si>
    <t>Орган у справах дітей</t>
  </si>
  <si>
    <t>2010000</t>
  </si>
  <si>
    <t>2010180</t>
  </si>
  <si>
    <t>2013110</t>
  </si>
  <si>
    <t>Заклади і заходи з питань дітей та їх соціального захисту</t>
  </si>
  <si>
    <t>2013111</t>
  </si>
  <si>
    <t>3111</t>
  </si>
  <si>
    <t>Утримання закладів, що надають соціальні послуги дітям, які опинились у складних життєвих обставинах</t>
  </si>
  <si>
    <t>2013112</t>
  </si>
  <si>
    <t>3112</t>
  </si>
  <si>
    <t>Заходи державної політики з питань дітей та їх соціального захисту</t>
  </si>
  <si>
    <t>2013500</t>
  </si>
  <si>
    <t>2900000</t>
  </si>
  <si>
    <t>Архівна установа</t>
  </si>
  <si>
    <t>2910000</t>
  </si>
  <si>
    <t>2910180</t>
  </si>
  <si>
    <t>3100000</t>
  </si>
  <si>
    <t>Орган з питань реклами</t>
  </si>
  <si>
    <t>3110000</t>
  </si>
  <si>
    <t>Відділ реклами міської ради</t>
  </si>
  <si>
    <t>3110180</t>
  </si>
  <si>
    <t>3200000</t>
  </si>
  <si>
    <t>Орган з питань регуляторної політики і підприємництва</t>
  </si>
  <si>
    <t>3210000</t>
  </si>
  <si>
    <t>'Департмент муніципальних послуг та регуляторної політики міської ради</t>
  </si>
  <si>
    <t>3210180</t>
  </si>
  <si>
    <t>3217450</t>
  </si>
  <si>
    <t>0411</t>
  </si>
  <si>
    <t>7450</t>
  </si>
  <si>
    <t>Сприяння розвитку малого та середнього підприємництва</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</si>
  <si>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</si>
  <si>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</si>
  <si>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</si>
  <si>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</si>
  <si>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4510180</t>
  </si>
  <si>
    <t>4517310</t>
  </si>
  <si>
    <t>0421</t>
  </si>
  <si>
    <t>7310</t>
  </si>
  <si>
    <t>Проведення заходів із землеустрою</t>
  </si>
  <si>
    <t>4700000</t>
  </si>
  <si>
    <t>Орган з питань будівництва</t>
  </si>
  <si>
    <t>4710000</t>
  </si>
  <si>
    <t>Департамент житлово-комунального господарства та будівництва міської ради</t>
  </si>
  <si>
    <t>4710180</t>
  </si>
  <si>
    <t>4713240</t>
  </si>
  <si>
    <t>4716010</t>
  </si>
  <si>
    <t>0610</t>
  </si>
  <si>
    <t>6010</t>
  </si>
  <si>
    <t>Забезпечення надійного та безперебійного функціонування житлово-експлуатаційного господарства</t>
  </si>
  <si>
    <t>4716020</t>
  </si>
  <si>
    <t>Капітальний ремонт об`єктів житлового господарства</t>
  </si>
  <si>
    <t>4716021</t>
  </si>
  <si>
    <t>6021</t>
  </si>
  <si>
    <t>Капітальний ремонт житлового фонду</t>
  </si>
  <si>
    <t>4716050</t>
  </si>
  <si>
    <t>Фінансова підтримка об`єктів комунального господарства</t>
  </si>
  <si>
    <t>4716051</t>
  </si>
  <si>
    <t>6051</t>
  </si>
  <si>
    <t>Забезпечення функціонування теплових мереж</t>
  </si>
  <si>
    <t>4716060</t>
  </si>
  <si>
    <t>4716130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</si>
  <si>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</si>
  <si>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</si>
  <si>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4716310</t>
  </si>
  <si>
    <t>4716350</t>
  </si>
  <si>
    <t>6350</t>
  </si>
  <si>
    <t>Проведення невідкладних відновлювальних робіт, будівництво та реконструкція позашкільних навчальних закладів</t>
  </si>
  <si>
    <t>4716650</t>
  </si>
  <si>
    <t>0456</t>
  </si>
  <si>
    <t>6650</t>
  </si>
  <si>
    <t>Утримання та розвиток інфраструктури доріг</t>
  </si>
  <si>
    <t>4717470</t>
  </si>
  <si>
    <t>4718600</t>
  </si>
  <si>
    <t>4718800</t>
  </si>
  <si>
    <t>8800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</si>
  <si>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</si>
  <si>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</si>
  <si>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</si>
  <si>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</si>
  <si>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</si>
  <si>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4810180</t>
  </si>
  <si>
    <t>4816430</t>
  </si>
  <si>
    <t>0443</t>
  </si>
  <si>
    <t>6430</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</si>
  <si>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</si>
  <si>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</si>
  <si>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</si>
  <si>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</si>
  <si>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</si>
  <si>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</si>
  <si>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Кам'янської міської ради</t>
  </si>
  <si>
    <t>6010180</t>
  </si>
  <si>
    <t>6017470</t>
  </si>
  <si>
    <t>6019110</t>
  </si>
  <si>
    <t>6019120</t>
  </si>
  <si>
    <t>0512</t>
  </si>
  <si>
    <t>9120</t>
  </si>
  <si>
    <t>Утилізація відходів</t>
  </si>
  <si>
    <t>6019130</t>
  </si>
  <si>
    <t>0513</t>
  </si>
  <si>
    <t>9130</t>
  </si>
  <si>
    <t>Ліквідація іншого забруднення навколишнього природного середовища</t>
  </si>
  <si>
    <t>6019140</t>
  </si>
  <si>
    <t>0540</t>
  </si>
  <si>
    <t>9140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</si>
  <si>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</si>
  <si>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</si>
  <si>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</si>
  <si>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</si>
  <si>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</si>
  <si>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6510180</t>
  </si>
  <si>
    <t>6516640</t>
  </si>
  <si>
    <t>0455</t>
  </si>
  <si>
    <t>6640</t>
  </si>
  <si>
    <t>Інші заходи у сфері електротранспорту</t>
  </si>
  <si>
    <t>6516700</t>
  </si>
  <si>
    <t>0460</t>
  </si>
  <si>
    <t>6700</t>
  </si>
  <si>
    <t>Діяльність і послуги, не віднесені до інших категорій</t>
  </si>
  <si>
    <t>6516800</t>
  </si>
  <si>
    <t>0451</t>
  </si>
  <si>
    <t>6800</t>
  </si>
  <si>
    <t>Інші заходи у сфері автомобільного транспорту</t>
  </si>
  <si>
    <t>6517470</t>
  </si>
  <si>
    <t>6700000</t>
  </si>
  <si>
    <t>Орган з питань надзвичайних ситуацій</t>
  </si>
  <si>
    <t>6710000</t>
  </si>
  <si>
    <t>Управління з надзвичайних ситуацій та цивільного захисту населення міської ради</t>
  </si>
  <si>
    <t>6710180</t>
  </si>
  <si>
    <t>6717810</t>
  </si>
  <si>
    <t>0320</t>
  </si>
  <si>
    <t>7810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</si>
  <si>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</si>
  <si>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</si>
  <si>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</si>
  <si>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</si>
  <si>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</si>
  <si>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7310180</t>
  </si>
  <si>
    <t>7317410</t>
  </si>
  <si>
    <t>0470</t>
  </si>
  <si>
    <t>7410</t>
  </si>
  <si>
    <t>Заходи з енергозбереження</t>
  </si>
  <si>
    <t>7500000</t>
  </si>
  <si>
    <t>Фінансовий орган</t>
  </si>
  <si>
    <t>7510000</t>
  </si>
  <si>
    <t>7510180</t>
  </si>
  <si>
    <t>7600000</t>
  </si>
  <si>
    <t>7610000</t>
  </si>
  <si>
    <t>7618010</t>
  </si>
  <si>
    <t>8010</t>
  </si>
  <si>
    <t>Резервний фонд</t>
  </si>
  <si>
    <t>7618600</t>
  </si>
  <si>
    <t>7618800</t>
  </si>
  <si>
    <t xml:space="preserve"> </t>
  </si>
  <si>
    <t>Орган* з питань охорони здоров'я</t>
  </si>
  <si>
    <t>Управління державного будівельно-архітектурного контролю</t>
  </si>
  <si>
    <t>Кам'янська міська рада</t>
  </si>
  <si>
    <t>0310000</t>
  </si>
  <si>
    <t>0310180</t>
  </si>
  <si>
    <t>Адміністрація Південного району міської ради</t>
  </si>
  <si>
    <t>0313240</t>
  </si>
  <si>
    <t>0316060</t>
  </si>
  <si>
    <t>Адміністрація Дніпровського району міської ради</t>
  </si>
  <si>
    <t>Адміністрація Заводського району міської ради</t>
  </si>
  <si>
    <t>Департамент охорони здоров'я та соціальної політики міської ради</t>
  </si>
  <si>
    <t>Управління соціального захисту населення адміністрації Південного району міської ради</t>
  </si>
  <si>
    <t>1510000</t>
  </si>
  <si>
    <t>1510180</t>
  </si>
  <si>
    <t>1513010</t>
  </si>
  <si>
    <t>1511060</t>
  </si>
  <si>
    <t>1513011</t>
  </si>
  <si>
    <t>1513012</t>
  </si>
  <si>
    <t>1513013</t>
  </si>
  <si>
    <t>1513014</t>
  </si>
  <si>
    <t>1513015</t>
  </si>
  <si>
    <t>1513016</t>
  </si>
  <si>
    <t>1513020</t>
  </si>
  <si>
    <t>1513021</t>
  </si>
  <si>
    <t>1513025</t>
  </si>
  <si>
    <t>1513026</t>
  </si>
  <si>
    <t>1513040</t>
  </si>
  <si>
    <t>1513041</t>
  </si>
  <si>
    <t>1513042</t>
  </si>
  <si>
    <t>1513043</t>
  </si>
  <si>
    <t>1513044</t>
  </si>
  <si>
    <t>1513045</t>
  </si>
  <si>
    <t>1513046</t>
  </si>
  <si>
    <t>1513047</t>
  </si>
  <si>
    <t>1513048</t>
  </si>
  <si>
    <t>1513049</t>
  </si>
  <si>
    <t>1513080</t>
  </si>
  <si>
    <t>1513100</t>
  </si>
  <si>
    <t>1513104</t>
  </si>
  <si>
    <t>1513180</t>
  </si>
  <si>
    <t>1513181</t>
  </si>
  <si>
    <t>1513190</t>
  </si>
  <si>
    <t>1513200</t>
  </si>
  <si>
    <t>1513202</t>
  </si>
  <si>
    <t>1513400</t>
  </si>
  <si>
    <t>1516310</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</si>
  <si>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</si>
  <si>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</si>
  <si>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</si>
  <si>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</si>
  <si>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</si>
  <si>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</si>
  <si>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Архівне управління міської ради</t>
  </si>
  <si>
    <t>Департамент фінансів  міської ради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</si>
  <si>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</si>
  <si>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4518600</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</si>
  <si>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</si>
  <si>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</si>
  <si>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t>
  </si>
  <si>
    <t>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</si>
  <si>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</si>
  <si>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</si>
  <si>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</si>
  <si>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</si>
  <si>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у тому числі:</t>
  </si>
  <si>
    <t>Субвенція Петриківському району на виготовлення планів земельних ділянок для учасників АТО</t>
  </si>
  <si>
    <t>Субвенція до обласного бюджету на капітальний ремонт об`єктів соціально-культурної сфери та інфраструктури міста</t>
  </si>
  <si>
    <t>Відшкодування за рішеннями суду, постанов, виконавчих проваджень</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</si>
  <si>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</si>
  <si>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</si>
  <si>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</si>
  <si>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</si>
  <si>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</si>
  <si>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</si>
  <si>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Додаток 3</t>
  </si>
  <si>
    <t>до рішення міської ради</t>
  </si>
  <si>
    <t>( у редакції рішення міської ради</t>
  </si>
  <si>
    <t>Секретар міської ради</t>
  </si>
  <si>
    <t xml:space="preserve">О.Ю.Залевський </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</si>
  <si>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</si>
  <si>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</si>
  <si>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</si>
  <si>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</si>
  <si>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у тому числі за рахунок додаткової дотації </t>
  </si>
  <si>
    <t>в тому числі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</si>
  <si>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</si>
  <si>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Проведення невідкладних відновлювальних робіт, будівництво та реконструкція лікарень загального профілю</t>
  </si>
  <si>
    <t>Інші видатки, в тому числі:</t>
  </si>
  <si>
    <t>0318600</t>
  </si>
  <si>
    <t>3118600</t>
  </si>
  <si>
    <t>0118600</t>
  </si>
  <si>
    <t>1418600</t>
  </si>
  <si>
    <t>Реалізація державної політики у молодіжній сфері</t>
  </si>
  <si>
    <t xml:space="preserve"> у тому числі субвенція з обласного бюджету до місцевих бюджетів на виконання доручень виборців</t>
  </si>
  <si>
    <t>4716360</t>
  </si>
  <si>
    <t>6360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</si>
  <si>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</si>
  <si>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6716400</t>
  </si>
  <si>
    <t>6400</t>
  </si>
  <si>
    <t>Здійснення заходів по проведенню технічної інвентаризації об’єктів комунальної власності територіальної громади</t>
  </si>
  <si>
    <t>7618370</t>
  </si>
  <si>
    <t>Субвенція з місцевого бюджету державному бюджету на виконання програм соціально-економічного та культурного розвитку регіонів</t>
  </si>
  <si>
    <t>8370</t>
  </si>
  <si>
    <t>Орган з питань освіти і науки, молоді та спорту</t>
  </si>
  <si>
    <r>
      <t xml:space="preserve">Фінансовий орган                                        </t>
    </r>
    <r>
      <rPr>
        <sz val="12"/>
        <rFont val="Times New Roman"/>
        <family val="1"/>
      </rPr>
      <t xml:space="preserve"> (в частині міжбюджетних трансфертів, резервного фонду)</t>
    </r>
  </si>
  <si>
    <r>
      <t xml:space="preserve">Департамент фінансів міської ради </t>
    </r>
    <r>
      <rPr>
        <sz val="11"/>
        <rFont val="Times New Roman"/>
        <family val="1"/>
      </rPr>
      <t xml:space="preserve"> (в частині міжбюджетних трансфертів, резервного фонду)</t>
    </r>
  </si>
  <si>
    <r>
      <t>від  16.12.2016  № 560-12/VII</t>
    </r>
    <r>
      <rPr>
        <u val="single"/>
        <sz val="16"/>
        <rFont val="Times New Roman"/>
        <family val="1"/>
      </rPr>
      <t xml:space="preserve">                     </t>
    </r>
    <r>
      <rPr>
        <sz val="16"/>
        <rFont val="Times New Roman"/>
        <family val="1"/>
      </rPr>
      <t xml:space="preserve"> </t>
    </r>
  </si>
  <si>
    <t>Здійснення підтримки териториальної виборчої комісії у міжвиборчий період</t>
  </si>
  <si>
    <t>в т.ч. виконання доручень, наданих виборцям депутатами обласної ради у 2017 році</t>
  </si>
  <si>
    <t>6018600</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</si>
  <si>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</si>
  <si>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</si>
  <si>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</si>
  <si>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в тому числі за рахунок субвенції з обласного бюджету за рахунок залишку коштів освітньої субвенції, що утворився на початок бюджетного періоду, на підтримку інклюзивної освіти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</si>
  <si>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</si>
  <si>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Керівництво і управління у відповідній сфері у містах, селищах, селах</t>
  </si>
  <si>
    <t>8070</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</si>
  <si>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</si>
  <si>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в тому числі за рахунок субвенції з державного бюджету місцевим бюджетам на відшкодування вартості лікарських засобів для лікувіання окремих захворювань</t>
  </si>
  <si>
    <t>видатків міського бюджету  на 2017 рік</t>
  </si>
  <si>
    <t>у тому числі за рахунок субвенції з обласного бюджету на виконання доручень виборців депутатами обласної ради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</si>
  <si>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</si>
  <si>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0316010</t>
  </si>
  <si>
    <t>'Забезпечення надійного та безперебійного функціонування житлово-експлуатаційного господарства</t>
  </si>
  <si>
    <t>1419110</t>
  </si>
  <si>
    <t>в т.ч.виконання доручень, наданих виборцям депутатами обласної ради у 2017 році</t>
  </si>
  <si>
    <t>4719110</t>
  </si>
  <si>
    <t>3217470</t>
  </si>
  <si>
    <t>7318600</t>
  </si>
  <si>
    <t>3216310</t>
  </si>
  <si>
    <t>Здійснення заходів з  розвитку туристичної галузі міста Кам'янське</t>
  </si>
  <si>
    <t>4716330</t>
  </si>
  <si>
    <t>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</si>
  <si>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</si>
  <si>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</si>
  <si>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в тому числі субвенція з державного бюджету місцевим бюджетам на здійснення заходів щодо соціально-економічного розвитку окремих територій</t>
  </si>
  <si>
    <t>0316310</t>
  </si>
  <si>
    <t>1516320</t>
  </si>
  <si>
    <t>Надання допомоги у вирішенні житлових питань</t>
  </si>
  <si>
    <t>1516324</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</si>
  <si>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</si>
  <si>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</si>
  <si>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7616150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</si>
  <si>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</si>
  <si>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</si>
  <si>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</si>
  <si>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</si>
  <si>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r>
      <t>від</t>
    </r>
    <r>
      <rPr>
        <u val="single"/>
        <sz val="16"/>
        <rFont val="Times New Roman"/>
        <family val="1"/>
      </rPr>
      <t xml:space="preserve"> 21.07.2017 </t>
    </r>
    <r>
      <rPr>
        <sz val="16"/>
        <rFont val="Times New Roman"/>
        <family val="1"/>
      </rPr>
      <t xml:space="preserve">№ </t>
    </r>
    <r>
      <rPr>
        <u val="single"/>
        <sz val="16"/>
        <rFont val="Times New Roman"/>
        <family val="1"/>
      </rPr>
      <t>770-18/VII</t>
    </r>
    <r>
      <rPr>
        <sz val="16"/>
        <rFont val="Times New Roman"/>
        <family val="1"/>
      </rPr>
      <t>)</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</si>
</sst>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55">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b/>
      <sz val="14"/>
      <name val="Times New Roman"/>
      <family val="1"/>
    </font>
    <font>
      <sz val="22"/>
      <name val="Times New Roman"/>
      <family val="1"/>
    </font>
    <font>
      <sz val="11"/>
      <name val="Times New Roman"/>
      <family val="1"/>
    </font>
    <font>
      <b/>
      <sz val="11"/>
      <name val="Times New Roman"/>
      <family val="1"/>
    </font>
    <font>
      <sz val="10"/>
      <name val="Times New Roman"/>
      <family val="1"/>
    </font>
    <font>
      <sz val="7"/>
      <name val="Times New Roman"/>
      <family val="1"/>
    </font>
    <font>
      <i/>
      <sz val="11"/>
      <name val="Times New Roman"/>
      <family val="1"/>
    </font>
    <font>
      <b/>
      <i/>
      <sz val="11"/>
      <name val="Times New Roman"/>
      <family val="1"/>
    </font>
    <font>
      <b/>
      <sz val="12"/>
      <name val="Times New Roman"/>
      <family val="1"/>
    </font>
    <font>
      <sz val="12"/>
      <name val="Times New Roman"/>
      <family val="1"/>
    </font>
    <font>
      <sz val="16"/>
      <name val="Times New Roman"/>
      <family val="1"/>
    </font>
    <font>
      <u val="single"/>
      <sz val="16"/>
      <name val="Times New Roman"/>
      <family val="1"/>
    </font>
    <font>
      <b/>
      <sz val="16"/>
      <name val="Times New Roman"/>
      <family val="1"/>
    </font>
    <font>
      <sz val="11"/>
      <color indexed="10"/>
      <name val="Times New Roman"/>
      <family val="1"/>
    </font>
    <font>
      <sz val="12"/>
      <color indexed="10"/>
      <name val="Times New Roman"/>
      <family val="1"/>
    </font>
    <font>
      <i/>
      <sz val="12"/>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162">
    <xf numFmtId="0" fontId="0" fillId="0" borderId="0" xfId="0" applyAlignment="1">
      <alignment/>
    </xf>
    <xf numFmtId="0" fontId="4" fillId="0" borderId="0" xfId="0" applyFont="1" applyAlignment="1">
      <alignment vertical="center" wrapText="1"/>
    </xf>
    <xf numFmtId="0" fontId="5" fillId="0" borderId="0" xfId="0" applyFont="1" applyAlignment="1">
      <alignment horizontal="left" vertical="center" wrapText="1"/>
    </xf>
    <xf numFmtId="0" fontId="8" fillId="0" borderId="10" xfId="0" applyFont="1" applyBorder="1" applyAlignment="1" quotePrefix="1">
      <alignment horizontal="center" vertical="center" wrapText="1"/>
    </xf>
    <xf numFmtId="2" fontId="8" fillId="0" borderId="10" xfId="0" applyNumberFormat="1" applyFont="1" applyBorder="1" applyAlignment="1" quotePrefix="1">
      <alignment horizontal="center" vertical="center" wrapText="1"/>
    </xf>
    <xf numFmtId="49" fontId="8" fillId="0" borderId="10" xfId="0" applyNumberFormat="1" applyFont="1" applyBorder="1" applyAlignment="1" quotePrefix="1">
      <alignment horizontal="center"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7" fillId="32" borderId="10" xfId="0" applyFont="1" applyFill="1" applyBorder="1" applyAlignment="1">
      <alignment horizontal="center" vertical="center" wrapText="1"/>
    </xf>
    <xf numFmtId="0" fontId="7" fillId="0" borderId="0" xfId="0" applyFont="1" applyAlignment="1">
      <alignment vertical="center" wrapText="1"/>
    </xf>
    <xf numFmtId="0" fontId="8" fillId="4" borderId="10" xfId="0" applyFont="1" applyFill="1" applyBorder="1" applyAlignment="1" quotePrefix="1">
      <alignment horizontal="center" vertical="center" wrapText="1"/>
    </xf>
    <xf numFmtId="49" fontId="8" fillId="4" borderId="10" xfId="0" applyNumberFormat="1" applyFont="1" applyFill="1" applyBorder="1" applyAlignment="1">
      <alignment horizontal="center" vertical="center" wrapText="1"/>
    </xf>
    <xf numFmtId="2" fontId="8" fillId="4" borderId="10" xfId="0" applyNumberFormat="1" applyFont="1" applyFill="1" applyBorder="1" applyAlignment="1">
      <alignment horizontal="center" vertical="center" wrapText="1"/>
    </xf>
    <xf numFmtId="4" fontId="8" fillId="4" borderId="10" xfId="0" applyNumberFormat="1" applyFont="1" applyFill="1" applyBorder="1" applyAlignment="1">
      <alignment vertical="center" wrapText="1"/>
    </xf>
    <xf numFmtId="0" fontId="8" fillId="33" borderId="10" xfId="0" applyFont="1" applyFill="1" applyBorder="1" applyAlignment="1" quotePrefix="1">
      <alignment horizontal="center" vertical="center" wrapText="1"/>
    </xf>
    <xf numFmtId="49" fontId="8" fillId="33" borderId="10" xfId="0" applyNumberFormat="1"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4" fontId="8" fillId="33" borderId="10" xfId="0" applyNumberFormat="1" applyFont="1" applyFill="1" applyBorder="1" applyAlignment="1">
      <alignment vertical="center" wrapText="1"/>
    </xf>
    <xf numFmtId="4" fontId="8" fillId="32" borderId="10" xfId="0" applyNumberFormat="1" applyFont="1" applyFill="1" applyBorder="1" applyAlignment="1">
      <alignment vertical="center" wrapText="1"/>
    </xf>
    <xf numFmtId="4" fontId="8" fillId="0" borderId="10" xfId="0" applyNumberFormat="1" applyFont="1" applyBorder="1" applyAlignment="1">
      <alignment vertical="center" wrapText="1"/>
    </xf>
    <xf numFmtId="0" fontId="7" fillId="0" borderId="10" xfId="0" applyFont="1" applyBorder="1" applyAlignment="1" quotePrefix="1">
      <alignment horizontal="center" vertical="center" wrapText="1"/>
    </xf>
    <xf numFmtId="49" fontId="7" fillId="0" borderId="10" xfId="0" applyNumberFormat="1" applyFont="1" applyBorder="1" applyAlignment="1" quotePrefix="1">
      <alignment horizontal="center" vertical="center" wrapText="1"/>
    </xf>
    <xf numFmtId="2" fontId="7" fillId="0" borderId="10" xfId="0" applyNumberFormat="1" applyFont="1" applyBorder="1" applyAlignment="1" quotePrefix="1">
      <alignment horizontal="center" vertical="center" wrapText="1"/>
    </xf>
    <xf numFmtId="4" fontId="7" fillId="32" borderId="10" xfId="0" applyNumberFormat="1" applyFont="1" applyFill="1" applyBorder="1" applyAlignment="1">
      <alignment vertical="center" wrapText="1"/>
    </xf>
    <xf numFmtId="4" fontId="7" fillId="0" borderId="10" xfId="0" applyNumberFormat="1" applyFont="1" applyBorder="1" applyAlignment="1">
      <alignment vertical="center" wrapText="1"/>
    </xf>
    <xf numFmtId="0" fontId="8" fillId="32" borderId="10" xfId="0" applyFont="1" applyFill="1" applyBorder="1" applyAlignment="1" quotePrefix="1">
      <alignment horizontal="center" vertical="center" wrapText="1"/>
    </xf>
    <xf numFmtId="49" fontId="8" fillId="32" borderId="10" xfId="0" applyNumberFormat="1" applyFont="1" applyFill="1" applyBorder="1" applyAlignment="1">
      <alignment horizontal="center" vertical="center" wrapText="1"/>
    </xf>
    <xf numFmtId="2" fontId="8" fillId="32"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7" fillId="0" borderId="11"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2" fontId="7" fillId="0" borderId="12" xfId="0" applyNumberFormat="1" applyFont="1" applyBorder="1" applyAlignment="1" quotePrefix="1">
      <alignment horizontal="center" vertical="center" wrapText="1"/>
    </xf>
    <xf numFmtId="4" fontId="7" fillId="0" borderId="11" xfId="0" applyNumberFormat="1" applyFont="1" applyBorder="1" applyAlignment="1">
      <alignment vertical="center" wrapText="1"/>
    </xf>
    <xf numFmtId="0" fontId="7" fillId="0" borderId="13" xfId="0"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0" borderId="13" xfId="0" applyNumberFormat="1" applyFont="1" applyBorder="1" applyAlignment="1">
      <alignment horizontal="center" vertical="center" wrapText="1"/>
    </xf>
    <xf numFmtId="4" fontId="7" fillId="32" borderId="13" xfId="0" applyNumberFormat="1" applyFont="1" applyFill="1" applyBorder="1" applyAlignment="1">
      <alignment horizontal="center" vertical="center" wrapText="1"/>
    </xf>
    <xf numFmtId="0" fontId="7" fillId="33" borderId="0" xfId="0" applyFont="1" applyFill="1" applyAlignment="1">
      <alignment vertical="center" wrapText="1"/>
    </xf>
    <xf numFmtId="0" fontId="11" fillId="0" borderId="10" xfId="0"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2" fontId="11" fillId="0" borderId="10" xfId="0" applyNumberFormat="1" applyFont="1" applyBorder="1" applyAlignment="1" quotePrefix="1">
      <alignment horizontal="center" vertical="center" wrapText="1"/>
    </xf>
    <xf numFmtId="4" fontId="11" fillId="32"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0" fontId="11" fillId="0" borderId="0" xfId="0" applyFont="1" applyAlignment="1">
      <alignment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quotePrefix="1">
      <alignment horizontal="center" vertical="center" wrapText="1"/>
    </xf>
    <xf numFmtId="2" fontId="12" fillId="0" borderId="10" xfId="0" applyNumberFormat="1" applyFont="1" applyBorder="1" applyAlignment="1" quotePrefix="1">
      <alignment horizontal="center" vertical="center" wrapText="1"/>
    </xf>
    <xf numFmtId="4" fontId="12" fillId="0" borderId="10" xfId="0" applyNumberFormat="1" applyFont="1" applyBorder="1" applyAlignment="1">
      <alignment vertical="center" wrapText="1"/>
    </xf>
    <xf numFmtId="4" fontId="12" fillId="32" borderId="10" xfId="0" applyNumberFormat="1" applyFont="1" applyFill="1" applyBorder="1" applyAlignment="1">
      <alignment vertical="center" wrapText="1"/>
    </xf>
    <xf numFmtId="0" fontId="8" fillId="0" borderId="0" xfId="0" applyFont="1" applyAlignment="1">
      <alignment vertical="center" wrapText="1"/>
    </xf>
    <xf numFmtId="0" fontId="8" fillId="32" borderId="10" xfId="0" applyFont="1" applyFill="1" applyBorder="1" applyAlignment="1">
      <alignment horizontal="center" vertical="center" wrapText="1"/>
    </xf>
    <xf numFmtId="0" fontId="7" fillId="32" borderId="10" xfId="0" applyFont="1" applyFill="1" applyBorder="1" applyAlignment="1">
      <alignment horizontal="right" vertical="center" wrapText="1"/>
    </xf>
    <xf numFmtId="4" fontId="8" fillId="4" borderId="10" xfId="0" applyNumberFormat="1" applyFont="1" applyFill="1" applyBorder="1" applyAlignment="1">
      <alignment horizontal="right" vertical="center" wrapText="1"/>
    </xf>
    <xf numFmtId="4" fontId="8" fillId="33" borderId="10" xfId="0" applyNumberFormat="1" applyFont="1" applyFill="1" applyBorder="1" applyAlignment="1">
      <alignment horizontal="right" vertical="center" wrapText="1"/>
    </xf>
    <xf numFmtId="4" fontId="8" fillId="32" borderId="10" xfId="0" applyNumberFormat="1" applyFont="1" applyFill="1" applyBorder="1" applyAlignment="1">
      <alignment horizontal="right" vertical="center" wrapText="1"/>
    </xf>
    <xf numFmtId="4" fontId="7" fillId="32" borderId="10" xfId="0" applyNumberFormat="1" applyFont="1" applyFill="1" applyBorder="1" applyAlignment="1">
      <alignment horizontal="right" vertical="center" wrapText="1"/>
    </xf>
    <xf numFmtId="4" fontId="7" fillId="32" borderId="15" xfId="0" applyNumberFormat="1" applyFont="1" applyFill="1" applyBorder="1" applyAlignment="1">
      <alignment horizontal="right" vertical="center" wrapText="1"/>
    </xf>
    <xf numFmtId="4" fontId="11" fillId="32" borderId="10" xfId="0" applyNumberFormat="1" applyFont="1" applyFill="1" applyBorder="1" applyAlignment="1">
      <alignment horizontal="right" vertical="center" wrapText="1"/>
    </xf>
    <xf numFmtId="4" fontId="12" fillId="32" borderId="10" xfId="0" applyNumberFormat="1" applyFont="1" applyFill="1" applyBorder="1" applyAlignment="1">
      <alignment horizontal="right" vertical="center" wrapText="1"/>
    </xf>
    <xf numFmtId="0" fontId="4" fillId="0" borderId="0" xfId="0" applyFont="1" applyAlignment="1">
      <alignment horizontal="right" vertical="center" wrapText="1"/>
    </xf>
    <xf numFmtId="49" fontId="8" fillId="33" borderId="10" xfId="0" applyNumberFormat="1" applyFont="1" applyFill="1" applyBorder="1" applyAlignment="1" quotePrefix="1">
      <alignment horizontal="center" vertical="center" wrapText="1"/>
    </xf>
    <xf numFmtId="2" fontId="8" fillId="33" borderId="10" xfId="0" applyNumberFormat="1" applyFont="1" applyFill="1" applyBorder="1" applyAlignment="1" quotePrefix="1">
      <alignment horizontal="center" vertical="center" wrapText="1"/>
    </xf>
    <xf numFmtId="0" fontId="13" fillId="4" borderId="10" xfId="0" applyFont="1" applyFill="1" applyBorder="1" applyAlignment="1" quotePrefix="1">
      <alignment horizontal="center" vertical="center" wrapText="1"/>
    </xf>
    <xf numFmtId="49" fontId="13" fillId="4" borderId="10" xfId="0" applyNumberFormat="1" applyFont="1" applyFill="1" applyBorder="1" applyAlignment="1">
      <alignment horizontal="center" vertical="center" wrapText="1"/>
    </xf>
    <xf numFmtId="2" fontId="13" fillId="4" borderId="10" xfId="0" applyNumberFormat="1" applyFont="1" applyFill="1" applyBorder="1" applyAlignment="1">
      <alignment horizontal="center" vertical="center" wrapText="1"/>
    </xf>
    <xf numFmtId="4" fontId="13" fillId="4" borderId="10" xfId="0" applyNumberFormat="1" applyFont="1" applyFill="1" applyBorder="1" applyAlignment="1">
      <alignment horizontal="right" vertical="center" wrapText="1"/>
    </xf>
    <xf numFmtId="4" fontId="13" fillId="4" borderId="10" xfId="0" applyNumberFormat="1" applyFont="1" applyFill="1" applyBorder="1" applyAlignment="1">
      <alignment vertical="center" wrapText="1"/>
    </xf>
    <xf numFmtId="0" fontId="14" fillId="0" borderId="0" xfId="0" applyFont="1" applyAlignment="1">
      <alignment vertical="center" wrapText="1"/>
    </xf>
    <xf numFmtId="2" fontId="13" fillId="4" borderId="10" xfId="0" applyNumberFormat="1" applyFont="1" applyFill="1" applyBorder="1" applyAlignment="1" quotePrefix="1">
      <alignment vertical="center" wrapText="1"/>
    </xf>
    <xf numFmtId="2" fontId="8" fillId="0" borderId="10" xfId="0" applyNumberFormat="1" applyFont="1" applyBorder="1" applyAlignment="1" quotePrefix="1">
      <alignment vertical="center" wrapText="1"/>
    </xf>
    <xf numFmtId="2" fontId="8" fillId="33" borderId="10" xfId="0" applyNumberFormat="1" applyFont="1" applyFill="1" applyBorder="1" applyAlignment="1" quotePrefix="1">
      <alignment vertical="center" wrapText="1"/>
    </xf>
    <xf numFmtId="2" fontId="7" fillId="0" borderId="10" xfId="0" applyNumberFormat="1" applyFont="1" applyBorder="1" applyAlignment="1" quotePrefix="1">
      <alignment vertical="center" wrapText="1"/>
    </xf>
    <xf numFmtId="2" fontId="8" fillId="33" borderId="10" xfId="0" applyNumberFormat="1" applyFont="1" applyFill="1" applyBorder="1" applyAlignment="1">
      <alignment vertical="center" wrapText="1"/>
    </xf>
    <xf numFmtId="2" fontId="7" fillId="0" borderId="10" xfId="0" applyNumberFormat="1" applyFont="1" applyBorder="1" applyAlignment="1">
      <alignment vertical="center" wrapText="1"/>
    </xf>
    <xf numFmtId="2" fontId="8" fillId="32" borderId="10" xfId="0" applyNumberFormat="1" applyFont="1" applyFill="1" applyBorder="1" applyAlignment="1" quotePrefix="1">
      <alignment vertical="center" wrapText="1"/>
    </xf>
    <xf numFmtId="2" fontId="8" fillId="4" borderId="10" xfId="0" applyNumberFormat="1" applyFont="1" applyFill="1" applyBorder="1" applyAlignment="1" quotePrefix="1">
      <alignment vertical="center" wrapText="1"/>
    </xf>
    <xf numFmtId="0" fontId="7" fillId="33" borderId="10" xfId="0" applyFont="1" applyFill="1" applyBorder="1" applyAlignment="1">
      <alignment horizontal="justify" vertical="center" wrapText="1"/>
    </xf>
    <xf numFmtId="2" fontId="7" fillId="0" borderId="0" xfId="0" applyNumberFormat="1" applyFont="1" applyAlignment="1">
      <alignment vertical="center" wrapText="1"/>
    </xf>
    <xf numFmtId="2" fontId="7" fillId="0" borderId="16" xfId="0" applyNumberFormat="1" applyFont="1" applyBorder="1" applyAlignment="1">
      <alignment vertical="center" wrapText="1"/>
    </xf>
    <xf numFmtId="0" fontId="8" fillId="33" borderId="16" xfId="0" applyFont="1" applyFill="1" applyBorder="1" applyAlignment="1">
      <alignment horizontal="justify" vertical="center" wrapText="1"/>
    </xf>
    <xf numFmtId="0" fontId="7" fillId="0" borderId="16" xfId="0" applyFont="1" applyBorder="1" applyAlignment="1">
      <alignment vertical="center" wrapText="1"/>
    </xf>
    <xf numFmtId="0" fontId="7" fillId="0" borderId="12" xfId="0" applyFont="1" applyBorder="1" applyAlignment="1">
      <alignment horizontal="justify" vertical="center" wrapText="1"/>
    </xf>
    <xf numFmtId="0" fontId="7" fillId="0" borderId="14" xfId="0" applyNumberFormat="1" applyFont="1" applyBorder="1" applyAlignment="1">
      <alignment horizontal="justify" vertical="center" wrapText="1"/>
    </xf>
    <xf numFmtId="2" fontId="7" fillId="0" borderId="14" xfId="0" applyNumberFormat="1" applyFont="1" applyBorder="1" applyAlignment="1" quotePrefix="1">
      <alignment vertical="center" wrapText="1"/>
    </xf>
    <xf numFmtId="0" fontId="7" fillId="0" borderId="0" xfId="0" applyFont="1" applyAlignment="1">
      <alignment horizontal="justify" vertical="center" wrapText="1"/>
    </xf>
    <xf numFmtId="2" fontId="7" fillId="0" borderId="16" xfId="0" applyNumberFormat="1" applyFont="1" applyBorder="1" applyAlignment="1" quotePrefix="1">
      <alignment vertical="center" wrapText="1"/>
    </xf>
    <xf numFmtId="2" fontId="8" fillId="33" borderId="16" xfId="0" applyNumberFormat="1" applyFont="1" applyFill="1" applyBorder="1" applyAlignment="1" quotePrefix="1">
      <alignment vertical="center" wrapText="1"/>
    </xf>
    <xf numFmtId="0" fontId="8" fillId="33" borderId="10" xfId="0" applyFont="1" applyFill="1" applyBorder="1" applyAlignment="1">
      <alignment horizontal="justify" vertical="center" wrapText="1"/>
    </xf>
    <xf numFmtId="0" fontId="7" fillId="0" borderId="10" xfId="0" applyFont="1" applyBorder="1" applyAlignment="1">
      <alignment vertical="center" wrapText="1"/>
    </xf>
    <xf numFmtId="0" fontId="7" fillId="0" borderId="11" xfId="0" applyFont="1" applyBorder="1" applyAlignment="1">
      <alignment horizontal="justify" vertical="center" wrapText="1"/>
    </xf>
    <xf numFmtId="0" fontId="7" fillId="0" borderId="13" xfId="0" applyNumberFormat="1" applyFont="1" applyBorder="1" applyAlignment="1">
      <alignment horizontal="justify" vertical="center" wrapText="1"/>
    </xf>
    <xf numFmtId="2" fontId="7" fillId="0" borderId="13" xfId="0" applyNumberFormat="1" applyFont="1" applyBorder="1" applyAlignment="1" quotePrefix="1">
      <alignment vertical="center" wrapText="1"/>
    </xf>
    <xf numFmtId="2" fontId="11" fillId="0" borderId="10" xfId="0" applyNumberFormat="1" applyFont="1" applyBorder="1" applyAlignment="1">
      <alignment horizontal="right" vertical="center" wrapText="1"/>
    </xf>
    <xf numFmtId="2" fontId="8" fillId="0" borderId="10" xfId="0" applyNumberFormat="1" applyFont="1" applyBorder="1" applyAlignment="1">
      <alignment vertical="center" wrapText="1"/>
    </xf>
    <xf numFmtId="2" fontId="8" fillId="32" borderId="10" xfId="0" applyNumberFormat="1" applyFont="1" applyFill="1" applyBorder="1" applyAlignment="1">
      <alignment vertical="center" wrapText="1"/>
    </xf>
    <xf numFmtId="0" fontId="7" fillId="4" borderId="0" xfId="0" applyFont="1" applyFill="1" applyAlignment="1">
      <alignment vertical="center" wrapText="1"/>
    </xf>
    <xf numFmtId="0" fontId="14" fillId="4" borderId="0" xfId="0" applyFont="1" applyFill="1" applyAlignment="1">
      <alignment vertical="center" wrapText="1"/>
    </xf>
    <xf numFmtId="0" fontId="7" fillId="32" borderId="0" xfId="0" applyFont="1" applyFill="1" applyAlignment="1">
      <alignment vertical="center" wrapText="1"/>
    </xf>
    <xf numFmtId="0" fontId="8" fillId="32" borderId="0" xfId="0" applyFont="1" applyFill="1" applyAlignment="1">
      <alignment vertical="center" wrapText="1"/>
    </xf>
    <xf numFmtId="0" fontId="15" fillId="0" borderId="0" xfId="0" applyFont="1" applyAlignment="1">
      <alignment vertical="center" wrapText="1"/>
    </xf>
    <xf numFmtId="0" fontId="15" fillId="0" borderId="0" xfId="0" applyFont="1" applyAlignment="1">
      <alignment horizontal="right" vertical="center" wrapText="1"/>
    </xf>
    <xf numFmtId="0" fontId="17" fillId="0" borderId="0" xfId="0" applyFont="1" applyAlignment="1">
      <alignment horizontal="left" vertical="center" wrapText="1"/>
    </xf>
    <xf numFmtId="0" fontId="7" fillId="0" borderId="10" xfId="0" applyFont="1" applyBorder="1" applyAlignment="1">
      <alignment horizontal="justify" vertical="center" wrapText="1"/>
    </xf>
    <xf numFmtId="4" fontId="7" fillId="0" borderId="10" xfId="0" applyNumberFormat="1" applyFont="1" applyBorder="1" applyAlignment="1">
      <alignment horizontal="center" vertical="center" wrapText="1"/>
    </xf>
    <xf numFmtId="4" fontId="7" fillId="32" borderId="10" xfId="0" applyNumberFormat="1" applyFont="1" applyFill="1" applyBorder="1" applyAlignment="1">
      <alignment horizontal="center" vertical="center" wrapText="1"/>
    </xf>
    <xf numFmtId="0" fontId="7" fillId="0" borderId="10" xfId="0" applyNumberFormat="1" applyFont="1" applyBorder="1" applyAlignment="1">
      <alignment horizontal="justify" vertical="center" wrapText="1"/>
    </xf>
    <xf numFmtId="4" fontId="7" fillId="0" borderId="0" xfId="0" applyNumberFormat="1" applyFont="1" applyAlignment="1">
      <alignment vertical="center" wrapText="1"/>
    </xf>
    <xf numFmtId="4" fontId="15" fillId="0" borderId="0" xfId="0" applyNumberFormat="1" applyFont="1" applyAlignment="1">
      <alignment vertical="center" wrapText="1"/>
    </xf>
    <xf numFmtId="49" fontId="9" fillId="0" borderId="0" xfId="0" applyNumberFormat="1" applyFont="1" applyAlignment="1">
      <alignment horizontal="right" vertical="center" wrapText="1"/>
    </xf>
    <xf numFmtId="4" fontId="9" fillId="0" borderId="0" xfId="0" applyNumberFormat="1" applyFont="1" applyAlignment="1">
      <alignment vertical="center" wrapText="1"/>
    </xf>
    <xf numFmtId="4" fontId="9" fillId="0" borderId="0" xfId="0" applyNumberFormat="1" applyFont="1" applyAlignment="1">
      <alignment horizontal="right" vertical="center" wrapText="1"/>
    </xf>
    <xf numFmtId="2" fontId="11" fillId="0" borderId="10" xfId="0" applyNumberFormat="1" applyFont="1" applyBorder="1" applyAlignment="1">
      <alignment vertical="center" wrapText="1"/>
    </xf>
    <xf numFmtId="0" fontId="18" fillId="0" borderId="0" xfId="0" applyFont="1" applyAlignment="1">
      <alignment vertical="center" wrapText="1"/>
    </xf>
    <xf numFmtId="4" fontId="18" fillId="0" borderId="0" xfId="0" applyNumberFormat="1" applyFont="1" applyAlignment="1">
      <alignment vertical="center" wrapText="1"/>
    </xf>
    <xf numFmtId="4" fontId="14" fillId="0" borderId="0" xfId="0" applyNumberFormat="1" applyFont="1" applyAlignment="1">
      <alignment vertical="center" wrapText="1"/>
    </xf>
    <xf numFmtId="4" fontId="7" fillId="4" borderId="0" xfId="0" applyNumberFormat="1" applyFont="1" applyFill="1" applyAlignment="1">
      <alignment vertical="center" wrapText="1"/>
    </xf>
    <xf numFmtId="4" fontId="14" fillId="4" borderId="0" xfId="0" applyNumberFormat="1" applyFont="1" applyFill="1" applyAlignment="1">
      <alignment vertical="center" wrapText="1"/>
    </xf>
    <xf numFmtId="4" fontId="8" fillId="0" borderId="0" xfId="0" applyNumberFormat="1" applyFont="1" applyAlignment="1">
      <alignment vertical="center" wrapText="1"/>
    </xf>
    <xf numFmtId="4" fontId="7" fillId="33" borderId="0" xfId="0" applyNumberFormat="1" applyFont="1" applyFill="1" applyAlignment="1">
      <alignment vertical="center" wrapText="1"/>
    </xf>
    <xf numFmtId="4" fontId="8" fillId="32" borderId="0" xfId="0" applyNumberFormat="1" applyFont="1" applyFill="1" applyAlignment="1">
      <alignment vertical="center" wrapText="1"/>
    </xf>
    <xf numFmtId="4" fontId="7" fillId="32" borderId="0" xfId="0" applyNumberFormat="1" applyFont="1" applyFill="1" applyAlignment="1">
      <alignment vertical="center" wrapText="1"/>
    </xf>
    <xf numFmtId="4" fontId="19" fillId="4" borderId="0" xfId="0" applyNumberFormat="1" applyFont="1" applyFill="1" applyAlignment="1">
      <alignment vertical="center" wrapText="1"/>
    </xf>
    <xf numFmtId="2" fontId="11" fillId="0" borderId="10" xfId="0" applyNumberFormat="1" applyFont="1" applyFill="1" applyBorder="1" applyAlignment="1" quotePrefix="1">
      <alignment horizontal="center" vertical="center" wrapText="1"/>
    </xf>
    <xf numFmtId="2" fontId="11" fillId="0" borderId="10" xfId="0" applyNumberFormat="1" applyFont="1" applyFill="1" applyBorder="1" applyAlignment="1">
      <alignment vertical="center" wrapText="1"/>
    </xf>
    <xf numFmtId="49" fontId="11" fillId="0" borderId="10" xfId="0" applyNumberFormat="1" applyFont="1" applyBorder="1" applyAlignment="1">
      <alignment horizontal="center" vertical="center" wrapText="1"/>
    </xf>
    <xf numFmtId="0" fontId="11" fillId="0" borderId="10" xfId="0" applyFont="1" applyFill="1" applyBorder="1" applyAlignment="1" quotePrefix="1">
      <alignment horizontal="center" vertical="center" wrapText="1"/>
    </xf>
    <xf numFmtId="49" fontId="11" fillId="0" borderId="10" xfId="0" applyNumberFormat="1" applyFont="1" applyFill="1" applyBorder="1" applyAlignment="1">
      <alignment horizontal="center" vertical="center" wrapText="1"/>
    </xf>
    <xf numFmtId="2" fontId="11" fillId="0" borderId="10" xfId="0" applyNumberFormat="1" applyFont="1" applyBorder="1" applyAlignment="1" quotePrefix="1">
      <alignment vertical="center" wrapText="1"/>
    </xf>
    <xf numFmtId="4" fontId="11" fillId="0" borderId="0" xfId="0" applyNumberFormat="1" applyFont="1" applyAlignment="1">
      <alignment vertical="center" wrapText="1"/>
    </xf>
    <xf numFmtId="3" fontId="11" fillId="0" borderId="10" xfId="0" applyNumberFormat="1" applyFont="1" applyBorder="1" applyAlignment="1">
      <alignment vertical="center" wrapText="1"/>
    </xf>
    <xf numFmtId="3" fontId="11" fillId="32" borderId="10" xfId="0" applyNumberFormat="1" applyFont="1" applyFill="1" applyBorder="1" applyAlignment="1">
      <alignment vertical="center" wrapText="1"/>
    </xf>
    <xf numFmtId="2" fontId="20" fillId="0" borderId="10" xfId="0" applyNumberFormat="1" applyFont="1" applyBorder="1" applyAlignment="1">
      <alignment vertical="center" wrapText="1"/>
    </xf>
    <xf numFmtId="4" fontId="8" fillId="33" borderId="0" xfId="0" applyNumberFormat="1" applyFont="1" applyFill="1" applyAlignment="1">
      <alignment vertical="center" wrapText="1"/>
    </xf>
    <xf numFmtId="0" fontId="8" fillId="33" borderId="0" xfId="0" applyFont="1" applyFill="1" applyAlignment="1">
      <alignment vertical="center" wrapText="1"/>
    </xf>
    <xf numFmtId="0" fontId="6" fillId="0" borderId="0" xfId="0" applyFont="1" applyAlignment="1">
      <alignment horizontal="center" vertical="center" wrapText="1"/>
    </xf>
    <xf numFmtId="0" fontId="15" fillId="0" borderId="0" xfId="0" applyFont="1" applyAlignment="1">
      <alignment vertical="center" wrapText="1"/>
    </xf>
    <xf numFmtId="0" fontId="6" fillId="0" borderId="0" xfId="0" applyFont="1" applyAlignment="1">
      <alignment vertical="center" wrapText="1"/>
    </xf>
    <xf numFmtId="0" fontId="15" fillId="0" borderId="0" xfId="0" applyFont="1" applyAlignment="1">
      <alignment horizontal="center" vertical="center" wrapText="1"/>
    </xf>
    <xf numFmtId="0" fontId="7" fillId="0" borderId="11" xfId="0" applyFont="1" applyBorder="1" applyAlignment="1" quotePrefix="1">
      <alignment horizontal="center" vertical="center" wrapText="1"/>
    </xf>
    <xf numFmtId="0" fontId="7" fillId="0" borderId="13" xfId="0" applyFont="1" applyBorder="1" applyAlignment="1" quotePrefix="1">
      <alignment horizontal="center" vertical="center" wrapText="1"/>
    </xf>
    <xf numFmtId="49" fontId="7" fillId="0" borderId="11" xfId="0" applyNumberFormat="1" applyFont="1" applyBorder="1" applyAlignment="1" quotePrefix="1">
      <alignment horizontal="center" vertical="center" wrapText="1"/>
    </xf>
    <xf numFmtId="49" fontId="7" fillId="0" borderId="13" xfId="0" applyNumberFormat="1" applyFont="1" applyBorder="1" applyAlignment="1" quotePrefix="1">
      <alignment horizontal="center" vertical="center" wrapText="1"/>
    </xf>
    <xf numFmtId="4" fontId="7" fillId="0" borderId="10" xfId="0" applyNumberFormat="1" applyFont="1" applyBorder="1" applyAlignment="1">
      <alignment horizontal="center" vertical="center" wrapText="1"/>
    </xf>
    <xf numFmtId="4" fontId="7" fillId="32" borderId="10" xfId="0" applyNumberFormat="1" applyFont="1" applyFill="1" applyBorder="1" applyAlignment="1">
      <alignment horizontal="center" vertical="center" wrapText="1"/>
    </xf>
    <xf numFmtId="2" fontId="7" fillId="0" borderId="12" xfId="0" applyNumberFormat="1" applyFont="1" applyBorder="1" applyAlignment="1" quotePrefix="1">
      <alignment horizontal="center" vertical="center" wrapText="1"/>
    </xf>
    <xf numFmtId="2" fontId="7" fillId="0" borderId="14" xfId="0" applyNumberFormat="1" applyFont="1" applyBorder="1" applyAlignment="1" quotePrefix="1">
      <alignment horizontal="center" vertical="center" wrapText="1"/>
    </xf>
    <xf numFmtId="4" fontId="7" fillId="32" borderId="10" xfId="0" applyNumberFormat="1" applyFont="1" applyFill="1" applyBorder="1" applyAlignment="1">
      <alignment horizontal="right" vertical="center" wrapText="1"/>
    </xf>
    <xf numFmtId="4" fontId="7" fillId="0" borderId="11"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 fontId="7" fillId="32" borderId="17" xfId="0" applyNumberFormat="1" applyFont="1" applyFill="1" applyBorder="1" applyAlignment="1">
      <alignment horizontal="right" vertical="center" wrapText="1"/>
    </xf>
    <xf numFmtId="4" fontId="7" fillId="32" borderId="15" xfId="0" applyNumberFormat="1" applyFont="1" applyFill="1" applyBorder="1" applyAlignment="1">
      <alignment horizontal="right" vertical="center" wrapText="1"/>
    </xf>
    <xf numFmtId="0" fontId="7" fillId="0" borderId="10" xfId="0" applyFont="1" applyBorder="1" applyAlignment="1">
      <alignment horizontal="center"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horizontal="right" vertical="center" wrapText="1"/>
    </xf>
    <xf numFmtId="0" fontId="7" fillId="0" borderId="10" xfId="0" applyFont="1" applyBorder="1" applyAlignment="1">
      <alignment horizontal="right" vertical="center" wrapText="1"/>
    </xf>
    <xf numFmtId="0" fontId="15" fillId="0" borderId="0" xfId="0" applyFont="1" applyAlignment="1">
      <alignment horizontal="left" vertical="center" wrapText="1"/>
    </xf>
    <xf numFmtId="4" fontId="7" fillId="32" borderId="11" xfId="0" applyNumberFormat="1" applyFont="1" applyFill="1" applyBorder="1" applyAlignment="1">
      <alignment horizontal="center" vertical="center" wrapText="1"/>
    </xf>
    <xf numFmtId="4" fontId="7" fillId="32"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8.123\&#1082;&#1072;&#1085;&#1094;&#1077;&#1083;&#1103;&#1088;&#1080;&#1103;\&#1041;&#1070;&#1044;&#1046;&#1045;&#1058;%20&#1053;&#1054;&#1042;&#1040;&#1071;\&#1041;&#1070;&#1044;&#1046;&#1045;&#1058;%202017\&#1082;&#1074;&#1110;&#1090;&#1077;&#1085;&#1100;\&#1088;&#1110;&#1096;&#1077;&#1085;&#1085;&#1103;%20&#8470;710-16%20&#1074;&#1110;&#1076;%2021.04.2017\&#1076;&#1086;&#1076;&#1072;&#1090;&#1086;&#1082;3_&#1092;&#1086;&#1088;&#1084;&#1091;&#108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55"/>
  <sheetViews>
    <sheetView tabSelected="1" view="pageBreakPreview" zoomScale="70" zoomScaleNormal="65" zoomScaleSheetLayoutView="70" zoomScalePageLayoutView="0" workbookViewId="0" topLeftCell="A3">
      <pane xSplit="5" ySplit="12" topLeftCell="F15" activePane="bottomRight" state="frozen"/>
      <selection pane="topLeft" activeCell="A3" sqref="A3"/>
      <selection pane="topRight" activeCell="F3" sqref="F3"/>
      <selection pane="bottomLeft" activeCell="A15" sqref="A15"/>
      <selection pane="bottomRight" activeCell="D426" sqref="D426:P426"/>
    </sheetView>
  </sheetViews>
  <sheetFormatPr defaultColWidth="9.125" defaultRowHeight="12.75"/>
  <cols>
    <col min="1" max="1" width="12.00390625" style="6" customWidth="1"/>
    <col min="2" max="2" width="7.625" style="6" customWidth="1"/>
    <col min="3" max="3" width="7.375" style="6" customWidth="1"/>
    <col min="4" max="4" width="40.625" style="6" customWidth="1"/>
    <col min="5" max="5" width="17.625" style="7" customWidth="1"/>
    <col min="6" max="6" width="18.00390625" style="6" customWidth="1"/>
    <col min="7" max="7" width="16.00390625" style="6" customWidth="1"/>
    <col min="8" max="8" width="14.625" style="6" customWidth="1"/>
    <col min="9" max="9" width="16.625" style="6" customWidth="1"/>
    <col min="10" max="10" width="16.50390625" style="7" customWidth="1"/>
    <col min="11" max="11" width="16.625" style="6" customWidth="1"/>
    <col min="12" max="12" width="13.50390625" style="6" customWidth="1"/>
    <col min="13" max="13" width="12.00390625" style="6" customWidth="1"/>
    <col min="14" max="14" width="17.125" style="6" customWidth="1"/>
    <col min="15" max="15" width="17.50390625" style="6" customWidth="1"/>
    <col min="16" max="16" width="22.125" style="6" customWidth="1"/>
    <col min="17" max="17" width="14.875" style="6" customWidth="1"/>
    <col min="18" max="18" width="14.875" style="6" bestFit="1" customWidth="1"/>
    <col min="19" max="16384" width="9.125" style="6" customWidth="1"/>
  </cols>
  <sheetData>
    <row r="1" spans="5:16" s="103" customFormat="1" ht="21">
      <c r="E1" s="104"/>
      <c r="J1" s="104"/>
      <c r="L1" s="159" t="s">
        <v>498</v>
      </c>
      <c r="M1" s="159"/>
      <c r="N1" s="159"/>
      <c r="O1" s="159"/>
      <c r="P1" s="159"/>
    </row>
    <row r="2" spans="5:16" s="103" customFormat="1" ht="21">
      <c r="E2" s="104"/>
      <c r="J2" s="104"/>
      <c r="L2" s="159" t="s">
        <v>499</v>
      </c>
      <c r="M2" s="159"/>
      <c r="N2" s="159"/>
      <c r="O2" s="159"/>
      <c r="P2" s="159"/>
    </row>
    <row r="3" spans="5:16" s="103" customFormat="1" ht="21">
      <c r="E3" s="104"/>
      <c r="J3" s="104"/>
      <c r="L3" s="159" t="s">
        <v>530</v>
      </c>
      <c r="M3" s="159"/>
      <c r="N3" s="159"/>
      <c r="O3" s="159"/>
      <c r="P3" s="159"/>
    </row>
    <row r="4" spans="4:16" s="103" customFormat="1" ht="21">
      <c r="D4" s="111"/>
      <c r="E4" s="104"/>
      <c r="J4" s="104"/>
      <c r="L4" s="159" t="s">
        <v>500</v>
      </c>
      <c r="M4" s="159"/>
      <c r="N4" s="159"/>
      <c r="O4" s="159"/>
      <c r="P4" s="159"/>
    </row>
    <row r="5" spans="5:16" s="103" customFormat="1" ht="21">
      <c r="E5" s="104"/>
      <c r="J5" s="104"/>
      <c r="L5" s="159" t="s">
        <v>571</v>
      </c>
      <c r="M5" s="159"/>
      <c r="N5" s="159"/>
      <c r="O5" s="159"/>
      <c r="P5" s="159"/>
    </row>
    <row r="6" spans="5:10" s="103" customFormat="1" ht="21">
      <c r="E6" s="104"/>
      <c r="J6" s="104"/>
    </row>
    <row r="7" spans="1:16" s="103" customFormat="1" ht="21">
      <c r="A7" s="141" t="s">
        <v>0</v>
      </c>
      <c r="B7" s="141"/>
      <c r="C7" s="141"/>
      <c r="D7" s="141"/>
      <c r="E7" s="141"/>
      <c r="F7" s="141"/>
      <c r="G7" s="141"/>
      <c r="H7" s="141"/>
      <c r="I7" s="141"/>
      <c r="J7" s="141"/>
      <c r="K7" s="141"/>
      <c r="L7" s="141"/>
      <c r="M7" s="141"/>
      <c r="N7" s="141"/>
      <c r="O7" s="141"/>
      <c r="P7" s="141"/>
    </row>
    <row r="8" spans="1:16" s="103" customFormat="1" ht="21">
      <c r="A8" s="141" t="s">
        <v>543</v>
      </c>
      <c r="B8" s="141"/>
      <c r="C8" s="141"/>
      <c r="D8" s="141"/>
      <c r="E8" s="141"/>
      <c r="F8" s="141"/>
      <c r="G8" s="141"/>
      <c r="H8" s="141"/>
      <c r="I8" s="141"/>
      <c r="J8" s="141"/>
      <c r="K8" s="141"/>
      <c r="L8" s="141"/>
      <c r="M8" s="141"/>
      <c r="N8" s="141"/>
      <c r="O8" s="141"/>
      <c r="P8" s="141"/>
    </row>
    <row r="9" ht="12.75">
      <c r="P9" s="7" t="s">
        <v>1</v>
      </c>
    </row>
    <row r="10" spans="1:16" s="11" customFormat="1" ht="18" customHeight="1">
      <c r="A10" s="155" t="s">
        <v>2</v>
      </c>
      <c r="B10" s="155" t="s">
        <v>3</v>
      </c>
      <c r="C10" s="155" t="s">
        <v>4</v>
      </c>
      <c r="D10" s="155" t="s">
        <v>5</v>
      </c>
      <c r="E10" s="155" t="s">
        <v>6</v>
      </c>
      <c r="F10" s="155"/>
      <c r="G10" s="155"/>
      <c r="H10" s="155"/>
      <c r="I10" s="155"/>
      <c r="J10" s="155" t="s">
        <v>13</v>
      </c>
      <c r="K10" s="155"/>
      <c r="L10" s="155"/>
      <c r="M10" s="155"/>
      <c r="N10" s="155"/>
      <c r="O10" s="155"/>
      <c r="P10" s="156" t="s">
        <v>15</v>
      </c>
    </row>
    <row r="11" spans="1:16" s="11" customFormat="1" ht="18.75" customHeight="1">
      <c r="A11" s="155"/>
      <c r="B11" s="155"/>
      <c r="C11" s="155"/>
      <c r="D11" s="155"/>
      <c r="E11" s="157" t="s">
        <v>7</v>
      </c>
      <c r="F11" s="155" t="s">
        <v>8</v>
      </c>
      <c r="G11" s="155" t="s">
        <v>9</v>
      </c>
      <c r="H11" s="155"/>
      <c r="I11" s="155" t="s">
        <v>12</v>
      </c>
      <c r="J11" s="157" t="s">
        <v>7</v>
      </c>
      <c r="K11" s="155" t="s">
        <v>8</v>
      </c>
      <c r="L11" s="155" t="s">
        <v>9</v>
      </c>
      <c r="M11" s="155"/>
      <c r="N11" s="155" t="s">
        <v>12</v>
      </c>
      <c r="O11" s="9" t="s">
        <v>9</v>
      </c>
      <c r="P11" s="155"/>
    </row>
    <row r="12" spans="1:16" s="11" customFormat="1" ht="25.5" customHeight="1">
      <c r="A12" s="155"/>
      <c r="B12" s="155"/>
      <c r="C12" s="155"/>
      <c r="D12" s="155"/>
      <c r="E12" s="158"/>
      <c r="F12" s="155"/>
      <c r="G12" s="155" t="s">
        <v>10</v>
      </c>
      <c r="H12" s="155" t="s">
        <v>11</v>
      </c>
      <c r="I12" s="155"/>
      <c r="J12" s="158"/>
      <c r="K12" s="155"/>
      <c r="L12" s="155" t="s">
        <v>10</v>
      </c>
      <c r="M12" s="155" t="s">
        <v>11</v>
      </c>
      <c r="N12" s="155"/>
      <c r="O12" s="155" t="s">
        <v>14</v>
      </c>
      <c r="P12" s="155"/>
    </row>
    <row r="13" spans="1:16" s="11" customFormat="1" ht="35.25" customHeight="1">
      <c r="A13" s="155"/>
      <c r="B13" s="155"/>
      <c r="C13" s="155"/>
      <c r="D13" s="155"/>
      <c r="E13" s="158"/>
      <c r="F13" s="155"/>
      <c r="G13" s="155"/>
      <c r="H13" s="155"/>
      <c r="I13" s="155"/>
      <c r="J13" s="158"/>
      <c r="K13" s="155"/>
      <c r="L13" s="155"/>
      <c r="M13" s="155"/>
      <c r="N13" s="155"/>
      <c r="O13" s="155"/>
      <c r="P13" s="155"/>
    </row>
    <row r="14" spans="1:16" s="11" customFormat="1" ht="13.5">
      <c r="A14" s="9">
        <v>1</v>
      </c>
      <c r="B14" s="9">
        <v>2</v>
      </c>
      <c r="C14" s="9">
        <v>3</v>
      </c>
      <c r="D14" s="9">
        <v>4</v>
      </c>
      <c r="E14" s="55">
        <v>5</v>
      </c>
      <c r="F14" s="9">
        <v>6</v>
      </c>
      <c r="G14" s="9">
        <v>7</v>
      </c>
      <c r="H14" s="9">
        <v>8</v>
      </c>
      <c r="I14" s="9">
        <v>9</v>
      </c>
      <c r="J14" s="55">
        <v>5</v>
      </c>
      <c r="K14" s="9">
        <v>11</v>
      </c>
      <c r="L14" s="9">
        <v>12</v>
      </c>
      <c r="M14" s="9">
        <v>13</v>
      </c>
      <c r="N14" s="9">
        <v>14</v>
      </c>
      <c r="O14" s="9">
        <v>15</v>
      </c>
      <c r="P14" s="10">
        <v>16</v>
      </c>
    </row>
    <row r="15" spans="1:17" s="71" customFormat="1" ht="15">
      <c r="A15" s="66" t="s">
        <v>16</v>
      </c>
      <c r="B15" s="67"/>
      <c r="C15" s="68"/>
      <c r="D15" s="72" t="s">
        <v>17</v>
      </c>
      <c r="E15" s="69">
        <f aca="true" t="shared" si="0" ref="E15:E20">F15+I15</f>
        <v>14916106</v>
      </c>
      <c r="F15" s="70">
        <f>F16</f>
        <v>14916106</v>
      </c>
      <c r="G15" s="70">
        <f>G16</f>
        <v>8082160</v>
      </c>
      <c r="H15" s="70">
        <f>H16</f>
        <v>1230706</v>
      </c>
      <c r="I15" s="70">
        <f>I16</f>
        <v>0</v>
      </c>
      <c r="J15" s="69">
        <f aca="true" t="shared" si="1" ref="J15:J20">K15+N15</f>
        <v>623260</v>
      </c>
      <c r="K15" s="70">
        <f>K16</f>
        <v>0</v>
      </c>
      <c r="L15" s="70">
        <f>L16</f>
        <v>0</v>
      </c>
      <c r="M15" s="70">
        <f>M16</f>
        <v>0</v>
      </c>
      <c r="N15" s="70">
        <f>N16</f>
        <v>623260</v>
      </c>
      <c r="O15" s="70">
        <f>O16</f>
        <v>623260</v>
      </c>
      <c r="P15" s="70">
        <f aca="true" t="shared" si="2" ref="P15:P97">E15+J15</f>
        <v>15539366</v>
      </c>
      <c r="Q15" s="118"/>
    </row>
    <row r="16" spans="1:16" s="101" customFormat="1" ht="13.5">
      <c r="A16" s="27" t="s">
        <v>18</v>
      </c>
      <c r="B16" s="28"/>
      <c r="C16" s="29"/>
      <c r="D16" s="78" t="s">
        <v>426</v>
      </c>
      <c r="E16" s="58">
        <f t="shared" si="0"/>
        <v>14916106</v>
      </c>
      <c r="F16" s="20">
        <f>F17+F18+F21</f>
        <v>14916106</v>
      </c>
      <c r="G16" s="20">
        <f>G17+G18+G21</f>
        <v>8082160</v>
      </c>
      <c r="H16" s="20">
        <f>H17+H18+H21</f>
        <v>1230706</v>
      </c>
      <c r="I16" s="20">
        <f>I17+I18+I21</f>
        <v>0</v>
      </c>
      <c r="J16" s="58">
        <f t="shared" si="1"/>
        <v>623260</v>
      </c>
      <c r="K16" s="20">
        <f>K17+K18+K21</f>
        <v>0</v>
      </c>
      <c r="L16" s="20">
        <f>L17+L18+L21</f>
        <v>0</v>
      </c>
      <c r="M16" s="20">
        <f>M17+M18+M21</f>
        <v>0</v>
      </c>
      <c r="N16" s="20">
        <f>N17+N18+N21</f>
        <v>623260</v>
      </c>
      <c r="O16" s="20">
        <f>O17+O18+O21</f>
        <v>623260</v>
      </c>
      <c r="P16" s="20">
        <f>E16+J16</f>
        <v>15539366</v>
      </c>
    </row>
    <row r="17" spans="1:17" s="11" customFormat="1" ht="84" customHeight="1">
      <c r="A17" s="3" t="s">
        <v>19</v>
      </c>
      <c r="B17" s="5" t="s">
        <v>21</v>
      </c>
      <c r="C17" s="4" t="s">
        <v>20</v>
      </c>
      <c r="D17" s="73" t="s">
        <v>538</v>
      </c>
      <c r="E17" s="58">
        <f t="shared" si="0"/>
        <v>13630268</v>
      </c>
      <c r="F17" s="21">
        <f>13650766-7680-12818</f>
        <v>13630268</v>
      </c>
      <c r="G17" s="21">
        <v>8082160</v>
      </c>
      <c r="H17" s="21">
        <v>1230706</v>
      </c>
      <c r="I17" s="21">
        <v>0</v>
      </c>
      <c r="J17" s="58">
        <f t="shared" si="1"/>
        <v>583260</v>
      </c>
      <c r="K17" s="21">
        <v>0</v>
      </c>
      <c r="L17" s="21">
        <v>0</v>
      </c>
      <c r="M17" s="21">
        <v>0</v>
      </c>
      <c r="N17" s="21">
        <f>200000+350000+33260</f>
        <v>583260</v>
      </c>
      <c r="O17" s="21">
        <f>200000+350000+33260</f>
        <v>583260</v>
      </c>
      <c r="P17" s="20">
        <f t="shared" si="2"/>
        <v>14213528</v>
      </c>
      <c r="Q17" s="110"/>
    </row>
    <row r="18" spans="1:17" s="11" customFormat="1" ht="13.5">
      <c r="A18" s="16" t="s">
        <v>22</v>
      </c>
      <c r="B18" s="17"/>
      <c r="C18" s="18"/>
      <c r="D18" s="74" t="s">
        <v>23</v>
      </c>
      <c r="E18" s="57">
        <f t="shared" si="0"/>
        <v>969300</v>
      </c>
      <c r="F18" s="19">
        <f>F19+F20</f>
        <v>969300</v>
      </c>
      <c r="G18" s="19">
        <f>G19+G20</f>
        <v>0</v>
      </c>
      <c r="H18" s="19">
        <f>H19+H20</f>
        <v>0</v>
      </c>
      <c r="I18" s="19">
        <f>I19+I20</f>
        <v>0</v>
      </c>
      <c r="J18" s="57">
        <f t="shared" si="1"/>
        <v>40000</v>
      </c>
      <c r="K18" s="19">
        <f>K19+K20</f>
        <v>0</v>
      </c>
      <c r="L18" s="19">
        <f>L19+L20</f>
        <v>0</v>
      </c>
      <c r="M18" s="19">
        <f>M19+M20</f>
        <v>0</v>
      </c>
      <c r="N18" s="19">
        <f>N19+N20</f>
        <v>40000</v>
      </c>
      <c r="O18" s="19">
        <f>O19+O20</f>
        <v>40000</v>
      </c>
      <c r="P18" s="19">
        <f t="shared" si="2"/>
        <v>1009300</v>
      </c>
      <c r="Q18" s="110"/>
    </row>
    <row r="19" spans="1:16" s="11" customFormat="1" ht="27">
      <c r="A19" s="22" t="s">
        <v>24</v>
      </c>
      <c r="B19" s="23" t="s">
        <v>26</v>
      </c>
      <c r="C19" s="24" t="s">
        <v>25</v>
      </c>
      <c r="D19" s="75" t="s">
        <v>27</v>
      </c>
      <c r="E19" s="59">
        <f t="shared" si="0"/>
        <v>469300</v>
      </c>
      <c r="F19" s="26">
        <f>450000+59300-40000</f>
        <v>469300</v>
      </c>
      <c r="G19" s="26">
        <v>0</v>
      </c>
      <c r="H19" s="26">
        <v>0</v>
      </c>
      <c r="I19" s="26">
        <v>0</v>
      </c>
      <c r="J19" s="59">
        <f t="shared" si="1"/>
        <v>40000</v>
      </c>
      <c r="K19" s="26">
        <v>0</v>
      </c>
      <c r="L19" s="26">
        <v>0</v>
      </c>
      <c r="M19" s="26">
        <v>0</v>
      </c>
      <c r="N19" s="26">
        <v>40000</v>
      </c>
      <c r="O19" s="26">
        <v>40000</v>
      </c>
      <c r="P19" s="25">
        <f t="shared" si="2"/>
        <v>509300</v>
      </c>
    </row>
    <row r="20" spans="1:16" s="11" customFormat="1" ht="27">
      <c r="A20" s="22" t="s">
        <v>28</v>
      </c>
      <c r="B20" s="23" t="s">
        <v>29</v>
      </c>
      <c r="C20" s="24" t="s">
        <v>25</v>
      </c>
      <c r="D20" s="75" t="s">
        <v>30</v>
      </c>
      <c r="E20" s="59">
        <f t="shared" si="0"/>
        <v>500000</v>
      </c>
      <c r="F20" s="26">
        <f>400000+100000</f>
        <v>500000</v>
      </c>
      <c r="G20" s="26">
        <v>0</v>
      </c>
      <c r="H20" s="26">
        <v>0</v>
      </c>
      <c r="I20" s="26">
        <v>0</v>
      </c>
      <c r="J20" s="59">
        <f t="shared" si="1"/>
        <v>0</v>
      </c>
      <c r="K20" s="26">
        <v>0</v>
      </c>
      <c r="L20" s="26">
        <v>0</v>
      </c>
      <c r="M20" s="26">
        <v>0</v>
      </c>
      <c r="N20" s="26">
        <v>0</v>
      </c>
      <c r="O20" s="26">
        <v>0</v>
      </c>
      <c r="P20" s="25">
        <f t="shared" si="2"/>
        <v>500000</v>
      </c>
    </row>
    <row r="21" spans="1:17" s="11" customFormat="1" ht="13.5">
      <c r="A21" s="17" t="s">
        <v>514</v>
      </c>
      <c r="B21" s="17" t="s">
        <v>32</v>
      </c>
      <c r="C21" s="17" t="s">
        <v>31</v>
      </c>
      <c r="D21" s="76" t="s">
        <v>511</v>
      </c>
      <c r="E21" s="59">
        <f>F21+I21</f>
        <v>316538</v>
      </c>
      <c r="F21" s="19">
        <f>SUM(F22+F23)</f>
        <v>316538</v>
      </c>
      <c r="G21" s="19">
        <f>G22</f>
        <v>0</v>
      </c>
      <c r="H21" s="19">
        <f>H22</f>
        <v>0</v>
      </c>
      <c r="I21" s="19">
        <f>I22</f>
        <v>0</v>
      </c>
      <c r="J21" s="57">
        <f>SUM(J22)</f>
        <v>0</v>
      </c>
      <c r="K21" s="19">
        <f>K22</f>
        <v>0</v>
      </c>
      <c r="L21" s="19">
        <f>L22</f>
        <v>0</v>
      </c>
      <c r="M21" s="19">
        <f>M22</f>
        <v>0</v>
      </c>
      <c r="N21" s="19">
        <f>N22</f>
        <v>0</v>
      </c>
      <c r="O21" s="19">
        <f>O22</f>
        <v>0</v>
      </c>
      <c r="P21" s="19">
        <f>E21+J21</f>
        <v>316538</v>
      </c>
      <c r="Q21" s="110"/>
    </row>
    <row r="22" spans="1:16" s="47" customFormat="1" ht="27">
      <c r="A22" s="42"/>
      <c r="B22" s="43"/>
      <c r="C22" s="44"/>
      <c r="D22" s="115" t="s">
        <v>495</v>
      </c>
      <c r="E22" s="61">
        <f>F22+I22</f>
        <v>196538</v>
      </c>
      <c r="F22" s="46">
        <f>209300-25580+12818</f>
        <v>196538</v>
      </c>
      <c r="G22" s="46">
        <v>0</v>
      </c>
      <c r="H22" s="46">
        <v>0</v>
      </c>
      <c r="I22" s="46">
        <v>0</v>
      </c>
      <c r="J22" s="61">
        <f>K22+N22</f>
        <v>0</v>
      </c>
      <c r="K22" s="46">
        <v>0</v>
      </c>
      <c r="L22" s="46">
        <v>0</v>
      </c>
      <c r="M22" s="46">
        <v>0</v>
      </c>
      <c r="N22" s="46">
        <v>0</v>
      </c>
      <c r="O22" s="46">
        <v>0</v>
      </c>
      <c r="P22" s="45">
        <f t="shared" si="2"/>
        <v>196538</v>
      </c>
    </row>
    <row r="23" spans="1:16" s="47" customFormat="1" ht="60" customHeight="1">
      <c r="A23" s="128"/>
      <c r="B23" s="128"/>
      <c r="C23" s="128"/>
      <c r="D23" s="135" t="s">
        <v>531</v>
      </c>
      <c r="E23" s="61">
        <f>F23+I23</f>
        <v>120000</v>
      </c>
      <c r="F23" s="46">
        <v>120000</v>
      </c>
      <c r="G23" s="46"/>
      <c r="H23" s="46"/>
      <c r="I23" s="46"/>
      <c r="J23" s="61"/>
      <c r="K23" s="46"/>
      <c r="L23" s="46"/>
      <c r="M23" s="46"/>
      <c r="N23" s="46"/>
      <c r="O23" s="46"/>
      <c r="P23" s="45">
        <f t="shared" si="2"/>
        <v>120000</v>
      </c>
    </row>
    <row r="24" spans="1:17" s="71" customFormat="1" ht="145.5" customHeight="1">
      <c r="A24" s="66" t="s">
        <v>34</v>
      </c>
      <c r="B24" s="67"/>
      <c r="C24" s="68"/>
      <c r="D24" s="72" t="s">
        <v>497</v>
      </c>
      <c r="E24" s="56">
        <f>F24+I24</f>
        <v>23237522</v>
      </c>
      <c r="F24" s="70">
        <f>F25+F33+F39</f>
        <v>23237522</v>
      </c>
      <c r="G24" s="70">
        <f>G25+G33+G39</f>
        <v>8583098</v>
      </c>
      <c r="H24" s="70">
        <f>H25+H33+H39</f>
        <v>2317329</v>
      </c>
      <c r="I24" s="70">
        <f>I25+I33+I39</f>
        <v>0</v>
      </c>
      <c r="J24" s="56">
        <f>K24+N24</f>
        <v>942564</v>
      </c>
      <c r="K24" s="70">
        <f>K25+K33+K39</f>
        <v>410014</v>
      </c>
      <c r="L24" s="70">
        <f>L25+L33+L39</f>
        <v>0</v>
      </c>
      <c r="M24" s="70">
        <f>M25+M33+M39</f>
        <v>351514</v>
      </c>
      <c r="N24" s="70">
        <f>N25+N33+N39</f>
        <v>532550</v>
      </c>
      <c r="O24" s="70">
        <f>O25+O33+O39</f>
        <v>532550</v>
      </c>
      <c r="P24" s="70">
        <f t="shared" si="2"/>
        <v>24180086</v>
      </c>
      <c r="Q24" s="118"/>
    </row>
    <row r="25" spans="1:17" s="11" customFormat="1" ht="27">
      <c r="A25" s="27" t="s">
        <v>427</v>
      </c>
      <c r="B25" s="28"/>
      <c r="C25" s="29"/>
      <c r="D25" s="78" t="s">
        <v>429</v>
      </c>
      <c r="E25" s="58">
        <f aca="true" t="shared" si="3" ref="E25:E75">F25+I25</f>
        <v>7902757</v>
      </c>
      <c r="F25" s="20">
        <f>F26+F27+F29+F30+F31</f>
        <v>7902757</v>
      </c>
      <c r="G25" s="20">
        <f>G26+G27+G29+G30+G31</f>
        <v>2852211</v>
      </c>
      <c r="H25" s="20">
        <f>H26+H27+H29+H30+H31</f>
        <v>685207</v>
      </c>
      <c r="I25" s="20">
        <f>I26+I27+I29+I30+I31</f>
        <v>0</v>
      </c>
      <c r="J25" s="58">
        <f aca="true" t="shared" si="4" ref="J25:J75">K25+N25</f>
        <v>360550</v>
      </c>
      <c r="K25" s="20">
        <f>K26+K27+K28+K29+K30+K31</f>
        <v>0</v>
      </c>
      <c r="L25" s="20">
        <f>L26+L27+L28+L29+L30+L31</f>
        <v>0</v>
      </c>
      <c r="M25" s="20">
        <f>M26+M27+M28+M29+M30+M31</f>
        <v>0</v>
      </c>
      <c r="N25" s="20">
        <f>N26+N27+N28+N29+N30+N31</f>
        <v>360550</v>
      </c>
      <c r="O25" s="20">
        <f>O26+O27+O28+O29+O30+O31</f>
        <v>360550</v>
      </c>
      <c r="P25" s="20">
        <f t="shared" si="2"/>
        <v>8263307</v>
      </c>
      <c r="Q25" s="110"/>
    </row>
    <row r="26" spans="1:17" s="11" customFormat="1" ht="27">
      <c r="A26" s="3" t="s">
        <v>428</v>
      </c>
      <c r="B26" s="5" t="s">
        <v>35</v>
      </c>
      <c r="C26" s="4" t="s">
        <v>20</v>
      </c>
      <c r="D26" s="73" t="s">
        <v>539</v>
      </c>
      <c r="E26" s="58">
        <f t="shared" si="3"/>
        <v>4634404</v>
      </c>
      <c r="F26" s="21">
        <f>4634404+20000-20000</f>
        <v>4634404</v>
      </c>
      <c r="G26" s="21">
        <v>2802293</v>
      </c>
      <c r="H26" s="21">
        <v>685207</v>
      </c>
      <c r="I26" s="21">
        <v>0</v>
      </c>
      <c r="J26" s="58">
        <f t="shared" si="4"/>
        <v>20000</v>
      </c>
      <c r="K26" s="21">
        <v>0</v>
      </c>
      <c r="L26" s="21">
        <v>0</v>
      </c>
      <c r="M26" s="21">
        <v>0</v>
      </c>
      <c r="N26" s="21">
        <v>20000</v>
      </c>
      <c r="O26" s="21">
        <v>20000</v>
      </c>
      <c r="P26" s="20">
        <f t="shared" si="2"/>
        <v>4654404</v>
      </c>
      <c r="Q26" s="110"/>
    </row>
    <row r="27" spans="1:17" s="11" customFormat="1" ht="27">
      <c r="A27" s="3" t="s">
        <v>430</v>
      </c>
      <c r="B27" s="5" t="s">
        <v>37</v>
      </c>
      <c r="C27" s="4" t="s">
        <v>36</v>
      </c>
      <c r="D27" s="73" t="s">
        <v>38</v>
      </c>
      <c r="E27" s="58">
        <f t="shared" si="3"/>
        <v>60900</v>
      </c>
      <c r="F27" s="21">
        <v>60900</v>
      </c>
      <c r="G27" s="21">
        <v>49918</v>
      </c>
      <c r="H27" s="21">
        <v>0</v>
      </c>
      <c r="I27" s="21">
        <v>0</v>
      </c>
      <c r="J27" s="58">
        <f t="shared" si="4"/>
        <v>0</v>
      </c>
      <c r="K27" s="21">
        <v>0</v>
      </c>
      <c r="L27" s="21">
        <v>0</v>
      </c>
      <c r="M27" s="21">
        <v>0</v>
      </c>
      <c r="N27" s="21">
        <v>0</v>
      </c>
      <c r="O27" s="21">
        <v>0</v>
      </c>
      <c r="P27" s="20">
        <f>E27+J27</f>
        <v>60900</v>
      </c>
      <c r="Q27" s="110"/>
    </row>
    <row r="28" spans="1:17" s="11" customFormat="1" ht="41.25">
      <c r="A28" s="30" t="s">
        <v>546</v>
      </c>
      <c r="B28" s="30" t="s">
        <v>317</v>
      </c>
      <c r="C28" s="30" t="s">
        <v>316</v>
      </c>
      <c r="D28" s="73" t="s">
        <v>547</v>
      </c>
      <c r="E28" s="58">
        <f t="shared" si="3"/>
        <v>0</v>
      </c>
      <c r="F28" s="21">
        <v>0</v>
      </c>
      <c r="G28" s="21">
        <v>0</v>
      </c>
      <c r="H28" s="21">
        <v>0</v>
      </c>
      <c r="I28" s="21">
        <v>0</v>
      </c>
      <c r="J28" s="58">
        <f t="shared" si="4"/>
        <v>30550</v>
      </c>
      <c r="K28" s="21">
        <v>0</v>
      </c>
      <c r="L28" s="21">
        <v>0</v>
      </c>
      <c r="M28" s="21">
        <v>0</v>
      </c>
      <c r="N28" s="21">
        <v>30550</v>
      </c>
      <c r="O28" s="21">
        <v>30550</v>
      </c>
      <c r="P28" s="20">
        <f>E28+J28</f>
        <v>30550</v>
      </c>
      <c r="Q28" s="110"/>
    </row>
    <row r="29" spans="1:17" s="11" customFormat="1" ht="17.25" customHeight="1">
      <c r="A29" s="3" t="s">
        <v>431</v>
      </c>
      <c r="B29" s="5" t="s">
        <v>40</v>
      </c>
      <c r="C29" s="4" t="s">
        <v>39</v>
      </c>
      <c r="D29" s="73" t="s">
        <v>41</v>
      </c>
      <c r="E29" s="58">
        <f t="shared" si="3"/>
        <v>2380000</v>
      </c>
      <c r="F29" s="21">
        <f>2400000-20000</f>
        <v>2380000</v>
      </c>
      <c r="G29" s="21">
        <v>0</v>
      </c>
      <c r="H29" s="21">
        <v>0</v>
      </c>
      <c r="I29" s="21">
        <v>0</v>
      </c>
      <c r="J29" s="58">
        <f t="shared" si="4"/>
        <v>0</v>
      </c>
      <c r="K29" s="21">
        <v>0</v>
      </c>
      <c r="L29" s="21">
        <v>0</v>
      </c>
      <c r="M29" s="21">
        <v>0</v>
      </c>
      <c r="N29" s="21">
        <f>30550-30550</f>
        <v>0</v>
      </c>
      <c r="O29" s="21">
        <f>30550-30550</f>
        <v>0</v>
      </c>
      <c r="P29" s="20">
        <f t="shared" si="2"/>
        <v>2380000</v>
      </c>
      <c r="Q29" s="110"/>
    </row>
    <row r="30" spans="1:16" s="11" customFormat="1" ht="27">
      <c r="A30" s="3" t="s">
        <v>560</v>
      </c>
      <c r="B30" s="5" t="s">
        <v>222</v>
      </c>
      <c r="C30" s="4" t="s">
        <v>147</v>
      </c>
      <c r="D30" s="73" t="s">
        <v>223</v>
      </c>
      <c r="E30" s="58">
        <f t="shared" si="3"/>
        <v>0</v>
      </c>
      <c r="F30" s="21">
        <v>0</v>
      </c>
      <c r="G30" s="21">
        <v>0</v>
      </c>
      <c r="H30" s="21">
        <v>0</v>
      </c>
      <c r="I30" s="21">
        <v>0</v>
      </c>
      <c r="J30" s="58">
        <f t="shared" si="4"/>
        <v>310000</v>
      </c>
      <c r="K30" s="21">
        <v>0</v>
      </c>
      <c r="L30" s="21">
        <v>0</v>
      </c>
      <c r="M30" s="21">
        <v>0</v>
      </c>
      <c r="N30" s="21">
        <v>310000</v>
      </c>
      <c r="O30" s="21">
        <v>310000</v>
      </c>
      <c r="P30" s="20">
        <f>E30+J30</f>
        <v>310000</v>
      </c>
    </row>
    <row r="31" spans="1:17" s="11" customFormat="1" ht="13.5">
      <c r="A31" s="17" t="s">
        <v>512</v>
      </c>
      <c r="B31" s="17" t="s">
        <v>32</v>
      </c>
      <c r="C31" s="17" t="s">
        <v>31</v>
      </c>
      <c r="D31" s="76" t="s">
        <v>511</v>
      </c>
      <c r="E31" s="57">
        <f t="shared" si="3"/>
        <v>827453</v>
      </c>
      <c r="F31" s="19">
        <f>F32</f>
        <v>827453</v>
      </c>
      <c r="G31" s="19">
        <f>G32</f>
        <v>0</v>
      </c>
      <c r="H31" s="19">
        <f>H32</f>
        <v>0</v>
      </c>
      <c r="I31" s="19">
        <f>I32</f>
        <v>0</v>
      </c>
      <c r="J31" s="57">
        <f t="shared" si="4"/>
        <v>0</v>
      </c>
      <c r="K31" s="19">
        <f>K32</f>
        <v>0</v>
      </c>
      <c r="L31" s="19">
        <f>L32</f>
        <v>0</v>
      </c>
      <c r="M31" s="19">
        <f>M32</f>
        <v>0</v>
      </c>
      <c r="N31" s="19">
        <f>N32</f>
        <v>0</v>
      </c>
      <c r="O31" s="19">
        <f>O32</f>
        <v>0</v>
      </c>
      <c r="P31" s="19">
        <f>E31+J31</f>
        <v>827453</v>
      </c>
      <c r="Q31" s="110"/>
    </row>
    <row r="32" spans="1:16" s="47" customFormat="1" ht="41.25">
      <c r="A32" s="42"/>
      <c r="B32" s="43"/>
      <c r="C32" s="44"/>
      <c r="D32" s="115" t="s">
        <v>496</v>
      </c>
      <c r="E32" s="61">
        <f t="shared" si="3"/>
        <v>827453</v>
      </c>
      <c r="F32" s="46">
        <v>827453</v>
      </c>
      <c r="G32" s="46">
        <v>0</v>
      </c>
      <c r="H32" s="46">
        <v>0</v>
      </c>
      <c r="I32" s="46">
        <v>0</v>
      </c>
      <c r="J32" s="61">
        <f t="shared" si="4"/>
        <v>0</v>
      </c>
      <c r="K32" s="46">
        <v>0</v>
      </c>
      <c r="L32" s="46">
        <v>0</v>
      </c>
      <c r="M32" s="46">
        <v>0</v>
      </c>
      <c r="N32" s="46">
        <v>0</v>
      </c>
      <c r="O32" s="46">
        <v>0</v>
      </c>
      <c r="P32" s="45">
        <f t="shared" si="2"/>
        <v>827453</v>
      </c>
    </row>
    <row r="33" spans="1:17" s="11" customFormat="1" ht="27">
      <c r="A33" s="27" t="s">
        <v>427</v>
      </c>
      <c r="B33" s="28"/>
      <c r="C33" s="29"/>
      <c r="D33" s="78" t="s">
        <v>432</v>
      </c>
      <c r="E33" s="58">
        <f t="shared" si="3"/>
        <v>7915577</v>
      </c>
      <c r="F33" s="20">
        <f>F34+F35+F36+F37</f>
        <v>7915577</v>
      </c>
      <c r="G33" s="20">
        <f>G34+G35+G36+G37</f>
        <v>2824786</v>
      </c>
      <c r="H33" s="20">
        <f>H34+H35+H36+H37</f>
        <v>1120966</v>
      </c>
      <c r="I33" s="20">
        <f>I34+I35+I36+I37</f>
        <v>0</v>
      </c>
      <c r="J33" s="58">
        <f t="shared" si="4"/>
        <v>582014</v>
      </c>
      <c r="K33" s="20">
        <f>K34+K35+K36+K37</f>
        <v>410014</v>
      </c>
      <c r="L33" s="20">
        <f>L34+L35+L36+L37</f>
        <v>0</v>
      </c>
      <c r="M33" s="20">
        <f>M34+M35+M36+M37</f>
        <v>351514</v>
      </c>
      <c r="N33" s="20">
        <f>N34+N35+N36+N37</f>
        <v>172000</v>
      </c>
      <c r="O33" s="20">
        <f>O34+O35+O36+O37</f>
        <v>172000</v>
      </c>
      <c r="P33" s="20">
        <f t="shared" si="2"/>
        <v>8497591</v>
      </c>
      <c r="Q33" s="110"/>
    </row>
    <row r="34" spans="1:17" s="11" customFormat="1" ht="27">
      <c r="A34" s="3" t="s">
        <v>428</v>
      </c>
      <c r="B34" s="30" t="s">
        <v>35</v>
      </c>
      <c r="C34" s="30" t="s">
        <v>20</v>
      </c>
      <c r="D34" s="73" t="s">
        <v>539</v>
      </c>
      <c r="E34" s="58">
        <f t="shared" si="3"/>
        <v>5062805</v>
      </c>
      <c r="F34" s="21">
        <v>5062805</v>
      </c>
      <c r="G34" s="21">
        <v>2791999</v>
      </c>
      <c r="H34" s="21">
        <v>1120966</v>
      </c>
      <c r="I34" s="21">
        <v>0</v>
      </c>
      <c r="J34" s="58">
        <f t="shared" si="4"/>
        <v>410014</v>
      </c>
      <c r="K34" s="21">
        <v>410014</v>
      </c>
      <c r="L34" s="21">
        <v>0</v>
      </c>
      <c r="M34" s="21">
        <v>351514</v>
      </c>
      <c r="N34" s="21">
        <v>0</v>
      </c>
      <c r="O34" s="21">
        <v>0</v>
      </c>
      <c r="P34" s="20">
        <f t="shared" si="2"/>
        <v>5472819</v>
      </c>
      <c r="Q34" s="110"/>
    </row>
    <row r="35" spans="1:17" s="11" customFormat="1" ht="27">
      <c r="A35" s="3" t="s">
        <v>430</v>
      </c>
      <c r="B35" s="5" t="s">
        <v>37</v>
      </c>
      <c r="C35" s="4" t="s">
        <v>36</v>
      </c>
      <c r="D35" s="73" t="s">
        <v>42</v>
      </c>
      <c r="E35" s="58">
        <f t="shared" si="3"/>
        <v>40000</v>
      </c>
      <c r="F35" s="21">
        <v>40000</v>
      </c>
      <c r="G35" s="21">
        <v>32787</v>
      </c>
      <c r="H35" s="21">
        <v>0</v>
      </c>
      <c r="I35" s="21">
        <v>0</v>
      </c>
      <c r="J35" s="58">
        <f t="shared" si="4"/>
        <v>0</v>
      </c>
      <c r="K35" s="21">
        <v>0</v>
      </c>
      <c r="L35" s="21">
        <v>0</v>
      </c>
      <c r="M35" s="21">
        <v>0</v>
      </c>
      <c r="N35" s="21">
        <v>0</v>
      </c>
      <c r="O35" s="21">
        <v>0</v>
      </c>
      <c r="P35" s="20">
        <f>E35+J35</f>
        <v>40000</v>
      </c>
      <c r="Q35" s="110"/>
    </row>
    <row r="36" spans="1:17" s="11" customFormat="1" ht="13.5">
      <c r="A36" s="3" t="s">
        <v>431</v>
      </c>
      <c r="B36" s="5" t="s">
        <v>40</v>
      </c>
      <c r="C36" s="4" t="s">
        <v>39</v>
      </c>
      <c r="D36" s="73" t="s">
        <v>41</v>
      </c>
      <c r="E36" s="58">
        <f t="shared" si="3"/>
        <v>2179958</v>
      </c>
      <c r="F36" s="21">
        <f>2035000+121958-12000+35000</f>
        <v>2179958</v>
      </c>
      <c r="G36" s="21">
        <v>0</v>
      </c>
      <c r="H36" s="21">
        <v>0</v>
      </c>
      <c r="I36" s="21">
        <v>0</v>
      </c>
      <c r="J36" s="58">
        <f t="shared" si="4"/>
        <v>172000</v>
      </c>
      <c r="K36" s="21">
        <v>0</v>
      </c>
      <c r="L36" s="21">
        <v>0</v>
      </c>
      <c r="M36" s="21">
        <v>0</v>
      </c>
      <c r="N36" s="21">
        <f>160000+12000</f>
        <v>172000</v>
      </c>
      <c r="O36" s="21">
        <f>160000+12000</f>
        <v>172000</v>
      </c>
      <c r="P36" s="20">
        <f t="shared" si="2"/>
        <v>2351958</v>
      </c>
      <c r="Q36" s="117"/>
    </row>
    <row r="37" spans="1:17" s="11" customFormat="1" ht="13.5">
      <c r="A37" s="17" t="s">
        <v>512</v>
      </c>
      <c r="B37" s="17" t="s">
        <v>32</v>
      </c>
      <c r="C37" s="17" t="s">
        <v>31</v>
      </c>
      <c r="D37" s="76" t="s">
        <v>511</v>
      </c>
      <c r="E37" s="57">
        <f t="shared" si="3"/>
        <v>632814</v>
      </c>
      <c r="F37" s="19">
        <f>SUM(F38)</f>
        <v>632814</v>
      </c>
      <c r="G37" s="19">
        <f aca="true" t="shared" si="5" ref="G37:O37">SUM(G38)</f>
        <v>0</v>
      </c>
      <c r="H37" s="19">
        <f t="shared" si="5"/>
        <v>0</v>
      </c>
      <c r="I37" s="19">
        <f t="shared" si="5"/>
        <v>0</v>
      </c>
      <c r="J37" s="57">
        <f t="shared" si="4"/>
        <v>0</v>
      </c>
      <c r="K37" s="19">
        <f t="shared" si="5"/>
        <v>0</v>
      </c>
      <c r="L37" s="19">
        <f t="shared" si="5"/>
        <v>0</v>
      </c>
      <c r="M37" s="19">
        <f t="shared" si="5"/>
        <v>0</v>
      </c>
      <c r="N37" s="19">
        <f t="shared" si="5"/>
        <v>0</v>
      </c>
      <c r="O37" s="19">
        <f t="shared" si="5"/>
        <v>0</v>
      </c>
      <c r="P37" s="19">
        <f>E37+J37</f>
        <v>632814</v>
      </c>
      <c r="Q37" s="110"/>
    </row>
    <row r="38" spans="1:16" s="47" customFormat="1" ht="48.75" customHeight="1">
      <c r="A38" s="42"/>
      <c r="B38" s="43"/>
      <c r="C38" s="44"/>
      <c r="D38" s="115" t="s">
        <v>496</v>
      </c>
      <c r="E38" s="61">
        <f t="shared" si="3"/>
        <v>632814</v>
      </c>
      <c r="F38" s="46">
        <v>632814</v>
      </c>
      <c r="G38" s="46">
        <v>0</v>
      </c>
      <c r="H38" s="46">
        <v>0</v>
      </c>
      <c r="I38" s="46">
        <v>0</v>
      </c>
      <c r="J38" s="61">
        <f t="shared" si="4"/>
        <v>0</v>
      </c>
      <c r="K38" s="46">
        <v>0</v>
      </c>
      <c r="L38" s="46">
        <v>0</v>
      </c>
      <c r="M38" s="46">
        <v>0</v>
      </c>
      <c r="N38" s="46">
        <v>0</v>
      </c>
      <c r="O38" s="46">
        <v>0</v>
      </c>
      <c r="P38" s="45">
        <f t="shared" si="2"/>
        <v>632814</v>
      </c>
    </row>
    <row r="39" spans="1:17" s="11" customFormat="1" ht="27">
      <c r="A39" s="27" t="s">
        <v>427</v>
      </c>
      <c r="B39" s="28"/>
      <c r="C39" s="29"/>
      <c r="D39" s="78" t="s">
        <v>433</v>
      </c>
      <c r="E39" s="58">
        <f t="shared" si="3"/>
        <v>7419188</v>
      </c>
      <c r="F39" s="20">
        <f>F40+F41+F42+F43</f>
        <v>7419188</v>
      </c>
      <c r="G39" s="20">
        <f>G40+G41+G42+G43</f>
        <v>2906101</v>
      </c>
      <c r="H39" s="20">
        <f>H40+H41+H42+H43</f>
        <v>511156</v>
      </c>
      <c r="I39" s="20">
        <f>I40+I41+I42+I43</f>
        <v>0</v>
      </c>
      <c r="J39" s="58">
        <f t="shared" si="4"/>
        <v>0</v>
      </c>
      <c r="K39" s="20">
        <f>K40+K41+K42+K43</f>
        <v>0</v>
      </c>
      <c r="L39" s="20">
        <f>L40+L41+L42+L43</f>
        <v>0</v>
      </c>
      <c r="M39" s="20">
        <f>M40+M41+M42+M43</f>
        <v>0</v>
      </c>
      <c r="N39" s="20">
        <f>N40+N41+N42+N43</f>
        <v>0</v>
      </c>
      <c r="O39" s="20">
        <f>O40+O41+O42+O43</f>
        <v>0</v>
      </c>
      <c r="P39" s="20">
        <f t="shared" si="2"/>
        <v>7419188</v>
      </c>
      <c r="Q39" s="110"/>
    </row>
    <row r="40" spans="1:17" s="11" customFormat="1" ht="27">
      <c r="A40" s="3" t="s">
        <v>428</v>
      </c>
      <c r="B40" s="30" t="s">
        <v>35</v>
      </c>
      <c r="C40" s="30" t="s">
        <v>20</v>
      </c>
      <c r="D40" s="73" t="s">
        <v>539</v>
      </c>
      <c r="E40" s="58">
        <f t="shared" si="3"/>
        <v>4390899</v>
      </c>
      <c r="F40" s="21">
        <v>4390899</v>
      </c>
      <c r="G40" s="21">
        <v>2824134</v>
      </c>
      <c r="H40" s="21">
        <v>511156</v>
      </c>
      <c r="I40" s="21">
        <v>0</v>
      </c>
      <c r="J40" s="58">
        <f t="shared" si="4"/>
        <v>0</v>
      </c>
      <c r="K40" s="21">
        <v>0</v>
      </c>
      <c r="L40" s="21">
        <v>0</v>
      </c>
      <c r="M40" s="21">
        <v>0</v>
      </c>
      <c r="N40" s="21">
        <v>0</v>
      </c>
      <c r="O40" s="21">
        <v>0</v>
      </c>
      <c r="P40" s="20">
        <f t="shared" si="2"/>
        <v>4390899</v>
      </c>
      <c r="Q40" s="110"/>
    </row>
    <row r="41" spans="1:17" s="11" customFormat="1" ht="27">
      <c r="A41" s="3" t="s">
        <v>430</v>
      </c>
      <c r="B41" s="5" t="s">
        <v>37</v>
      </c>
      <c r="C41" s="4" t="s">
        <v>36</v>
      </c>
      <c r="D41" s="73" t="s">
        <v>42</v>
      </c>
      <c r="E41" s="58">
        <f t="shared" si="3"/>
        <v>100000</v>
      </c>
      <c r="F41" s="21">
        <v>100000</v>
      </c>
      <c r="G41" s="21">
        <v>81967</v>
      </c>
      <c r="H41" s="21">
        <v>0</v>
      </c>
      <c r="I41" s="21">
        <v>0</v>
      </c>
      <c r="J41" s="58">
        <f t="shared" si="4"/>
        <v>0</v>
      </c>
      <c r="K41" s="21">
        <v>0</v>
      </c>
      <c r="L41" s="21">
        <v>0</v>
      </c>
      <c r="M41" s="21">
        <v>0</v>
      </c>
      <c r="N41" s="21">
        <v>0</v>
      </c>
      <c r="O41" s="21">
        <v>0</v>
      </c>
      <c r="P41" s="20">
        <f>E41+J41</f>
        <v>100000</v>
      </c>
      <c r="Q41" s="81"/>
    </row>
    <row r="42" spans="1:17" s="11" customFormat="1" ht="13.5">
      <c r="A42" s="3" t="s">
        <v>431</v>
      </c>
      <c r="B42" s="5" t="s">
        <v>40</v>
      </c>
      <c r="C42" s="4" t="s">
        <v>39</v>
      </c>
      <c r="D42" s="73" t="s">
        <v>41</v>
      </c>
      <c r="E42" s="58">
        <f t="shared" si="3"/>
        <v>2405000</v>
      </c>
      <c r="F42" s="21">
        <v>2405000</v>
      </c>
      <c r="G42" s="21">
        <v>0</v>
      </c>
      <c r="H42" s="21">
        <v>0</v>
      </c>
      <c r="I42" s="21">
        <v>0</v>
      </c>
      <c r="J42" s="58">
        <f t="shared" si="4"/>
        <v>0</v>
      </c>
      <c r="K42" s="21">
        <v>0</v>
      </c>
      <c r="L42" s="21">
        <v>0</v>
      </c>
      <c r="M42" s="21">
        <v>0</v>
      </c>
      <c r="N42" s="21">
        <v>0</v>
      </c>
      <c r="O42" s="21">
        <v>0</v>
      </c>
      <c r="P42" s="20">
        <f t="shared" si="2"/>
        <v>2405000</v>
      </c>
      <c r="Q42" s="110"/>
    </row>
    <row r="43" spans="1:17" s="11" customFormat="1" ht="13.5">
      <c r="A43" s="17" t="s">
        <v>512</v>
      </c>
      <c r="B43" s="17" t="s">
        <v>32</v>
      </c>
      <c r="C43" s="17" t="s">
        <v>31</v>
      </c>
      <c r="D43" s="76" t="s">
        <v>511</v>
      </c>
      <c r="E43" s="57">
        <f t="shared" si="3"/>
        <v>523289</v>
      </c>
      <c r="F43" s="19">
        <f>F44</f>
        <v>523289</v>
      </c>
      <c r="G43" s="19">
        <f>G44</f>
        <v>0</v>
      </c>
      <c r="H43" s="19">
        <f>H44</f>
        <v>0</v>
      </c>
      <c r="I43" s="19">
        <f>I44</f>
        <v>0</v>
      </c>
      <c r="J43" s="57">
        <f t="shared" si="4"/>
        <v>0</v>
      </c>
      <c r="K43" s="19">
        <f>K44</f>
        <v>0</v>
      </c>
      <c r="L43" s="19">
        <f>L44</f>
        <v>0</v>
      </c>
      <c r="M43" s="19">
        <f>M44</f>
        <v>0</v>
      </c>
      <c r="N43" s="19">
        <f>N44</f>
        <v>0</v>
      </c>
      <c r="O43" s="19">
        <f>O44</f>
        <v>0</v>
      </c>
      <c r="P43" s="19">
        <f>E43+J43</f>
        <v>523289</v>
      </c>
      <c r="Q43" s="110"/>
    </row>
    <row r="44" spans="1:16" s="47" customFormat="1" ht="47.25" customHeight="1">
      <c r="A44" s="42"/>
      <c r="B44" s="43"/>
      <c r="C44" s="44"/>
      <c r="D44" s="115" t="s">
        <v>496</v>
      </c>
      <c r="E44" s="61">
        <f t="shared" si="3"/>
        <v>523289</v>
      </c>
      <c r="F44" s="46">
        <v>523289</v>
      </c>
      <c r="G44" s="46">
        <v>0</v>
      </c>
      <c r="H44" s="46">
        <v>0</v>
      </c>
      <c r="I44" s="46">
        <v>0</v>
      </c>
      <c r="J44" s="61">
        <f t="shared" si="4"/>
        <v>0</v>
      </c>
      <c r="K44" s="46">
        <v>0</v>
      </c>
      <c r="L44" s="46">
        <v>0</v>
      </c>
      <c r="M44" s="46">
        <v>0</v>
      </c>
      <c r="N44" s="46">
        <v>0</v>
      </c>
      <c r="O44" s="46">
        <v>0</v>
      </c>
      <c r="P44" s="45">
        <f t="shared" si="2"/>
        <v>523289</v>
      </c>
    </row>
    <row r="45" spans="1:17" s="11" customFormat="1" ht="30.75" customHeight="1">
      <c r="A45" s="12" t="s">
        <v>43</v>
      </c>
      <c r="B45" s="13"/>
      <c r="C45" s="14"/>
      <c r="D45" s="79" t="s">
        <v>527</v>
      </c>
      <c r="E45" s="56">
        <f t="shared" si="3"/>
        <v>618371975.25</v>
      </c>
      <c r="F45" s="15">
        <f>F46</f>
        <v>618371975.25</v>
      </c>
      <c r="G45" s="15">
        <f>G46</f>
        <v>364328317</v>
      </c>
      <c r="H45" s="15">
        <f>H46</f>
        <v>80038900</v>
      </c>
      <c r="I45" s="15">
        <f>I46</f>
        <v>0</v>
      </c>
      <c r="J45" s="56">
        <f t="shared" si="4"/>
        <v>54701943</v>
      </c>
      <c r="K45" s="15">
        <f>K46</f>
        <v>29019800</v>
      </c>
      <c r="L45" s="15">
        <f>L46</f>
        <v>690200</v>
      </c>
      <c r="M45" s="15">
        <f>M46</f>
        <v>145200</v>
      </c>
      <c r="N45" s="15">
        <f>N46</f>
        <v>25682143</v>
      </c>
      <c r="O45" s="15">
        <f>O46</f>
        <v>25215862</v>
      </c>
      <c r="P45" s="15">
        <f>E45+J45</f>
        <v>673073918.25</v>
      </c>
      <c r="Q45" s="110"/>
    </row>
    <row r="46" spans="1:16" s="11" customFormat="1" ht="27">
      <c r="A46" s="27" t="s">
        <v>45</v>
      </c>
      <c r="B46" s="28"/>
      <c r="C46" s="29"/>
      <c r="D46" s="78" t="s">
        <v>44</v>
      </c>
      <c r="E46" s="58">
        <f t="shared" si="3"/>
        <v>618371975.25</v>
      </c>
      <c r="F46" s="20">
        <f>F47+F48+F51+F57+F61+F63+F64+F65+F66+F67+F69+F70+F71+F72+F73+F74+F75+F76+F79+F82+F85+F87+F89+F92+F93+F94</f>
        <v>618371975.25</v>
      </c>
      <c r="G46" s="20">
        <f>G47+G48+G51+G57+G61+G63+G64+G65+G66+G67+G69+G70+G71+G72+G73+G74+G75+G76+G79+G82+G85+G87+G89+G92+G93+G94</f>
        <v>364328317</v>
      </c>
      <c r="H46" s="20">
        <f>H47+H48+H51+H57+H61+H63+H64+H65+H66+H67+H69+H70+H71+H72+H73+H74+H75+H76+H79+H82+H85+H87+H89+H92+H93+H94</f>
        <v>80038900</v>
      </c>
      <c r="I46" s="20">
        <f>I47+I48+I51+I57+I61+I63+I64+I65+I66+I67+I69+I70+I71+I72+I73+I74+I75+I76+I79+I82+I85+I87+I89+I92+I93+I94</f>
        <v>0</v>
      </c>
      <c r="J46" s="58">
        <f t="shared" si="4"/>
        <v>54701943</v>
      </c>
      <c r="K46" s="20">
        <f>K47+K48+K51+K57+K61+K63+K64+K65+K66+K67+K69+K70+K71+K72+K73+K74+K75+K76+K79+K82+K85+K87+K89+K92+K93+K94</f>
        <v>29019800</v>
      </c>
      <c r="L46" s="20">
        <f>L47+L48+L51+L57+L61+L63+L64+L65+L66+L67+L69+L70+L71+L72+L73+L74+L75+L76+L79+L82+L85+L87+L89+L92+L93+L94</f>
        <v>690200</v>
      </c>
      <c r="M46" s="20">
        <f>M47+M48+M51+M57+M61+M63+M64+M65+M66+M67+M69+M70+M71+M72+M73+M74+M75+M76+M79+M82+M85+M87+M89+M92+M93+M94</f>
        <v>145200</v>
      </c>
      <c r="N46" s="20">
        <f>N47+N48+N51+N57+N61+N63+N64+N65+N66+N67+N69+N70+N71+N72+N73+N74+N75+N76+N79+N82+N85+N87+N89+N92+N93+N94</f>
        <v>25682143</v>
      </c>
      <c r="O46" s="20">
        <f>O47+O48+O51+O57+O61+O63+O64+O65+O66+O67+O69+O70+O71+O72+O73+O74+O75+O76+O79+O82+O85+O87+O89+O92+O93+O94</f>
        <v>25215862</v>
      </c>
      <c r="P46" s="20">
        <f>E46+J46</f>
        <v>673073918.25</v>
      </c>
    </row>
    <row r="47" spans="1:17" s="11" customFormat="1" ht="27">
      <c r="A47" s="3" t="s">
        <v>46</v>
      </c>
      <c r="B47" s="30" t="s">
        <v>35</v>
      </c>
      <c r="C47" s="30" t="s">
        <v>20</v>
      </c>
      <c r="D47" s="73" t="s">
        <v>539</v>
      </c>
      <c r="E47" s="58">
        <f t="shared" si="3"/>
        <v>1592232</v>
      </c>
      <c r="F47" s="21">
        <v>1592232</v>
      </c>
      <c r="G47" s="21">
        <v>1118387</v>
      </c>
      <c r="H47" s="21">
        <v>75000</v>
      </c>
      <c r="I47" s="21">
        <v>0</v>
      </c>
      <c r="J47" s="58">
        <f t="shared" si="4"/>
        <v>16000</v>
      </c>
      <c r="K47" s="21">
        <v>16000</v>
      </c>
      <c r="L47" s="21">
        <v>0</v>
      </c>
      <c r="M47" s="21">
        <v>0</v>
      </c>
      <c r="N47" s="21">
        <v>0</v>
      </c>
      <c r="O47" s="21">
        <v>0</v>
      </c>
      <c r="P47" s="20">
        <f t="shared" si="2"/>
        <v>1608232</v>
      </c>
      <c r="Q47" s="110"/>
    </row>
    <row r="48" spans="1:18" s="11" customFormat="1" ht="13.5">
      <c r="A48" s="3" t="s">
        <v>47</v>
      </c>
      <c r="B48" s="5" t="s">
        <v>49</v>
      </c>
      <c r="C48" s="4" t="s">
        <v>48</v>
      </c>
      <c r="D48" s="73" t="s">
        <v>50</v>
      </c>
      <c r="E48" s="58">
        <f t="shared" si="3"/>
        <v>153449390</v>
      </c>
      <c r="F48" s="21">
        <f>168693700+142377+40356+107692+8375+8150+20000+19000-14549600+199600+66740+8000-1315000</f>
        <v>153449390</v>
      </c>
      <c r="G48" s="21">
        <f>96109100-11846600</f>
        <v>84262500</v>
      </c>
      <c r="H48" s="21">
        <v>27220100</v>
      </c>
      <c r="I48" s="21">
        <v>0</v>
      </c>
      <c r="J48" s="58">
        <f t="shared" si="4"/>
        <v>20008519</v>
      </c>
      <c r="K48" s="21">
        <v>13878000</v>
      </c>
      <c r="L48" s="21">
        <v>0</v>
      </c>
      <c r="M48" s="21">
        <v>0</v>
      </c>
      <c r="N48" s="21">
        <f>5550000+7000+21799+20200+800000+46000+26000+28450+14070-383000</f>
        <v>6130519</v>
      </c>
      <c r="O48" s="21">
        <f>5550000+7000+21799+20200+800000+46000+26000+28450+14070-383000</f>
        <v>6130519</v>
      </c>
      <c r="P48" s="20">
        <f t="shared" si="2"/>
        <v>173457909</v>
      </c>
      <c r="Q48" s="110"/>
      <c r="R48" s="110"/>
    </row>
    <row r="49" spans="1:16" s="47" customFormat="1" ht="36" customHeight="1">
      <c r="A49" s="48"/>
      <c r="B49" s="49"/>
      <c r="C49" s="50"/>
      <c r="D49" s="115" t="s">
        <v>507</v>
      </c>
      <c r="E49" s="62">
        <f t="shared" si="3"/>
        <v>5917100</v>
      </c>
      <c r="F49" s="133">
        <v>5917100</v>
      </c>
      <c r="G49" s="133">
        <v>4850100</v>
      </c>
      <c r="H49" s="133"/>
      <c r="I49" s="133"/>
      <c r="J49" s="62">
        <f t="shared" si="4"/>
        <v>0</v>
      </c>
      <c r="K49" s="133"/>
      <c r="L49" s="133"/>
      <c r="M49" s="133"/>
      <c r="N49" s="133"/>
      <c r="O49" s="133"/>
      <c r="P49" s="45">
        <f t="shared" si="2"/>
        <v>5917100</v>
      </c>
    </row>
    <row r="50" spans="1:16" s="47" customFormat="1" ht="59.25" customHeight="1">
      <c r="A50" s="48"/>
      <c r="B50" s="49"/>
      <c r="C50" s="50"/>
      <c r="D50" s="115" t="s">
        <v>544</v>
      </c>
      <c r="E50" s="62"/>
      <c r="F50" s="133"/>
      <c r="G50" s="133"/>
      <c r="H50" s="133"/>
      <c r="I50" s="133"/>
      <c r="J50" s="62">
        <f t="shared" si="4"/>
        <v>50249</v>
      </c>
      <c r="K50" s="133"/>
      <c r="L50" s="133"/>
      <c r="M50" s="133"/>
      <c r="N50" s="46">
        <f>21799+28450</f>
        <v>50249</v>
      </c>
      <c r="O50" s="46">
        <f>21799+28450</f>
        <v>50249</v>
      </c>
      <c r="P50" s="45">
        <f t="shared" si="2"/>
        <v>50249</v>
      </c>
    </row>
    <row r="51" spans="1:17" s="11" customFormat="1" ht="82.5">
      <c r="A51" s="3" t="s">
        <v>51</v>
      </c>
      <c r="B51" s="5" t="s">
        <v>53</v>
      </c>
      <c r="C51" s="4" t="s">
        <v>52</v>
      </c>
      <c r="D51" s="73" t="s">
        <v>54</v>
      </c>
      <c r="E51" s="58">
        <f t="shared" si="3"/>
        <v>328860256.25</v>
      </c>
      <c r="F51" s="21">
        <f>306731300+52000+425000+536490.95+886859+576921+389900+93600-50000+100000+173079+188174.2+5000+42500+60603+14863.21+90165.62+222719.22+375000+96729.8+216425.57+590000+22402+13452100-991000-40000+200000+2000+18000+399700-200000+185323.68+74200+4527200-607000</f>
        <v>328860256.25</v>
      </c>
      <c r="G51" s="21">
        <f>199244800+693330+389900+10948700+3710800</f>
        <v>214987530</v>
      </c>
      <c r="H51" s="21">
        <v>42388800</v>
      </c>
      <c r="I51" s="21">
        <v>0</v>
      </c>
      <c r="J51" s="58">
        <f t="shared" si="4"/>
        <v>27760339</v>
      </c>
      <c r="K51" s="21">
        <v>12598000</v>
      </c>
      <c r="L51" s="21">
        <v>85600</v>
      </c>
      <c r="M51" s="21">
        <v>96600</v>
      </c>
      <c r="N51" s="21">
        <f>8917000+125000+1529200+17497+170462+307124+19800+11500+30000+20200+42960-22402+87021+21800+991000+40000+4410000+70677+12000-199800+1300-1990000+500000+50000</f>
        <v>15162339</v>
      </c>
      <c r="O51" s="21">
        <f>8900000+125000+1529200+17497+170462+307124+19800+11500+30000+20200-22402+21800+991000+40000+4410000+70677+12000-199800+1300-1990000+500000+50000</f>
        <v>15015358</v>
      </c>
      <c r="P51" s="20">
        <f t="shared" si="2"/>
        <v>356620595.25</v>
      </c>
      <c r="Q51" s="110"/>
    </row>
    <row r="52" spans="1:16" s="47" customFormat="1" ht="41.25">
      <c r="A52" s="42"/>
      <c r="B52" s="43"/>
      <c r="C52" s="44"/>
      <c r="D52" s="115" t="s">
        <v>508</v>
      </c>
      <c r="E52" s="61">
        <f t="shared" si="3"/>
        <v>212970700</v>
      </c>
      <c r="F52" s="133">
        <f>212545700+425000</f>
        <v>212970700</v>
      </c>
      <c r="G52" s="133">
        <v>174217800</v>
      </c>
      <c r="H52" s="133"/>
      <c r="I52" s="133"/>
      <c r="J52" s="61">
        <f t="shared" si="4"/>
        <v>1529200</v>
      </c>
      <c r="K52" s="133"/>
      <c r="L52" s="133"/>
      <c r="M52" s="133"/>
      <c r="N52" s="133">
        <f>1529200</f>
        <v>1529200</v>
      </c>
      <c r="O52" s="133">
        <f>1529200</f>
        <v>1529200</v>
      </c>
      <c r="P52" s="134">
        <f t="shared" si="2"/>
        <v>214499900</v>
      </c>
    </row>
    <row r="53" spans="1:18" s="47" customFormat="1" ht="69">
      <c r="A53" s="42"/>
      <c r="B53" s="43"/>
      <c r="C53" s="44"/>
      <c r="D53" s="115" t="s">
        <v>536</v>
      </c>
      <c r="E53" s="61">
        <f t="shared" si="3"/>
        <v>886859</v>
      </c>
      <c r="F53" s="133">
        <v>886859</v>
      </c>
      <c r="G53" s="133">
        <v>693330</v>
      </c>
      <c r="H53" s="133"/>
      <c r="I53" s="133"/>
      <c r="J53" s="61">
        <f t="shared" si="4"/>
        <v>170462</v>
      </c>
      <c r="K53" s="133"/>
      <c r="L53" s="133"/>
      <c r="M53" s="133"/>
      <c r="N53" s="133">
        <v>170462</v>
      </c>
      <c r="O53" s="133">
        <v>170462</v>
      </c>
      <c r="P53" s="134">
        <f t="shared" si="2"/>
        <v>1057321</v>
      </c>
      <c r="R53" s="132"/>
    </row>
    <row r="54" spans="1:16" s="47" customFormat="1" ht="69">
      <c r="A54" s="42"/>
      <c r="B54" s="43"/>
      <c r="C54" s="44"/>
      <c r="D54" s="115" t="s">
        <v>537</v>
      </c>
      <c r="E54" s="61">
        <f t="shared" si="3"/>
        <v>134000</v>
      </c>
      <c r="F54" s="133">
        <f>576921+173079+375000-991000</f>
        <v>134000</v>
      </c>
      <c r="G54" s="133"/>
      <c r="H54" s="133"/>
      <c r="I54" s="133"/>
      <c r="J54" s="61">
        <f t="shared" si="4"/>
        <v>991000</v>
      </c>
      <c r="K54" s="133"/>
      <c r="L54" s="133"/>
      <c r="M54" s="133"/>
      <c r="N54" s="133">
        <v>991000</v>
      </c>
      <c r="O54" s="133">
        <v>991000</v>
      </c>
      <c r="P54" s="134">
        <f t="shared" si="2"/>
        <v>1125000</v>
      </c>
    </row>
    <row r="55" spans="1:16" s="47" customFormat="1" ht="60" customHeight="1">
      <c r="A55" s="42"/>
      <c r="B55" s="43"/>
      <c r="C55" s="44"/>
      <c r="D55" s="115" t="s">
        <v>544</v>
      </c>
      <c r="E55" s="61">
        <f t="shared" si="3"/>
        <v>2000</v>
      </c>
      <c r="F55" s="133">
        <v>2000</v>
      </c>
      <c r="G55" s="133"/>
      <c r="H55" s="133"/>
      <c r="I55" s="133"/>
      <c r="J55" s="61">
        <f t="shared" si="4"/>
        <v>12000</v>
      </c>
      <c r="K55" s="133"/>
      <c r="L55" s="133"/>
      <c r="M55" s="133"/>
      <c r="N55" s="133">
        <v>12000</v>
      </c>
      <c r="O55" s="133">
        <v>12000</v>
      </c>
      <c r="P55" s="134">
        <f t="shared" si="2"/>
        <v>14000</v>
      </c>
    </row>
    <row r="56" spans="1:16" s="47" customFormat="1" ht="77.25" customHeight="1">
      <c r="A56" s="42"/>
      <c r="B56" s="43"/>
      <c r="C56" s="44"/>
      <c r="D56" s="115" t="s">
        <v>558</v>
      </c>
      <c r="E56" s="61"/>
      <c r="F56" s="133"/>
      <c r="G56" s="133"/>
      <c r="H56" s="133"/>
      <c r="I56" s="133"/>
      <c r="J56" s="61">
        <f t="shared" si="4"/>
        <v>4600000</v>
      </c>
      <c r="K56" s="133"/>
      <c r="L56" s="133"/>
      <c r="M56" s="133"/>
      <c r="N56" s="133">
        <f>4100000+500000</f>
        <v>4600000</v>
      </c>
      <c r="O56" s="133">
        <f>4100000+500000</f>
        <v>4600000</v>
      </c>
      <c r="P56" s="134">
        <f t="shared" si="2"/>
        <v>4600000</v>
      </c>
    </row>
    <row r="57" spans="1:17" s="11" customFormat="1" ht="63" customHeight="1">
      <c r="A57" s="3" t="s">
        <v>55</v>
      </c>
      <c r="B57" s="5" t="s">
        <v>57</v>
      </c>
      <c r="C57" s="4" t="s">
        <v>56</v>
      </c>
      <c r="D57" s="73" t="s">
        <v>58</v>
      </c>
      <c r="E57" s="58">
        <f t="shared" si="3"/>
        <v>27907900</v>
      </c>
      <c r="F57" s="21">
        <f>25756200+12900+192307+152600+33100+182693+190000+1097500-375000+199800+472800-7000</f>
        <v>27907900</v>
      </c>
      <c r="G57" s="21">
        <f>14199900+11600+152600+897900+387500</f>
        <v>15649500</v>
      </c>
      <c r="H57" s="21">
        <v>3041200</v>
      </c>
      <c r="I57" s="21">
        <v>0</v>
      </c>
      <c r="J57" s="58">
        <f t="shared" si="4"/>
        <v>173179</v>
      </c>
      <c r="K57" s="21">
        <v>7000</v>
      </c>
      <c r="L57" s="21">
        <v>0</v>
      </c>
      <c r="M57" s="21">
        <v>0</v>
      </c>
      <c r="N57" s="21">
        <f>190000+63200-87021</f>
        <v>166179</v>
      </c>
      <c r="O57" s="21">
        <f>190000+63200-87021</f>
        <v>166179</v>
      </c>
      <c r="P57" s="20">
        <f t="shared" si="2"/>
        <v>28081079</v>
      </c>
      <c r="Q57" s="110"/>
    </row>
    <row r="58" spans="1:16" s="47" customFormat="1" ht="41.25">
      <c r="A58" s="42"/>
      <c r="B58" s="43"/>
      <c r="C58" s="44"/>
      <c r="D58" s="115" t="s">
        <v>508</v>
      </c>
      <c r="E58" s="61">
        <f t="shared" si="3"/>
        <v>14688900</v>
      </c>
      <c r="F58" s="133">
        <f>14676000+12900</f>
        <v>14688900</v>
      </c>
      <c r="G58" s="133">
        <f>12029500+10600</f>
        <v>12040100</v>
      </c>
      <c r="H58" s="133"/>
      <c r="I58" s="133"/>
      <c r="J58" s="61">
        <f t="shared" si="4"/>
        <v>190000</v>
      </c>
      <c r="K58" s="133"/>
      <c r="L58" s="133"/>
      <c r="M58" s="133"/>
      <c r="N58" s="133">
        <f>190000</f>
        <v>190000</v>
      </c>
      <c r="O58" s="133">
        <f>190000</f>
        <v>190000</v>
      </c>
      <c r="P58" s="134">
        <f t="shared" si="2"/>
        <v>14878900</v>
      </c>
    </row>
    <row r="59" spans="1:16" s="47" customFormat="1" ht="69">
      <c r="A59" s="42"/>
      <c r="B59" s="43"/>
      <c r="C59" s="44"/>
      <c r="D59" s="115" t="s">
        <v>537</v>
      </c>
      <c r="E59" s="61">
        <f t="shared" si="3"/>
        <v>0</v>
      </c>
      <c r="F59" s="133">
        <f>192307+182693-375000</f>
        <v>0</v>
      </c>
      <c r="G59" s="133"/>
      <c r="H59" s="133"/>
      <c r="I59" s="133"/>
      <c r="J59" s="61">
        <f t="shared" si="4"/>
        <v>0</v>
      </c>
      <c r="K59" s="133"/>
      <c r="L59" s="133"/>
      <c r="M59" s="133"/>
      <c r="N59" s="133"/>
      <c r="O59" s="133"/>
      <c r="P59" s="134">
        <f t="shared" si="2"/>
        <v>0</v>
      </c>
    </row>
    <row r="60" spans="1:16" s="47" customFormat="1" ht="13.5">
      <c r="A60" s="42"/>
      <c r="B60" s="43"/>
      <c r="C60" s="44"/>
      <c r="D60" s="115"/>
      <c r="E60" s="61"/>
      <c r="F60" s="133"/>
      <c r="G60" s="133"/>
      <c r="H60" s="133"/>
      <c r="I60" s="133"/>
      <c r="J60" s="61"/>
      <c r="K60" s="133"/>
      <c r="L60" s="133"/>
      <c r="M60" s="133"/>
      <c r="N60" s="133"/>
      <c r="O60" s="133"/>
      <c r="P60" s="134"/>
    </row>
    <row r="61" spans="1:17" s="11" customFormat="1" ht="57.75" customHeight="1">
      <c r="A61" s="3" t="s">
        <v>59</v>
      </c>
      <c r="B61" s="5" t="s">
        <v>61</v>
      </c>
      <c r="C61" s="4" t="s">
        <v>60</v>
      </c>
      <c r="D61" s="73" t="s">
        <v>62</v>
      </c>
      <c r="E61" s="58">
        <f t="shared" si="3"/>
        <v>19183657</v>
      </c>
      <c r="F61" s="21">
        <f>19083100+34000+112557+3000-49000</f>
        <v>19183657</v>
      </c>
      <c r="G61" s="21">
        <v>13373700</v>
      </c>
      <c r="H61" s="21">
        <v>2364000</v>
      </c>
      <c r="I61" s="21">
        <v>0</v>
      </c>
      <c r="J61" s="58">
        <f t="shared" si="4"/>
        <v>250000</v>
      </c>
      <c r="K61" s="21">
        <v>44000</v>
      </c>
      <c r="L61" s="21">
        <v>0</v>
      </c>
      <c r="M61" s="21">
        <v>2000</v>
      </c>
      <c r="N61" s="21">
        <f>66000+100000+40000</f>
        <v>206000</v>
      </c>
      <c r="O61" s="21">
        <f>66000+100000+40000</f>
        <v>206000</v>
      </c>
      <c r="P61" s="20">
        <f t="shared" si="2"/>
        <v>19433657</v>
      </c>
      <c r="Q61" s="110"/>
    </row>
    <row r="62" spans="1:16" s="47" customFormat="1" ht="36.75" customHeight="1">
      <c r="A62" s="42"/>
      <c r="B62" s="43"/>
      <c r="C62" s="44"/>
      <c r="D62" s="115" t="s">
        <v>507</v>
      </c>
      <c r="E62" s="61">
        <f t="shared" si="3"/>
        <v>924300</v>
      </c>
      <c r="F62" s="133">
        <v>924300</v>
      </c>
      <c r="G62" s="133">
        <v>757600</v>
      </c>
      <c r="H62" s="133"/>
      <c r="I62" s="133"/>
      <c r="J62" s="61">
        <f t="shared" si="4"/>
        <v>0</v>
      </c>
      <c r="K62" s="133"/>
      <c r="L62" s="133"/>
      <c r="M62" s="133"/>
      <c r="N62" s="133"/>
      <c r="O62" s="133"/>
      <c r="P62" s="134">
        <f t="shared" si="2"/>
        <v>924300</v>
      </c>
    </row>
    <row r="63" spans="1:17" s="11" customFormat="1" ht="41.25">
      <c r="A63" s="3" t="s">
        <v>63</v>
      </c>
      <c r="B63" s="5" t="s">
        <v>65</v>
      </c>
      <c r="C63" s="4" t="s">
        <v>64</v>
      </c>
      <c r="D63" s="73" t="s">
        <v>66</v>
      </c>
      <c r="E63" s="58">
        <f t="shared" si="3"/>
        <v>3977500</v>
      </c>
      <c r="F63" s="21">
        <f>4846700-548100-121100-200000</f>
        <v>3977500</v>
      </c>
      <c r="G63" s="21">
        <f>3246100-548100</f>
        <v>2698000</v>
      </c>
      <c r="H63" s="21">
        <v>237000</v>
      </c>
      <c r="I63" s="21">
        <v>0</v>
      </c>
      <c r="J63" s="58">
        <f t="shared" si="4"/>
        <v>151000</v>
      </c>
      <c r="K63" s="21">
        <v>106000</v>
      </c>
      <c r="L63" s="21">
        <v>3600</v>
      </c>
      <c r="M63" s="21">
        <v>12000</v>
      </c>
      <c r="N63" s="21">
        <v>45000</v>
      </c>
      <c r="O63" s="21">
        <v>0</v>
      </c>
      <c r="P63" s="20">
        <f t="shared" si="2"/>
        <v>4128500</v>
      </c>
      <c r="Q63" s="110"/>
    </row>
    <row r="64" spans="1:17" s="11" customFormat="1" ht="35.25" customHeight="1">
      <c r="A64" s="3" t="s">
        <v>67</v>
      </c>
      <c r="B64" s="5" t="s">
        <v>68</v>
      </c>
      <c r="C64" s="4" t="s">
        <v>64</v>
      </c>
      <c r="D64" s="73" t="s">
        <v>69</v>
      </c>
      <c r="E64" s="58">
        <f t="shared" si="3"/>
        <v>1884700</v>
      </c>
      <c r="F64" s="21">
        <f>2034700-150000</f>
        <v>1884700</v>
      </c>
      <c r="G64" s="21">
        <f>1344000-7400</f>
        <v>1336600</v>
      </c>
      <c r="H64" s="21">
        <v>90900</v>
      </c>
      <c r="I64" s="21">
        <v>0</v>
      </c>
      <c r="J64" s="58">
        <f t="shared" si="4"/>
        <v>0</v>
      </c>
      <c r="K64" s="21">
        <v>0</v>
      </c>
      <c r="L64" s="21">
        <v>0</v>
      </c>
      <c r="M64" s="21">
        <v>0</v>
      </c>
      <c r="N64" s="21">
        <v>0</v>
      </c>
      <c r="O64" s="21">
        <v>0</v>
      </c>
      <c r="P64" s="20">
        <f t="shared" si="2"/>
        <v>1884700</v>
      </c>
      <c r="Q64" s="110"/>
    </row>
    <row r="65" spans="1:17" s="11" customFormat="1" ht="33.75" customHeight="1">
      <c r="A65" s="3" t="s">
        <v>70</v>
      </c>
      <c r="B65" s="5" t="s">
        <v>71</v>
      </c>
      <c r="C65" s="4" t="s">
        <v>64</v>
      </c>
      <c r="D65" s="73" t="s">
        <v>72</v>
      </c>
      <c r="E65" s="58">
        <f t="shared" si="3"/>
        <v>1710100</v>
      </c>
      <c r="F65" s="21">
        <f>1760100-50000</f>
        <v>1710100</v>
      </c>
      <c r="G65" s="21">
        <f>938700-3100</f>
        <v>935600</v>
      </c>
      <c r="H65" s="21">
        <v>142700</v>
      </c>
      <c r="I65" s="21">
        <v>0</v>
      </c>
      <c r="J65" s="58">
        <f t="shared" si="4"/>
        <v>0</v>
      </c>
      <c r="K65" s="21">
        <v>0</v>
      </c>
      <c r="L65" s="21">
        <v>0</v>
      </c>
      <c r="M65" s="21">
        <v>0</v>
      </c>
      <c r="N65" s="21">
        <v>0</v>
      </c>
      <c r="O65" s="21">
        <v>0</v>
      </c>
      <c r="P65" s="20">
        <f t="shared" si="2"/>
        <v>1710100</v>
      </c>
      <c r="Q65" s="110"/>
    </row>
    <row r="66" spans="1:17" s="11" customFormat="1" ht="41.25">
      <c r="A66" s="3" t="s">
        <v>73</v>
      </c>
      <c r="B66" s="5" t="s">
        <v>74</v>
      </c>
      <c r="C66" s="4" t="s">
        <v>64</v>
      </c>
      <c r="D66" s="73" t="s">
        <v>75</v>
      </c>
      <c r="E66" s="58">
        <f t="shared" si="3"/>
        <v>126700</v>
      </c>
      <c r="F66" s="21">
        <v>126700</v>
      </c>
      <c r="G66" s="21">
        <v>0</v>
      </c>
      <c r="H66" s="21">
        <v>0</v>
      </c>
      <c r="I66" s="21">
        <v>0</v>
      </c>
      <c r="J66" s="58">
        <f t="shared" si="4"/>
        <v>0</v>
      </c>
      <c r="K66" s="21">
        <v>0</v>
      </c>
      <c r="L66" s="21">
        <v>0</v>
      </c>
      <c r="M66" s="21">
        <v>0</v>
      </c>
      <c r="N66" s="21">
        <v>0</v>
      </c>
      <c r="O66" s="21">
        <v>0</v>
      </c>
      <c r="P66" s="20">
        <f t="shared" si="2"/>
        <v>126700</v>
      </c>
      <c r="Q66" s="110"/>
    </row>
    <row r="67" spans="1:17" s="11" customFormat="1" ht="35.25" customHeight="1">
      <c r="A67" s="16" t="s">
        <v>76</v>
      </c>
      <c r="B67" s="17"/>
      <c r="C67" s="18"/>
      <c r="D67" s="74" t="s">
        <v>516</v>
      </c>
      <c r="E67" s="57">
        <f>F67+I67</f>
        <v>77300</v>
      </c>
      <c r="F67" s="19">
        <f>F68</f>
        <v>77300</v>
      </c>
      <c r="G67" s="19">
        <f>G68</f>
        <v>35900</v>
      </c>
      <c r="H67" s="19">
        <f>H68</f>
        <v>0</v>
      </c>
      <c r="I67" s="19">
        <f>I68</f>
        <v>0</v>
      </c>
      <c r="J67" s="57">
        <f>K67+N67</f>
        <v>0</v>
      </c>
      <c r="K67" s="19">
        <f>K68</f>
        <v>0</v>
      </c>
      <c r="L67" s="19">
        <f>L68</f>
        <v>0</v>
      </c>
      <c r="M67" s="19">
        <f>M68</f>
        <v>0</v>
      </c>
      <c r="N67" s="19">
        <f>N68</f>
        <v>0</v>
      </c>
      <c r="O67" s="19">
        <f>O68</f>
        <v>0</v>
      </c>
      <c r="P67" s="19">
        <f t="shared" si="2"/>
        <v>77300</v>
      </c>
      <c r="Q67" s="110"/>
    </row>
    <row r="68" spans="1:16" s="11" customFormat="1" ht="48.75" customHeight="1">
      <c r="A68" s="22" t="s">
        <v>77</v>
      </c>
      <c r="B68" s="23" t="s">
        <v>78</v>
      </c>
      <c r="C68" s="24" t="s">
        <v>57</v>
      </c>
      <c r="D68" s="75" t="s">
        <v>79</v>
      </c>
      <c r="E68" s="59">
        <f t="shared" si="3"/>
        <v>77300</v>
      </c>
      <c r="F68" s="26">
        <f>59000+18300</f>
        <v>77300</v>
      </c>
      <c r="G68" s="26">
        <f>20900+15000</f>
        <v>35900</v>
      </c>
      <c r="H68" s="26">
        <v>0</v>
      </c>
      <c r="I68" s="26">
        <v>0</v>
      </c>
      <c r="J68" s="59">
        <f t="shared" si="4"/>
        <v>0</v>
      </c>
      <c r="K68" s="26">
        <v>0</v>
      </c>
      <c r="L68" s="26">
        <v>0</v>
      </c>
      <c r="M68" s="26">
        <v>0</v>
      </c>
      <c r="N68" s="26">
        <v>0</v>
      </c>
      <c r="O68" s="26">
        <v>0</v>
      </c>
      <c r="P68" s="25">
        <f t="shared" si="2"/>
        <v>77300</v>
      </c>
    </row>
    <row r="69" spans="1:17" s="11" customFormat="1" ht="69">
      <c r="A69" s="3" t="s">
        <v>80</v>
      </c>
      <c r="B69" s="5" t="s">
        <v>81</v>
      </c>
      <c r="C69" s="4" t="s">
        <v>57</v>
      </c>
      <c r="D69" s="73" t="s">
        <v>82</v>
      </c>
      <c r="E69" s="58">
        <f t="shared" si="3"/>
        <v>4092100</v>
      </c>
      <c r="F69" s="21">
        <f>3752100+340000</f>
        <v>4092100</v>
      </c>
      <c r="G69" s="21">
        <v>0</v>
      </c>
      <c r="H69" s="21">
        <v>0</v>
      </c>
      <c r="I69" s="21">
        <v>0</v>
      </c>
      <c r="J69" s="58">
        <f t="shared" si="4"/>
        <v>450000</v>
      </c>
      <c r="K69" s="21">
        <v>450000</v>
      </c>
      <c r="L69" s="21">
        <v>0</v>
      </c>
      <c r="M69" s="21">
        <v>0</v>
      </c>
      <c r="N69" s="21">
        <v>0</v>
      </c>
      <c r="O69" s="21">
        <v>0</v>
      </c>
      <c r="P69" s="20">
        <f t="shared" si="2"/>
        <v>4542100</v>
      </c>
      <c r="Q69" s="110"/>
    </row>
    <row r="70" spans="1:17" s="11" customFormat="1" ht="13.5">
      <c r="A70" s="3" t="s">
        <v>83</v>
      </c>
      <c r="B70" s="5" t="s">
        <v>84</v>
      </c>
      <c r="C70" s="4" t="s">
        <v>57</v>
      </c>
      <c r="D70" s="73" t="s">
        <v>33</v>
      </c>
      <c r="E70" s="58">
        <f t="shared" si="3"/>
        <v>375900</v>
      </c>
      <c r="F70" s="21">
        <v>375900</v>
      </c>
      <c r="G70" s="21">
        <v>0</v>
      </c>
      <c r="H70" s="21">
        <v>0</v>
      </c>
      <c r="I70" s="21">
        <v>0</v>
      </c>
      <c r="J70" s="58">
        <f t="shared" si="4"/>
        <v>0</v>
      </c>
      <c r="K70" s="21">
        <v>0</v>
      </c>
      <c r="L70" s="21">
        <v>0</v>
      </c>
      <c r="M70" s="21">
        <v>0</v>
      </c>
      <c r="N70" s="21">
        <v>0</v>
      </c>
      <c r="O70" s="21">
        <v>0</v>
      </c>
      <c r="P70" s="20">
        <f t="shared" si="2"/>
        <v>375900</v>
      </c>
      <c r="Q70" s="110"/>
    </row>
    <row r="71" spans="1:17" s="11" customFormat="1" ht="13.5">
      <c r="A71" s="3" t="s">
        <v>85</v>
      </c>
      <c r="B71" s="5" t="s">
        <v>87</v>
      </c>
      <c r="C71" s="4" t="s">
        <v>86</v>
      </c>
      <c r="D71" s="73" t="s">
        <v>88</v>
      </c>
      <c r="E71" s="58">
        <f t="shared" si="3"/>
        <v>19671500</v>
      </c>
      <c r="F71" s="21">
        <f>18191300+507200+73000+880000+20000</f>
        <v>19671500</v>
      </c>
      <c r="G71" s="21">
        <v>0</v>
      </c>
      <c r="H71" s="21">
        <v>0</v>
      </c>
      <c r="I71" s="21">
        <v>0</v>
      </c>
      <c r="J71" s="58">
        <f t="shared" si="4"/>
        <v>1937000</v>
      </c>
      <c r="K71" s="21">
        <v>0</v>
      </c>
      <c r="L71" s="21">
        <v>0</v>
      </c>
      <c r="M71" s="21">
        <v>0</v>
      </c>
      <c r="N71" s="21">
        <f>703000+1234000</f>
        <v>1937000</v>
      </c>
      <c r="O71" s="21">
        <f>703000+1234000</f>
        <v>1937000</v>
      </c>
      <c r="P71" s="20">
        <f t="shared" si="2"/>
        <v>21608500</v>
      </c>
      <c r="Q71" s="110"/>
    </row>
    <row r="72" spans="1:17" s="11" customFormat="1" ht="45" customHeight="1">
      <c r="A72" s="3" t="s">
        <v>89</v>
      </c>
      <c r="B72" s="5" t="s">
        <v>91</v>
      </c>
      <c r="C72" s="4" t="s">
        <v>90</v>
      </c>
      <c r="D72" s="73" t="s">
        <v>92</v>
      </c>
      <c r="E72" s="58">
        <f t="shared" si="3"/>
        <v>998200</v>
      </c>
      <c r="F72" s="21">
        <f>747200+500000-500000+500000-249000</f>
        <v>998200</v>
      </c>
      <c r="G72" s="21">
        <v>0</v>
      </c>
      <c r="H72" s="21">
        <v>0</v>
      </c>
      <c r="I72" s="21">
        <v>0</v>
      </c>
      <c r="J72" s="58">
        <f t="shared" si="4"/>
        <v>0</v>
      </c>
      <c r="K72" s="21">
        <v>0</v>
      </c>
      <c r="L72" s="21">
        <v>0</v>
      </c>
      <c r="M72" s="21">
        <v>0</v>
      </c>
      <c r="N72" s="21">
        <v>0</v>
      </c>
      <c r="O72" s="21">
        <v>0</v>
      </c>
      <c r="P72" s="20">
        <f t="shared" si="2"/>
        <v>998200</v>
      </c>
      <c r="Q72" s="110"/>
    </row>
    <row r="73" spans="1:17" s="11" customFormat="1" ht="13.5">
      <c r="A73" s="3" t="s">
        <v>93</v>
      </c>
      <c r="B73" s="5" t="s">
        <v>95</v>
      </c>
      <c r="C73" s="4" t="s">
        <v>94</v>
      </c>
      <c r="D73" s="73" t="s">
        <v>96</v>
      </c>
      <c r="E73" s="58">
        <f t="shared" si="3"/>
        <v>5163200</v>
      </c>
      <c r="F73" s="21">
        <f>5144760+7800+10640</f>
        <v>5163200</v>
      </c>
      <c r="G73" s="21">
        <v>3308700</v>
      </c>
      <c r="H73" s="21">
        <v>565100</v>
      </c>
      <c r="I73" s="21">
        <v>0</v>
      </c>
      <c r="J73" s="58">
        <f t="shared" si="4"/>
        <v>50000</v>
      </c>
      <c r="K73" s="21">
        <v>0</v>
      </c>
      <c r="L73" s="21">
        <v>0</v>
      </c>
      <c r="M73" s="21">
        <v>0</v>
      </c>
      <c r="N73" s="21">
        <f>50000</f>
        <v>50000</v>
      </c>
      <c r="O73" s="21">
        <f>50000</f>
        <v>50000</v>
      </c>
      <c r="P73" s="20">
        <f t="shared" si="2"/>
        <v>5213200</v>
      </c>
      <c r="Q73" s="110"/>
    </row>
    <row r="74" spans="1:17" s="11" customFormat="1" ht="13.5">
      <c r="A74" s="3" t="s">
        <v>97</v>
      </c>
      <c r="B74" s="5" t="s">
        <v>98</v>
      </c>
      <c r="C74" s="4" t="s">
        <v>94</v>
      </c>
      <c r="D74" s="73" t="s">
        <v>99</v>
      </c>
      <c r="E74" s="58">
        <f t="shared" si="3"/>
        <v>2992870</v>
      </c>
      <c r="F74" s="21">
        <v>2992870</v>
      </c>
      <c r="G74" s="21">
        <v>1515000</v>
      </c>
      <c r="H74" s="21">
        <v>359300</v>
      </c>
      <c r="I74" s="21">
        <v>0</v>
      </c>
      <c r="J74" s="58">
        <f t="shared" si="4"/>
        <v>210000</v>
      </c>
      <c r="K74" s="21">
        <v>60000</v>
      </c>
      <c r="L74" s="21">
        <v>1000</v>
      </c>
      <c r="M74" s="21">
        <v>1100</v>
      </c>
      <c r="N74" s="21">
        <v>150000</v>
      </c>
      <c r="O74" s="21">
        <v>140000</v>
      </c>
      <c r="P74" s="20">
        <f t="shared" si="2"/>
        <v>3202870</v>
      </c>
      <c r="Q74" s="110"/>
    </row>
    <row r="75" spans="1:17" s="11" customFormat="1" ht="13.5">
      <c r="A75" s="3" t="s">
        <v>100</v>
      </c>
      <c r="B75" s="5" t="s">
        <v>101</v>
      </c>
      <c r="C75" s="4" t="s">
        <v>60</v>
      </c>
      <c r="D75" s="73" t="s">
        <v>102</v>
      </c>
      <c r="E75" s="58">
        <f t="shared" si="3"/>
        <v>20914440</v>
      </c>
      <c r="F75" s="21">
        <f>20963370-48930</f>
        <v>20914440</v>
      </c>
      <c r="G75" s="21">
        <v>15121200</v>
      </c>
      <c r="H75" s="21">
        <v>1843200</v>
      </c>
      <c r="I75" s="21">
        <v>0</v>
      </c>
      <c r="J75" s="58">
        <f t="shared" si="4"/>
        <v>2005030</v>
      </c>
      <c r="K75" s="21">
        <v>1466800</v>
      </c>
      <c r="L75" s="21">
        <v>600000</v>
      </c>
      <c r="M75" s="21">
        <v>2800</v>
      </c>
      <c r="N75" s="21">
        <f>489300+48930</f>
        <v>538230</v>
      </c>
      <c r="O75" s="21">
        <f>225000+48930</f>
        <v>273930</v>
      </c>
      <c r="P75" s="20">
        <f t="shared" si="2"/>
        <v>22919470</v>
      </c>
      <c r="Q75" s="110"/>
    </row>
    <row r="76" spans="1:17" s="11" customFormat="1" ht="13.5">
      <c r="A76" s="16" t="s">
        <v>103</v>
      </c>
      <c r="B76" s="17"/>
      <c r="C76" s="18"/>
      <c r="D76" s="74" t="s">
        <v>104</v>
      </c>
      <c r="E76" s="57">
        <f>F76+I76</f>
        <v>513100</v>
      </c>
      <c r="F76" s="19">
        <f>F77+F78</f>
        <v>513100</v>
      </c>
      <c r="G76" s="19">
        <f>G77+G78</f>
        <v>0</v>
      </c>
      <c r="H76" s="19">
        <f>H77+H78</f>
        <v>0</v>
      </c>
      <c r="I76" s="19">
        <f>I77+I78</f>
        <v>0</v>
      </c>
      <c r="J76" s="57">
        <f>K76+N76</f>
        <v>0</v>
      </c>
      <c r="K76" s="19">
        <f>K77+K78</f>
        <v>0</v>
      </c>
      <c r="L76" s="19">
        <f>L77+L78</f>
        <v>0</v>
      </c>
      <c r="M76" s="19">
        <f>M77+M78</f>
        <v>0</v>
      </c>
      <c r="N76" s="19">
        <f>N77+N78</f>
        <v>0</v>
      </c>
      <c r="O76" s="19">
        <f>O77+O78</f>
        <v>0</v>
      </c>
      <c r="P76" s="19">
        <f>E76+J76</f>
        <v>513100</v>
      </c>
      <c r="Q76" s="110"/>
    </row>
    <row r="77" spans="1:16" s="11" customFormat="1" ht="27">
      <c r="A77" s="22" t="s">
        <v>105</v>
      </c>
      <c r="B77" s="23" t="s">
        <v>107</v>
      </c>
      <c r="C77" s="24" t="s">
        <v>106</v>
      </c>
      <c r="D77" s="75" t="s">
        <v>108</v>
      </c>
      <c r="E77" s="59">
        <f>F77+I77</f>
        <v>295200</v>
      </c>
      <c r="F77" s="26">
        <f>313500-18300</f>
        <v>295200</v>
      </c>
      <c r="G77" s="26">
        <v>0</v>
      </c>
      <c r="H77" s="26">
        <v>0</v>
      </c>
      <c r="I77" s="26">
        <v>0</v>
      </c>
      <c r="J77" s="59">
        <f>K77+N77</f>
        <v>0</v>
      </c>
      <c r="K77" s="26">
        <v>0</v>
      </c>
      <c r="L77" s="26">
        <v>0</v>
      </c>
      <c r="M77" s="26">
        <v>0</v>
      </c>
      <c r="N77" s="26">
        <v>0</v>
      </c>
      <c r="O77" s="26">
        <v>0</v>
      </c>
      <c r="P77" s="25">
        <f t="shared" si="2"/>
        <v>295200</v>
      </c>
    </row>
    <row r="78" spans="1:16" s="11" customFormat="1" ht="27">
      <c r="A78" s="22" t="s">
        <v>109</v>
      </c>
      <c r="B78" s="23" t="s">
        <v>110</v>
      </c>
      <c r="C78" s="24" t="s">
        <v>106</v>
      </c>
      <c r="D78" s="75" t="s">
        <v>111</v>
      </c>
      <c r="E78" s="59">
        <f>F78+I78</f>
        <v>217900</v>
      </c>
      <c r="F78" s="26">
        <v>217900</v>
      </c>
      <c r="G78" s="26">
        <v>0</v>
      </c>
      <c r="H78" s="26">
        <v>0</v>
      </c>
      <c r="I78" s="26">
        <v>0</v>
      </c>
      <c r="J78" s="59">
        <f>K78+N78</f>
        <v>0</v>
      </c>
      <c r="K78" s="26">
        <v>0</v>
      </c>
      <c r="L78" s="26">
        <v>0</v>
      </c>
      <c r="M78" s="26">
        <v>0</v>
      </c>
      <c r="N78" s="26">
        <v>0</v>
      </c>
      <c r="O78" s="26">
        <v>0</v>
      </c>
      <c r="P78" s="25">
        <f t="shared" si="2"/>
        <v>217900</v>
      </c>
    </row>
    <row r="79" spans="1:17" s="11" customFormat="1" ht="27">
      <c r="A79" s="16" t="s">
        <v>112</v>
      </c>
      <c r="B79" s="17"/>
      <c r="C79" s="18"/>
      <c r="D79" s="74" t="s">
        <v>113</v>
      </c>
      <c r="E79" s="57">
        <f>F79+I79</f>
        <v>324800</v>
      </c>
      <c r="F79" s="19">
        <f>F80+F81</f>
        <v>324800</v>
      </c>
      <c r="G79" s="19">
        <f>G80+G81</f>
        <v>239700</v>
      </c>
      <c r="H79" s="19">
        <f>H80+H81</f>
        <v>6200</v>
      </c>
      <c r="I79" s="19">
        <f>I80+I81</f>
        <v>0</v>
      </c>
      <c r="J79" s="57">
        <f>K79+N79</f>
        <v>0</v>
      </c>
      <c r="K79" s="19">
        <f>K80+K81</f>
        <v>0</v>
      </c>
      <c r="L79" s="19">
        <f>L80+L81</f>
        <v>0</v>
      </c>
      <c r="M79" s="19">
        <f>M80+M81</f>
        <v>0</v>
      </c>
      <c r="N79" s="19">
        <f>N80+N81</f>
        <v>0</v>
      </c>
      <c r="O79" s="19">
        <f>O80+O81</f>
        <v>0</v>
      </c>
      <c r="P79" s="19">
        <f>E79+J79</f>
        <v>324800</v>
      </c>
      <c r="Q79" s="110"/>
    </row>
    <row r="80" spans="1:16" s="11" customFormat="1" ht="27">
      <c r="A80" s="22" t="s">
        <v>114</v>
      </c>
      <c r="B80" s="23" t="s">
        <v>115</v>
      </c>
      <c r="C80" s="24" t="s">
        <v>106</v>
      </c>
      <c r="D80" s="75" t="s">
        <v>116</v>
      </c>
      <c r="E80" s="59">
        <f>F80+I80</f>
        <v>302000</v>
      </c>
      <c r="F80" s="26">
        <v>302000</v>
      </c>
      <c r="G80" s="26">
        <v>239700</v>
      </c>
      <c r="H80" s="26">
        <v>6200</v>
      </c>
      <c r="I80" s="26">
        <v>0</v>
      </c>
      <c r="J80" s="59">
        <f>K80+N80</f>
        <v>0</v>
      </c>
      <c r="K80" s="26">
        <v>0</v>
      </c>
      <c r="L80" s="26">
        <v>0</v>
      </c>
      <c r="M80" s="26">
        <v>0</v>
      </c>
      <c r="N80" s="26">
        <v>0</v>
      </c>
      <c r="O80" s="26">
        <v>0</v>
      </c>
      <c r="P80" s="25">
        <f t="shared" si="2"/>
        <v>302000</v>
      </c>
    </row>
    <row r="81" spans="1:16" s="11" customFormat="1" ht="27">
      <c r="A81" s="22" t="s">
        <v>117</v>
      </c>
      <c r="B81" s="23" t="s">
        <v>118</v>
      </c>
      <c r="C81" s="24" t="s">
        <v>106</v>
      </c>
      <c r="D81" s="75" t="s">
        <v>119</v>
      </c>
      <c r="E81" s="59">
        <f aca="true" t="shared" si="6" ref="E81:E91">F81+I81</f>
        <v>22800</v>
      </c>
      <c r="F81" s="26">
        <v>22800</v>
      </c>
      <c r="G81" s="26">
        <v>0</v>
      </c>
      <c r="H81" s="26">
        <v>0</v>
      </c>
      <c r="I81" s="26">
        <v>0</v>
      </c>
      <c r="J81" s="59">
        <f aca="true" t="shared" si="7" ref="J81:J113">K81+N81</f>
        <v>0</v>
      </c>
      <c r="K81" s="26">
        <v>0</v>
      </c>
      <c r="L81" s="26">
        <v>0</v>
      </c>
      <c r="M81" s="26">
        <v>0</v>
      </c>
      <c r="N81" s="26">
        <v>0</v>
      </c>
      <c r="O81" s="26">
        <v>0</v>
      </c>
      <c r="P81" s="25">
        <f t="shared" si="2"/>
        <v>22800</v>
      </c>
    </row>
    <row r="82" spans="1:17" s="11" customFormat="1" ht="27">
      <c r="A82" s="16" t="s">
        <v>120</v>
      </c>
      <c r="B82" s="17"/>
      <c r="C82" s="18"/>
      <c r="D82" s="74" t="s">
        <v>121</v>
      </c>
      <c r="E82" s="57">
        <f>F82+I82</f>
        <v>15687430</v>
      </c>
      <c r="F82" s="19">
        <f>F83+F84</f>
        <v>15687430</v>
      </c>
      <c r="G82" s="19">
        <f>G83+G84</f>
        <v>9521600</v>
      </c>
      <c r="H82" s="19">
        <f>H83+H84</f>
        <v>1669600</v>
      </c>
      <c r="I82" s="19">
        <f>I83+I84</f>
        <v>0</v>
      </c>
      <c r="J82" s="57">
        <f>K82+N82</f>
        <v>114000</v>
      </c>
      <c r="K82" s="19">
        <f>K83+K84</f>
        <v>104000</v>
      </c>
      <c r="L82" s="19">
        <f>L83+L84</f>
        <v>0</v>
      </c>
      <c r="M82" s="19">
        <f>M83+M84</f>
        <v>30700</v>
      </c>
      <c r="N82" s="19">
        <f>N83+N84</f>
        <v>10000</v>
      </c>
      <c r="O82" s="19">
        <f>O83+O84</f>
        <v>10000</v>
      </c>
      <c r="P82" s="19">
        <f>E82+J82</f>
        <v>15801430</v>
      </c>
      <c r="Q82" s="110"/>
    </row>
    <row r="83" spans="1:16" s="11" customFormat="1" ht="41.25">
      <c r="A83" s="22" t="s">
        <v>122</v>
      </c>
      <c r="B83" s="23" t="s">
        <v>123</v>
      </c>
      <c r="C83" s="24" t="s">
        <v>106</v>
      </c>
      <c r="D83" s="75" t="s">
        <v>124</v>
      </c>
      <c r="E83" s="59">
        <f>F83+I83</f>
        <v>14092630</v>
      </c>
      <c r="F83" s="26">
        <f>13928800+540000+23830-400000</f>
        <v>14092630</v>
      </c>
      <c r="G83" s="26">
        <v>9521600</v>
      </c>
      <c r="H83" s="26">
        <v>1669600</v>
      </c>
      <c r="I83" s="26">
        <v>0</v>
      </c>
      <c r="J83" s="59">
        <f>K83+N83</f>
        <v>114000</v>
      </c>
      <c r="K83" s="26">
        <v>104000</v>
      </c>
      <c r="L83" s="26">
        <v>0</v>
      </c>
      <c r="M83" s="26">
        <v>30700</v>
      </c>
      <c r="N83" s="26">
        <v>10000</v>
      </c>
      <c r="O83" s="26">
        <v>10000</v>
      </c>
      <c r="P83" s="25">
        <f t="shared" si="2"/>
        <v>14206630</v>
      </c>
    </row>
    <row r="84" spans="1:16" s="11" customFormat="1" ht="41.25">
      <c r="A84" s="22" t="s">
        <v>125</v>
      </c>
      <c r="B84" s="23" t="s">
        <v>126</v>
      </c>
      <c r="C84" s="24" t="s">
        <v>106</v>
      </c>
      <c r="D84" s="75" t="s">
        <v>127</v>
      </c>
      <c r="E84" s="59">
        <f t="shared" si="6"/>
        <v>1594800</v>
      </c>
      <c r="F84" s="26">
        <v>1594800</v>
      </c>
      <c r="G84" s="26">
        <v>0</v>
      </c>
      <c r="H84" s="26">
        <v>0</v>
      </c>
      <c r="I84" s="26">
        <v>0</v>
      </c>
      <c r="J84" s="59">
        <f t="shared" si="7"/>
        <v>0</v>
      </c>
      <c r="K84" s="26">
        <v>0</v>
      </c>
      <c r="L84" s="26">
        <v>0</v>
      </c>
      <c r="M84" s="26">
        <v>0</v>
      </c>
      <c r="N84" s="26">
        <v>0</v>
      </c>
      <c r="O84" s="26">
        <v>0</v>
      </c>
      <c r="P84" s="25">
        <f t="shared" si="2"/>
        <v>1594800</v>
      </c>
    </row>
    <row r="85" spans="1:17" s="11" customFormat="1" ht="33.75" customHeight="1">
      <c r="A85" s="16" t="s">
        <v>128</v>
      </c>
      <c r="B85" s="17"/>
      <c r="C85" s="18"/>
      <c r="D85" s="74" t="s">
        <v>129</v>
      </c>
      <c r="E85" s="57">
        <f>F85+I85</f>
        <v>6488200</v>
      </c>
      <c r="F85" s="19">
        <f>F86</f>
        <v>6488200</v>
      </c>
      <c r="G85" s="19">
        <f>G86</f>
        <v>0</v>
      </c>
      <c r="H85" s="19">
        <f>H86</f>
        <v>0</v>
      </c>
      <c r="I85" s="19">
        <f>I86</f>
        <v>0</v>
      </c>
      <c r="J85" s="57">
        <f>K85+N85</f>
        <v>0</v>
      </c>
      <c r="K85" s="19">
        <f>K86</f>
        <v>0</v>
      </c>
      <c r="L85" s="19">
        <f>L86</f>
        <v>0</v>
      </c>
      <c r="M85" s="19">
        <f>M86</f>
        <v>0</v>
      </c>
      <c r="N85" s="19">
        <f>N86</f>
        <v>0</v>
      </c>
      <c r="O85" s="19">
        <f>O86</f>
        <v>0</v>
      </c>
      <c r="P85" s="19">
        <f t="shared" si="2"/>
        <v>6488200</v>
      </c>
      <c r="Q85" s="110"/>
    </row>
    <row r="86" spans="1:16" s="11" customFormat="1" ht="33.75" customHeight="1">
      <c r="A86" s="22" t="s">
        <v>130</v>
      </c>
      <c r="B86" s="23" t="s">
        <v>131</v>
      </c>
      <c r="C86" s="24" t="s">
        <v>106</v>
      </c>
      <c r="D86" s="75" t="s">
        <v>132</v>
      </c>
      <c r="E86" s="59">
        <f t="shared" si="6"/>
        <v>6488200</v>
      </c>
      <c r="F86" s="26">
        <f>6416700+70000+1500</f>
        <v>6488200</v>
      </c>
      <c r="G86" s="26">
        <v>0</v>
      </c>
      <c r="H86" s="26">
        <v>0</v>
      </c>
      <c r="I86" s="26">
        <v>0</v>
      </c>
      <c r="J86" s="59">
        <f t="shared" si="7"/>
        <v>0</v>
      </c>
      <c r="K86" s="26">
        <v>0</v>
      </c>
      <c r="L86" s="26">
        <v>0</v>
      </c>
      <c r="M86" s="26">
        <v>0</v>
      </c>
      <c r="N86" s="26">
        <v>0</v>
      </c>
      <c r="O86" s="26">
        <v>0</v>
      </c>
      <c r="P86" s="25">
        <f t="shared" si="2"/>
        <v>6488200</v>
      </c>
    </row>
    <row r="87" spans="1:17" s="11" customFormat="1" ht="27">
      <c r="A87" s="16" t="s">
        <v>133</v>
      </c>
      <c r="B87" s="17"/>
      <c r="C87" s="18"/>
      <c r="D87" s="74" t="s">
        <v>134</v>
      </c>
      <c r="E87" s="57">
        <f>F87+I87</f>
        <v>99600</v>
      </c>
      <c r="F87" s="19">
        <f>F88</f>
        <v>99600</v>
      </c>
      <c r="G87" s="19">
        <f>G88</f>
        <v>0</v>
      </c>
      <c r="H87" s="19">
        <f>H88</f>
        <v>0</v>
      </c>
      <c r="I87" s="19">
        <f>I88</f>
        <v>0</v>
      </c>
      <c r="J87" s="57">
        <f>K87+N87</f>
        <v>0</v>
      </c>
      <c r="K87" s="19">
        <f>K88</f>
        <v>0</v>
      </c>
      <c r="L87" s="19">
        <f>L88</f>
        <v>0</v>
      </c>
      <c r="M87" s="19">
        <f>M88</f>
        <v>0</v>
      </c>
      <c r="N87" s="19">
        <f>N88</f>
        <v>0</v>
      </c>
      <c r="O87" s="19">
        <f>O88</f>
        <v>0</v>
      </c>
      <c r="P87" s="19">
        <f>E87+J87</f>
        <v>99600</v>
      </c>
      <c r="Q87" s="110"/>
    </row>
    <row r="88" spans="1:16" s="11" customFormat="1" ht="61.5" customHeight="1">
      <c r="A88" s="22" t="s">
        <v>135</v>
      </c>
      <c r="B88" s="23" t="s">
        <v>136</v>
      </c>
      <c r="C88" s="24" t="s">
        <v>106</v>
      </c>
      <c r="D88" s="75" t="s">
        <v>137</v>
      </c>
      <c r="E88" s="59">
        <f>F88+I88</f>
        <v>99600</v>
      </c>
      <c r="F88" s="26">
        <v>99600</v>
      </c>
      <c r="G88" s="26">
        <v>0</v>
      </c>
      <c r="H88" s="26">
        <v>0</v>
      </c>
      <c r="I88" s="26">
        <v>0</v>
      </c>
      <c r="J88" s="59">
        <f>K88+N88</f>
        <v>0</v>
      </c>
      <c r="K88" s="26">
        <v>0</v>
      </c>
      <c r="L88" s="26">
        <v>0</v>
      </c>
      <c r="M88" s="26">
        <v>0</v>
      </c>
      <c r="N88" s="26">
        <v>0</v>
      </c>
      <c r="O88" s="26">
        <v>0</v>
      </c>
      <c r="P88" s="25">
        <f t="shared" si="2"/>
        <v>99600</v>
      </c>
    </row>
    <row r="89" spans="1:17" s="11" customFormat="1" ht="27">
      <c r="A89" s="16" t="s">
        <v>138</v>
      </c>
      <c r="B89" s="17"/>
      <c r="C89" s="18"/>
      <c r="D89" s="74" t="s">
        <v>139</v>
      </c>
      <c r="E89" s="57">
        <f>F89+I89</f>
        <v>2280900</v>
      </c>
      <c r="F89" s="19">
        <f>F90+F91</f>
        <v>2280900</v>
      </c>
      <c r="G89" s="19">
        <f>G90+G91</f>
        <v>224400</v>
      </c>
      <c r="H89" s="19">
        <f>H90+H91</f>
        <v>35800</v>
      </c>
      <c r="I89" s="19">
        <f>I90+I91</f>
        <v>0</v>
      </c>
      <c r="J89" s="57">
        <f>K89+N89</f>
        <v>0</v>
      </c>
      <c r="K89" s="19">
        <f>K90+K91</f>
        <v>0</v>
      </c>
      <c r="L89" s="19">
        <f>L90+L91</f>
        <v>0</v>
      </c>
      <c r="M89" s="19">
        <f>M90+M91</f>
        <v>0</v>
      </c>
      <c r="N89" s="19">
        <f>N90+N91</f>
        <v>0</v>
      </c>
      <c r="O89" s="19">
        <f>O90+O91</f>
        <v>0</v>
      </c>
      <c r="P89" s="19">
        <f>E89+J89</f>
        <v>2280900</v>
      </c>
      <c r="Q89" s="110"/>
    </row>
    <row r="90" spans="1:16" s="11" customFormat="1" ht="54.75">
      <c r="A90" s="22" t="s">
        <v>140</v>
      </c>
      <c r="B90" s="23" t="s">
        <v>141</v>
      </c>
      <c r="C90" s="24" t="s">
        <v>106</v>
      </c>
      <c r="D90" s="75" t="s">
        <v>142</v>
      </c>
      <c r="E90" s="59">
        <f t="shared" si="6"/>
        <v>1582600</v>
      </c>
      <c r="F90" s="26">
        <v>1582600</v>
      </c>
      <c r="G90" s="26">
        <v>224400</v>
      </c>
      <c r="H90" s="26">
        <v>35800</v>
      </c>
      <c r="I90" s="26">
        <v>0</v>
      </c>
      <c r="J90" s="59">
        <f t="shared" si="7"/>
        <v>0</v>
      </c>
      <c r="K90" s="26">
        <v>0</v>
      </c>
      <c r="L90" s="26">
        <v>0</v>
      </c>
      <c r="M90" s="26">
        <v>0</v>
      </c>
      <c r="N90" s="26">
        <v>0</v>
      </c>
      <c r="O90" s="26">
        <v>0</v>
      </c>
      <c r="P90" s="25">
        <f t="shared" si="2"/>
        <v>1582600</v>
      </c>
    </row>
    <row r="91" spans="1:16" s="11" customFormat="1" ht="41.25">
      <c r="A91" s="22" t="s">
        <v>143</v>
      </c>
      <c r="B91" s="23" t="s">
        <v>144</v>
      </c>
      <c r="C91" s="24" t="s">
        <v>106</v>
      </c>
      <c r="D91" s="75" t="s">
        <v>145</v>
      </c>
      <c r="E91" s="59">
        <f t="shared" si="6"/>
        <v>698300</v>
      </c>
      <c r="F91" s="26">
        <v>698300</v>
      </c>
      <c r="G91" s="26">
        <v>0</v>
      </c>
      <c r="H91" s="26">
        <v>0</v>
      </c>
      <c r="I91" s="26">
        <v>0</v>
      </c>
      <c r="J91" s="59">
        <f t="shared" si="7"/>
        <v>0</v>
      </c>
      <c r="K91" s="26">
        <v>0</v>
      </c>
      <c r="L91" s="26">
        <v>0</v>
      </c>
      <c r="M91" s="26">
        <v>0</v>
      </c>
      <c r="N91" s="26">
        <v>0</v>
      </c>
      <c r="O91" s="26">
        <v>0</v>
      </c>
      <c r="P91" s="25">
        <f t="shared" si="2"/>
        <v>698300</v>
      </c>
    </row>
    <row r="92" spans="1:17" s="53" customFormat="1" ht="59.25" customHeight="1">
      <c r="A92" s="3">
        <v>1016350</v>
      </c>
      <c r="B92" s="5">
        <v>6350</v>
      </c>
      <c r="C92" s="4" t="s">
        <v>60</v>
      </c>
      <c r="D92" s="73" t="s">
        <v>336</v>
      </c>
      <c r="E92" s="58">
        <f aca="true" t="shared" si="8" ref="E92:E97">F92+I92</f>
        <v>0</v>
      </c>
      <c r="F92" s="21"/>
      <c r="G92" s="21"/>
      <c r="H92" s="21"/>
      <c r="I92" s="21"/>
      <c r="J92" s="58">
        <f t="shared" si="7"/>
        <v>246876</v>
      </c>
      <c r="K92" s="21"/>
      <c r="L92" s="21"/>
      <c r="M92" s="21"/>
      <c r="N92" s="21">
        <f>200000+246876-200000</f>
        <v>246876</v>
      </c>
      <c r="O92" s="21">
        <f>200000+246876-200000</f>
        <v>246876</v>
      </c>
      <c r="P92" s="20">
        <f>E92+J92</f>
        <v>246876</v>
      </c>
      <c r="Q92" s="121"/>
    </row>
    <row r="93" spans="1:17" s="11" customFormat="1" ht="33" customHeight="1">
      <c r="A93" s="3" t="s">
        <v>146</v>
      </c>
      <c r="B93" s="5" t="s">
        <v>148</v>
      </c>
      <c r="C93" s="4" t="s">
        <v>147</v>
      </c>
      <c r="D93" s="73" t="s">
        <v>149</v>
      </c>
      <c r="E93" s="58">
        <f t="shared" si="8"/>
        <v>0</v>
      </c>
      <c r="F93" s="21">
        <v>0</v>
      </c>
      <c r="G93" s="21">
        <v>0</v>
      </c>
      <c r="H93" s="21">
        <v>0</v>
      </c>
      <c r="I93" s="21">
        <v>0</v>
      </c>
      <c r="J93" s="58">
        <f t="shared" si="7"/>
        <v>1040000</v>
      </c>
      <c r="K93" s="21">
        <v>0</v>
      </c>
      <c r="L93" s="21">
        <v>0</v>
      </c>
      <c r="M93" s="21">
        <v>0</v>
      </c>
      <c r="N93" s="21">
        <f>550000+300000+10000+500000-500000+180000</f>
        <v>1040000</v>
      </c>
      <c r="O93" s="21">
        <f>550000+300000+10000+500000-500000+180000</f>
        <v>1040000</v>
      </c>
      <c r="P93" s="20">
        <f>E93+J93</f>
        <v>1040000</v>
      </c>
      <c r="Q93" s="110"/>
    </row>
    <row r="94" spans="1:17" s="11" customFormat="1" ht="27">
      <c r="A94" s="3" t="s">
        <v>150</v>
      </c>
      <c r="B94" s="5" t="s">
        <v>152</v>
      </c>
      <c r="C94" s="4" t="s">
        <v>151</v>
      </c>
      <c r="D94" s="73" t="s">
        <v>153</v>
      </c>
      <c r="E94" s="58">
        <f t="shared" si="8"/>
        <v>0</v>
      </c>
      <c r="F94" s="21">
        <v>0</v>
      </c>
      <c r="G94" s="21">
        <v>0</v>
      </c>
      <c r="H94" s="21">
        <v>0</v>
      </c>
      <c r="I94" s="21">
        <v>0</v>
      </c>
      <c r="J94" s="58">
        <f t="shared" si="7"/>
        <v>290000</v>
      </c>
      <c r="K94" s="21">
        <f>62100+127900+100000</f>
        <v>290000</v>
      </c>
      <c r="L94" s="21">
        <v>0</v>
      </c>
      <c r="M94" s="21">
        <v>0</v>
      </c>
      <c r="N94" s="21">
        <v>0</v>
      </c>
      <c r="O94" s="21">
        <v>0</v>
      </c>
      <c r="P94" s="20">
        <f>E94+J94</f>
        <v>290000</v>
      </c>
      <c r="Q94" s="110"/>
    </row>
    <row r="95" spans="1:17" s="71" customFormat="1" ht="28.5" customHeight="1">
      <c r="A95" s="66" t="s">
        <v>154</v>
      </c>
      <c r="B95" s="67"/>
      <c r="C95" s="68"/>
      <c r="D95" s="72" t="s">
        <v>424</v>
      </c>
      <c r="E95" s="69">
        <f>F95+I95</f>
        <v>385003912</v>
      </c>
      <c r="F95" s="70">
        <f>F96</f>
        <v>385003912</v>
      </c>
      <c r="G95" s="70">
        <f>G96</f>
        <v>4730192</v>
      </c>
      <c r="H95" s="70">
        <f>H96</f>
        <v>499679</v>
      </c>
      <c r="I95" s="70">
        <f>I96</f>
        <v>0</v>
      </c>
      <c r="J95" s="69">
        <f t="shared" si="7"/>
        <v>26227062.4</v>
      </c>
      <c r="K95" s="70">
        <f>K96</f>
        <v>11333704</v>
      </c>
      <c r="L95" s="70">
        <f>L96</f>
        <v>0</v>
      </c>
      <c r="M95" s="70">
        <f>M96</f>
        <v>0</v>
      </c>
      <c r="N95" s="70">
        <f>N96</f>
        <v>14893358.4</v>
      </c>
      <c r="O95" s="70">
        <f>O96</f>
        <v>14328118.4</v>
      </c>
      <c r="P95" s="70">
        <f t="shared" si="2"/>
        <v>411230974.4</v>
      </c>
      <c r="Q95" s="118"/>
    </row>
    <row r="96" spans="1:16" s="101" customFormat="1" ht="27">
      <c r="A96" s="27" t="s">
        <v>155</v>
      </c>
      <c r="B96" s="28"/>
      <c r="C96" s="29"/>
      <c r="D96" s="78" t="s">
        <v>434</v>
      </c>
      <c r="E96" s="58">
        <f t="shared" si="8"/>
        <v>385003912</v>
      </c>
      <c r="F96" s="20">
        <f>F97+F98+F100+F103+F105+F107+F110+F111+F114+F119+F123+F125+F128+F129+F131+F132+F124+F113+F134</f>
        <v>385003912</v>
      </c>
      <c r="G96" s="20">
        <f>G97+G98+G100+G103+G105+G107+G110+G111+G114+G119+G123+G125+G128+G129+G131+G132+G124+G113+G134</f>
        <v>4730192</v>
      </c>
      <c r="H96" s="20">
        <f>H97+H98+H100+H103+H105+H107+H110+H111+H114+H119+H123+H125+H128+H129+H131+H132+H124+H113+H134</f>
        <v>499679</v>
      </c>
      <c r="I96" s="20">
        <f>I97+I98+I100+I103+I105+I107+I110+I111+I114+I119+I123+I125+I128+I129+I131+I132+I124+I113+I134</f>
        <v>0</v>
      </c>
      <c r="J96" s="58">
        <f t="shared" si="7"/>
        <v>26227062.4</v>
      </c>
      <c r="K96" s="20">
        <f>K97+K98+K100+K103+K105+K107+K110+K111+K114+K119+K123+K125+K128+K129+K131+K132+K124+K113+K134</f>
        <v>11333704</v>
      </c>
      <c r="L96" s="20">
        <f>L97+L98+L100+L103+L105+L107+L110+L111+L114+L119+L123+L125+L128+L129+L131+L132+L124+L113+L134</f>
        <v>0</v>
      </c>
      <c r="M96" s="20">
        <f>M97+M98+M100+M103+M105+M107+M110+M111+M114+M119+M123+M125+M128+M129+M131+M132+M124+M113+M134</f>
        <v>0</v>
      </c>
      <c r="N96" s="20">
        <f>N97+N98+N100+N103+N105+N107+N110+N111+N114+N119+N123+N125+N128+N129+N131+N132+N124+N113+N134</f>
        <v>14893358.4</v>
      </c>
      <c r="O96" s="20">
        <f>O97+O98+O100+O103+O105+O107+O110+O111+O114+O119+O123+O125+O128+O129+O131+O132+O124+O113+O134</f>
        <v>14328118.4</v>
      </c>
      <c r="P96" s="20">
        <f t="shared" si="2"/>
        <v>411230974.4</v>
      </c>
    </row>
    <row r="97" spans="1:17" s="11" customFormat="1" ht="27">
      <c r="A97" s="3" t="s">
        <v>156</v>
      </c>
      <c r="B97" s="30" t="s">
        <v>35</v>
      </c>
      <c r="C97" s="30" t="s">
        <v>20</v>
      </c>
      <c r="D97" s="73" t="s">
        <v>539</v>
      </c>
      <c r="E97" s="58">
        <f t="shared" si="8"/>
        <v>2824424</v>
      </c>
      <c r="F97" s="21">
        <f>2813057+11367</f>
        <v>2824424</v>
      </c>
      <c r="G97" s="21">
        <v>2087892</v>
      </c>
      <c r="H97" s="21">
        <v>129079</v>
      </c>
      <c r="I97" s="21">
        <v>0</v>
      </c>
      <c r="J97" s="58">
        <f t="shared" si="7"/>
        <v>0</v>
      </c>
      <c r="K97" s="21">
        <v>0</v>
      </c>
      <c r="L97" s="21">
        <v>0</v>
      </c>
      <c r="M97" s="21">
        <v>0</v>
      </c>
      <c r="N97" s="21">
        <v>0</v>
      </c>
      <c r="O97" s="21">
        <v>0</v>
      </c>
      <c r="P97" s="20">
        <f t="shared" si="2"/>
        <v>2824424</v>
      </c>
      <c r="Q97" s="110"/>
    </row>
    <row r="98" spans="1:17" s="11" customFormat="1" ht="27">
      <c r="A98" s="3" t="s">
        <v>157</v>
      </c>
      <c r="B98" s="5" t="s">
        <v>159</v>
      </c>
      <c r="C98" s="4" t="s">
        <v>158</v>
      </c>
      <c r="D98" s="73" t="s">
        <v>160</v>
      </c>
      <c r="E98" s="58">
        <f aca="true" t="shared" si="9" ref="E98:E113">F98+I98</f>
        <v>186124183</v>
      </c>
      <c r="F98" s="21">
        <f>183788510+641034+12906+915465+351662+1258786+276933-915465-351662+32500+57500+44014+12000</f>
        <v>186124183</v>
      </c>
      <c r="G98" s="21">
        <v>0</v>
      </c>
      <c r="H98" s="21">
        <v>0</v>
      </c>
      <c r="I98" s="21">
        <v>0</v>
      </c>
      <c r="J98" s="58">
        <f t="shared" si="7"/>
        <v>2693652.4</v>
      </c>
      <c r="K98" s="21">
        <v>1922324</v>
      </c>
      <c r="L98" s="21">
        <v>0</v>
      </c>
      <c r="M98" s="21">
        <v>0</v>
      </c>
      <c r="N98" s="21">
        <f>703210+68118.4</f>
        <v>771328.4</v>
      </c>
      <c r="O98" s="21">
        <f>637970+68118.4</f>
        <v>706088.4</v>
      </c>
      <c r="P98" s="20">
        <f aca="true" t="shared" si="10" ref="P98:P198">E98+J98</f>
        <v>188817835.4</v>
      </c>
      <c r="Q98" s="110"/>
    </row>
    <row r="99" spans="1:16" s="47" customFormat="1" ht="47.25" customHeight="1">
      <c r="A99" s="42"/>
      <c r="B99" s="43"/>
      <c r="C99" s="44"/>
      <c r="D99" s="115" t="s">
        <v>509</v>
      </c>
      <c r="E99" s="61">
        <f t="shared" si="9"/>
        <v>114050062</v>
      </c>
      <c r="F99" s="46">
        <f>112782935+915465+351662</f>
        <v>114050062</v>
      </c>
      <c r="G99" s="46">
        <v>0</v>
      </c>
      <c r="H99" s="46">
        <v>0</v>
      </c>
      <c r="I99" s="46">
        <v>0</v>
      </c>
      <c r="J99" s="61">
        <f t="shared" si="7"/>
        <v>0</v>
      </c>
      <c r="K99" s="46">
        <v>0</v>
      </c>
      <c r="L99" s="46">
        <v>0</v>
      </c>
      <c r="M99" s="46">
        <v>0</v>
      </c>
      <c r="N99" s="46">
        <v>0</v>
      </c>
      <c r="O99" s="46">
        <v>0</v>
      </c>
      <c r="P99" s="45">
        <f t="shared" si="10"/>
        <v>114050062</v>
      </c>
    </row>
    <row r="100" spans="1:17" s="11" customFormat="1" ht="27">
      <c r="A100" s="3" t="s">
        <v>161</v>
      </c>
      <c r="B100" s="5" t="s">
        <v>163</v>
      </c>
      <c r="C100" s="4" t="s">
        <v>162</v>
      </c>
      <c r="D100" s="73" t="s">
        <v>164</v>
      </c>
      <c r="E100" s="58">
        <f t="shared" si="9"/>
        <v>33489278</v>
      </c>
      <c r="F100" s="21">
        <f>33080221+23817+39369+100000+22000-39369+263240</f>
        <v>33489278</v>
      </c>
      <c r="G100" s="21">
        <v>0</v>
      </c>
      <c r="H100" s="21">
        <v>0</v>
      </c>
      <c r="I100" s="21">
        <v>0</v>
      </c>
      <c r="J100" s="58">
        <f t="shared" si="7"/>
        <v>325382</v>
      </c>
      <c r="K100" s="21">
        <v>325382</v>
      </c>
      <c r="L100" s="21">
        <v>0</v>
      </c>
      <c r="M100" s="21">
        <v>0</v>
      </c>
      <c r="N100" s="21">
        <v>0</v>
      </c>
      <c r="O100" s="21">
        <v>0</v>
      </c>
      <c r="P100" s="20">
        <f t="shared" si="10"/>
        <v>33814660</v>
      </c>
      <c r="Q100" s="110"/>
    </row>
    <row r="101" spans="1:16" s="47" customFormat="1" ht="41.25">
      <c r="A101" s="42"/>
      <c r="B101" s="43"/>
      <c r="C101" s="44"/>
      <c r="D101" s="115" t="s">
        <v>509</v>
      </c>
      <c r="E101" s="61">
        <f t="shared" si="9"/>
        <v>21765049</v>
      </c>
      <c r="F101" s="46">
        <f>21725680+39369</f>
        <v>21765049</v>
      </c>
      <c r="G101" s="46">
        <v>0</v>
      </c>
      <c r="H101" s="46">
        <v>0</v>
      </c>
      <c r="I101" s="46">
        <v>0</v>
      </c>
      <c r="J101" s="61">
        <f t="shared" si="7"/>
        <v>0</v>
      </c>
      <c r="K101" s="46">
        <v>0</v>
      </c>
      <c r="L101" s="46">
        <v>0</v>
      </c>
      <c r="M101" s="46">
        <v>0</v>
      </c>
      <c r="N101" s="46">
        <v>0</v>
      </c>
      <c r="O101" s="46">
        <v>0</v>
      </c>
      <c r="P101" s="45">
        <f t="shared" si="10"/>
        <v>21765049</v>
      </c>
    </row>
    <row r="102" spans="1:16" s="47" customFormat="1" ht="69">
      <c r="A102" s="42"/>
      <c r="B102" s="43"/>
      <c r="C102" s="44"/>
      <c r="D102" s="115" t="s">
        <v>542</v>
      </c>
      <c r="E102" s="61">
        <f t="shared" si="9"/>
        <v>263240</v>
      </c>
      <c r="F102" s="46">
        <v>263240</v>
      </c>
      <c r="G102" s="46">
        <v>0</v>
      </c>
      <c r="H102" s="46">
        <v>0</v>
      </c>
      <c r="I102" s="46">
        <v>0</v>
      </c>
      <c r="J102" s="61">
        <f t="shared" si="7"/>
        <v>0</v>
      </c>
      <c r="K102" s="46">
        <v>0</v>
      </c>
      <c r="L102" s="46">
        <v>0</v>
      </c>
      <c r="M102" s="46">
        <v>0</v>
      </c>
      <c r="N102" s="46">
        <v>0</v>
      </c>
      <c r="O102" s="46">
        <v>0</v>
      </c>
      <c r="P102" s="45">
        <f t="shared" si="10"/>
        <v>263240</v>
      </c>
    </row>
    <row r="103" spans="1:17" s="11" customFormat="1" ht="27">
      <c r="A103" s="3" t="s">
        <v>165</v>
      </c>
      <c r="B103" s="5" t="s">
        <v>167</v>
      </c>
      <c r="C103" s="4" t="s">
        <v>166</v>
      </c>
      <c r="D103" s="73" t="s">
        <v>168</v>
      </c>
      <c r="E103" s="58">
        <f t="shared" si="9"/>
        <v>5684168</v>
      </c>
      <c r="F103" s="21">
        <f>5608676+41218+17438+3836+13000</f>
        <v>5684168</v>
      </c>
      <c r="G103" s="21">
        <v>0</v>
      </c>
      <c r="H103" s="21">
        <v>0</v>
      </c>
      <c r="I103" s="21">
        <v>0</v>
      </c>
      <c r="J103" s="58">
        <f t="shared" si="7"/>
        <v>482178</v>
      </c>
      <c r="K103" s="21">
        <v>482178</v>
      </c>
      <c r="L103" s="21">
        <v>0</v>
      </c>
      <c r="M103" s="21">
        <v>0</v>
      </c>
      <c r="N103" s="21">
        <v>0</v>
      </c>
      <c r="O103" s="21">
        <v>0</v>
      </c>
      <c r="P103" s="20">
        <f t="shared" si="10"/>
        <v>6166346</v>
      </c>
      <c r="Q103" s="110"/>
    </row>
    <row r="104" spans="1:16" s="11" customFormat="1" ht="27">
      <c r="A104" s="22"/>
      <c r="B104" s="23"/>
      <c r="C104" s="24"/>
      <c r="D104" s="77" t="s">
        <v>509</v>
      </c>
      <c r="E104" s="59">
        <f t="shared" si="9"/>
        <v>3965722</v>
      </c>
      <c r="F104" s="26">
        <v>3965722</v>
      </c>
      <c r="G104" s="26">
        <v>0</v>
      </c>
      <c r="H104" s="26">
        <v>0</v>
      </c>
      <c r="I104" s="26">
        <v>0</v>
      </c>
      <c r="J104" s="59">
        <f t="shared" si="7"/>
        <v>0</v>
      </c>
      <c r="K104" s="26">
        <v>0</v>
      </c>
      <c r="L104" s="26">
        <v>0</v>
      </c>
      <c r="M104" s="26">
        <v>0</v>
      </c>
      <c r="N104" s="26">
        <v>0</v>
      </c>
      <c r="O104" s="26">
        <v>0</v>
      </c>
      <c r="P104" s="25">
        <f t="shared" si="10"/>
        <v>3965722</v>
      </c>
    </row>
    <row r="105" spans="1:17" s="11" customFormat="1" ht="27">
      <c r="A105" s="3" t="s">
        <v>169</v>
      </c>
      <c r="B105" s="5" t="s">
        <v>171</v>
      </c>
      <c r="C105" s="4" t="s">
        <v>170</v>
      </c>
      <c r="D105" s="73" t="s">
        <v>172</v>
      </c>
      <c r="E105" s="58">
        <f t="shared" si="9"/>
        <v>10299858</v>
      </c>
      <c r="F105" s="21">
        <f>10284582+15276</f>
        <v>10299858</v>
      </c>
      <c r="G105" s="21">
        <v>0</v>
      </c>
      <c r="H105" s="21">
        <v>0</v>
      </c>
      <c r="I105" s="21">
        <v>0</v>
      </c>
      <c r="J105" s="58">
        <f t="shared" si="7"/>
        <v>6988015</v>
      </c>
      <c r="K105" s="21">
        <v>6488015</v>
      </c>
      <c r="L105" s="21">
        <v>0</v>
      </c>
      <c r="M105" s="21">
        <v>0</v>
      </c>
      <c r="N105" s="21">
        <v>500000</v>
      </c>
      <c r="O105" s="21">
        <v>0</v>
      </c>
      <c r="P105" s="20">
        <f t="shared" si="10"/>
        <v>17287873</v>
      </c>
      <c r="Q105" s="110"/>
    </row>
    <row r="106" spans="1:16" s="11" customFormat="1" ht="45.75" customHeight="1">
      <c r="A106" s="22"/>
      <c r="B106" s="23"/>
      <c r="C106" s="24"/>
      <c r="D106" s="77" t="s">
        <v>509</v>
      </c>
      <c r="E106" s="59">
        <f t="shared" si="9"/>
        <v>6738472</v>
      </c>
      <c r="F106" s="26">
        <v>6738472</v>
      </c>
      <c r="G106" s="26">
        <v>0</v>
      </c>
      <c r="H106" s="26">
        <v>0</v>
      </c>
      <c r="I106" s="26">
        <v>0</v>
      </c>
      <c r="J106" s="59">
        <f t="shared" si="7"/>
        <v>0</v>
      </c>
      <c r="K106" s="26">
        <v>0</v>
      </c>
      <c r="L106" s="26">
        <v>0</v>
      </c>
      <c r="M106" s="26">
        <v>0</v>
      </c>
      <c r="N106" s="26">
        <v>0</v>
      </c>
      <c r="O106" s="26">
        <v>0</v>
      </c>
      <c r="P106" s="25">
        <f t="shared" si="10"/>
        <v>6738472</v>
      </c>
    </row>
    <row r="107" spans="1:17" s="11" customFormat="1" ht="13.5">
      <c r="A107" s="3" t="s">
        <v>173</v>
      </c>
      <c r="B107" s="5" t="s">
        <v>175</v>
      </c>
      <c r="C107" s="4" t="s">
        <v>174</v>
      </c>
      <c r="D107" s="73" t="s">
        <v>176</v>
      </c>
      <c r="E107" s="58">
        <f t="shared" si="9"/>
        <v>96489388</v>
      </c>
      <c r="F107" s="21">
        <f>92482607+195650+937862+463414+101951-937862+3230768+10100+4900-2</f>
        <v>96489388</v>
      </c>
      <c r="G107" s="21">
        <v>0</v>
      </c>
      <c r="H107" s="21">
        <v>0</v>
      </c>
      <c r="I107" s="21">
        <v>0</v>
      </c>
      <c r="J107" s="58">
        <f t="shared" si="7"/>
        <v>5930605</v>
      </c>
      <c r="K107" s="21">
        <v>1865805</v>
      </c>
      <c r="L107" s="21">
        <v>0</v>
      </c>
      <c r="M107" s="21">
        <v>0</v>
      </c>
      <c r="N107" s="21">
        <f>6362030-2297230</f>
        <v>4064800</v>
      </c>
      <c r="O107" s="21">
        <f>6362030-2297230</f>
        <v>4064800</v>
      </c>
      <c r="P107" s="20">
        <f t="shared" si="10"/>
        <v>102419993</v>
      </c>
      <c r="Q107" s="110"/>
    </row>
    <row r="108" spans="1:16" s="11" customFormat="1" ht="46.5" customHeight="1">
      <c r="A108" s="22"/>
      <c r="B108" s="23"/>
      <c r="C108" s="24"/>
      <c r="D108" s="77" t="s">
        <v>509</v>
      </c>
      <c r="E108" s="59">
        <f t="shared" si="9"/>
        <v>62152035</v>
      </c>
      <c r="F108" s="26">
        <f>61214173+937862</f>
        <v>62152035</v>
      </c>
      <c r="G108" s="26">
        <v>0</v>
      </c>
      <c r="H108" s="26">
        <v>0</v>
      </c>
      <c r="I108" s="26">
        <v>0</v>
      </c>
      <c r="J108" s="59">
        <f t="shared" si="7"/>
        <v>820000.05</v>
      </c>
      <c r="K108" s="26">
        <v>0</v>
      </c>
      <c r="L108" s="26">
        <v>0</v>
      </c>
      <c r="M108" s="26">
        <v>0</v>
      </c>
      <c r="N108" s="26">
        <v>820000.05</v>
      </c>
      <c r="O108" s="26">
        <v>0</v>
      </c>
      <c r="P108" s="25">
        <f t="shared" si="10"/>
        <v>62972035.05</v>
      </c>
    </row>
    <row r="109" spans="1:16" s="11" customFormat="1" ht="76.5" customHeight="1">
      <c r="A109" s="22"/>
      <c r="B109" s="23"/>
      <c r="C109" s="24"/>
      <c r="D109" s="77" t="s">
        <v>542</v>
      </c>
      <c r="E109" s="59">
        <f t="shared" si="9"/>
        <v>3230768</v>
      </c>
      <c r="F109" s="26">
        <v>3230768</v>
      </c>
      <c r="G109" s="26">
        <v>0</v>
      </c>
      <c r="H109" s="26">
        <v>0</v>
      </c>
      <c r="I109" s="26">
        <v>0</v>
      </c>
      <c r="J109" s="59">
        <f t="shared" si="7"/>
        <v>0</v>
      </c>
      <c r="K109" s="26">
        <v>0</v>
      </c>
      <c r="L109" s="26">
        <v>0</v>
      </c>
      <c r="M109" s="26">
        <v>0</v>
      </c>
      <c r="N109" s="26">
        <v>0</v>
      </c>
      <c r="O109" s="26">
        <v>0</v>
      </c>
      <c r="P109" s="25">
        <f t="shared" si="10"/>
        <v>3230768</v>
      </c>
    </row>
    <row r="110" spans="1:17" s="11" customFormat="1" ht="78.75" customHeight="1">
      <c r="A110" s="3" t="s">
        <v>177</v>
      </c>
      <c r="B110" s="5" t="s">
        <v>179</v>
      </c>
      <c r="C110" s="4" t="s">
        <v>178</v>
      </c>
      <c r="D110" s="73" t="s">
        <v>180</v>
      </c>
      <c r="E110" s="58">
        <f t="shared" si="9"/>
        <v>2029546</v>
      </c>
      <c r="F110" s="21">
        <v>2029546</v>
      </c>
      <c r="G110" s="21">
        <v>0</v>
      </c>
      <c r="H110" s="21">
        <v>0</v>
      </c>
      <c r="I110" s="21">
        <v>0</v>
      </c>
      <c r="J110" s="58">
        <f t="shared" si="7"/>
        <v>0</v>
      </c>
      <c r="K110" s="21">
        <v>0</v>
      </c>
      <c r="L110" s="21">
        <v>0</v>
      </c>
      <c r="M110" s="21">
        <v>0</v>
      </c>
      <c r="N110" s="21">
        <v>0</v>
      </c>
      <c r="O110" s="21">
        <v>0</v>
      </c>
      <c r="P110" s="20">
        <f t="shared" si="10"/>
        <v>2029546</v>
      </c>
      <c r="Q110" s="110"/>
    </row>
    <row r="111" spans="1:17" s="11" customFormat="1" ht="18.75" customHeight="1">
      <c r="A111" s="3" t="s">
        <v>181</v>
      </c>
      <c r="B111" s="5" t="s">
        <v>182</v>
      </c>
      <c r="C111" s="4" t="s">
        <v>178</v>
      </c>
      <c r="D111" s="73" t="s">
        <v>183</v>
      </c>
      <c r="E111" s="58">
        <f t="shared" si="9"/>
        <v>28928463</v>
      </c>
      <c r="F111" s="21">
        <f>29916958-916995-58500-13000</f>
        <v>28928463</v>
      </c>
      <c r="G111" s="21">
        <v>0</v>
      </c>
      <c r="H111" s="21">
        <v>0</v>
      </c>
      <c r="I111" s="21">
        <v>0</v>
      </c>
      <c r="J111" s="58">
        <f t="shared" si="7"/>
        <v>2297230</v>
      </c>
      <c r="K111" s="21">
        <v>0</v>
      </c>
      <c r="L111" s="21">
        <v>0</v>
      </c>
      <c r="M111" s="21">
        <v>0</v>
      </c>
      <c r="N111" s="21">
        <f>2297230</f>
        <v>2297230</v>
      </c>
      <c r="O111" s="21">
        <f>2297230</f>
        <v>2297230</v>
      </c>
      <c r="P111" s="20">
        <f t="shared" si="10"/>
        <v>31225693</v>
      </c>
      <c r="Q111" s="110"/>
    </row>
    <row r="112" spans="1:16" s="11" customFormat="1" ht="48.75" customHeight="1">
      <c r="A112" s="22"/>
      <c r="B112" s="23"/>
      <c r="C112" s="24"/>
      <c r="D112" s="77" t="s">
        <v>509</v>
      </c>
      <c r="E112" s="59">
        <f t="shared" si="9"/>
        <v>1498518</v>
      </c>
      <c r="F112" s="26">
        <v>1498518</v>
      </c>
      <c r="G112" s="26">
        <v>0</v>
      </c>
      <c r="H112" s="26">
        <v>0</v>
      </c>
      <c r="I112" s="26">
        <v>0</v>
      </c>
      <c r="J112" s="59">
        <f t="shared" si="7"/>
        <v>0</v>
      </c>
      <c r="K112" s="26">
        <v>0</v>
      </c>
      <c r="L112" s="26">
        <v>0</v>
      </c>
      <c r="M112" s="26">
        <v>0</v>
      </c>
      <c r="N112" s="26">
        <v>0</v>
      </c>
      <c r="O112" s="26">
        <v>0</v>
      </c>
      <c r="P112" s="25">
        <f t="shared" si="10"/>
        <v>1498518</v>
      </c>
    </row>
    <row r="113" spans="1:17" s="11" customFormat="1" ht="24.75" customHeight="1">
      <c r="A113" s="3">
        <v>1418800</v>
      </c>
      <c r="B113" s="30" t="s">
        <v>344</v>
      </c>
      <c r="C113" s="30" t="s">
        <v>35</v>
      </c>
      <c r="D113" s="97" t="s">
        <v>345</v>
      </c>
      <c r="E113" s="58">
        <f t="shared" si="9"/>
        <v>58500</v>
      </c>
      <c r="F113" s="21">
        <v>58500</v>
      </c>
      <c r="G113" s="21">
        <v>0</v>
      </c>
      <c r="H113" s="21">
        <v>0</v>
      </c>
      <c r="I113" s="21">
        <v>0</v>
      </c>
      <c r="J113" s="58">
        <f t="shared" si="7"/>
        <v>0</v>
      </c>
      <c r="K113" s="21">
        <v>0</v>
      </c>
      <c r="L113" s="21">
        <v>0</v>
      </c>
      <c r="M113" s="21">
        <v>0</v>
      </c>
      <c r="N113" s="21">
        <v>0</v>
      </c>
      <c r="O113" s="21">
        <v>0</v>
      </c>
      <c r="P113" s="20">
        <f t="shared" si="10"/>
        <v>58500</v>
      </c>
      <c r="Q113" s="110"/>
    </row>
    <row r="114" spans="1:17" s="11" customFormat="1" ht="210" customHeight="1">
      <c r="A114" s="16" t="s">
        <v>184</v>
      </c>
      <c r="B114" s="17"/>
      <c r="C114" s="18"/>
      <c r="D114" s="80" t="s">
        <v>486</v>
      </c>
      <c r="E114" s="57">
        <f>F114+I114</f>
        <v>5000000</v>
      </c>
      <c r="F114" s="19">
        <f>F115+F116+F117+F118</f>
        <v>5000000</v>
      </c>
      <c r="G114" s="19">
        <f>G115+G116+G117+G118</f>
        <v>0</v>
      </c>
      <c r="H114" s="19">
        <f>H115+H116+H117+H118</f>
        <v>0</v>
      </c>
      <c r="I114" s="19">
        <f>I115+I116+I117+I118</f>
        <v>0</v>
      </c>
      <c r="J114" s="57">
        <f>K114+N114</f>
        <v>100000</v>
      </c>
      <c r="K114" s="19">
        <f>K115+K116+K117+K118</f>
        <v>0</v>
      </c>
      <c r="L114" s="19">
        <f>L115+L116+L117+L118</f>
        <v>0</v>
      </c>
      <c r="M114" s="19">
        <f>M115+M116+M117+M118</f>
        <v>0</v>
      </c>
      <c r="N114" s="19">
        <f>N115+N116+N117+N118</f>
        <v>100000</v>
      </c>
      <c r="O114" s="19">
        <f>O115+O116+O117+O118</f>
        <v>100000</v>
      </c>
      <c r="P114" s="19">
        <f t="shared" si="10"/>
        <v>5100000</v>
      </c>
      <c r="Q114" s="110"/>
    </row>
    <row r="115" spans="1:16" s="11" customFormat="1" ht="253.5" customHeight="1">
      <c r="A115" s="22" t="s">
        <v>185</v>
      </c>
      <c r="B115" s="23" t="s">
        <v>187</v>
      </c>
      <c r="C115" s="24" t="s">
        <v>186</v>
      </c>
      <c r="D115" s="81" t="s">
        <v>480</v>
      </c>
      <c r="E115" s="59">
        <f aca="true" t="shared" si="11" ref="E115:E142">F115+I115</f>
        <v>0</v>
      </c>
      <c r="F115" s="26">
        <v>0</v>
      </c>
      <c r="G115" s="26">
        <v>0</v>
      </c>
      <c r="H115" s="26">
        <v>0</v>
      </c>
      <c r="I115" s="26">
        <v>0</v>
      </c>
      <c r="J115" s="59">
        <f aca="true" t="shared" si="12" ref="J115:J142">K115+N115</f>
        <v>100000</v>
      </c>
      <c r="K115" s="26">
        <v>0</v>
      </c>
      <c r="L115" s="26">
        <v>0</v>
      </c>
      <c r="M115" s="26">
        <v>0</v>
      </c>
      <c r="N115" s="26">
        <v>100000</v>
      </c>
      <c r="O115" s="26">
        <v>100000</v>
      </c>
      <c r="P115" s="25">
        <f t="shared" si="10"/>
        <v>100000</v>
      </c>
    </row>
    <row r="116" spans="1:16" s="11" customFormat="1" ht="48" customHeight="1">
      <c r="A116" s="22" t="s">
        <v>188</v>
      </c>
      <c r="B116" s="23" t="s">
        <v>190</v>
      </c>
      <c r="C116" s="24" t="s">
        <v>189</v>
      </c>
      <c r="D116" s="75" t="s">
        <v>191</v>
      </c>
      <c r="E116" s="59">
        <f t="shared" si="11"/>
        <v>1000000</v>
      </c>
      <c r="F116" s="26">
        <f>11000000-10000000</f>
        <v>1000000</v>
      </c>
      <c r="G116" s="26">
        <v>0</v>
      </c>
      <c r="H116" s="26">
        <v>0</v>
      </c>
      <c r="I116" s="26">
        <v>0</v>
      </c>
      <c r="J116" s="59">
        <f t="shared" si="12"/>
        <v>0</v>
      </c>
      <c r="K116" s="26">
        <v>0</v>
      </c>
      <c r="L116" s="26">
        <v>0</v>
      </c>
      <c r="M116" s="26">
        <v>0</v>
      </c>
      <c r="N116" s="26">
        <v>0</v>
      </c>
      <c r="O116" s="26">
        <v>0</v>
      </c>
      <c r="P116" s="25">
        <f t="shared" si="10"/>
        <v>1000000</v>
      </c>
    </row>
    <row r="117" spans="1:16" s="11" customFormat="1" ht="41.25">
      <c r="A117" s="22" t="s">
        <v>192</v>
      </c>
      <c r="B117" s="23" t="s">
        <v>193</v>
      </c>
      <c r="C117" s="24" t="s">
        <v>189</v>
      </c>
      <c r="D117" s="75" t="s">
        <v>194</v>
      </c>
      <c r="E117" s="59">
        <f t="shared" si="11"/>
        <v>1000000</v>
      </c>
      <c r="F117" s="26">
        <v>1000000</v>
      </c>
      <c r="G117" s="26">
        <v>0</v>
      </c>
      <c r="H117" s="26">
        <v>0</v>
      </c>
      <c r="I117" s="26">
        <v>0</v>
      </c>
      <c r="J117" s="59">
        <f t="shared" si="12"/>
        <v>0</v>
      </c>
      <c r="K117" s="26">
        <v>0</v>
      </c>
      <c r="L117" s="26">
        <v>0</v>
      </c>
      <c r="M117" s="26">
        <v>0</v>
      </c>
      <c r="N117" s="26">
        <v>0</v>
      </c>
      <c r="O117" s="26">
        <v>0</v>
      </c>
      <c r="P117" s="25">
        <f t="shared" si="10"/>
        <v>1000000</v>
      </c>
    </row>
    <row r="118" spans="1:16" s="11" customFormat="1" ht="41.25">
      <c r="A118" s="22" t="s">
        <v>195</v>
      </c>
      <c r="B118" s="23" t="s">
        <v>196</v>
      </c>
      <c r="C118" s="24" t="s">
        <v>189</v>
      </c>
      <c r="D118" s="75" t="s">
        <v>197</v>
      </c>
      <c r="E118" s="59">
        <f t="shared" si="11"/>
        <v>3000000</v>
      </c>
      <c r="F118" s="26">
        <v>3000000</v>
      </c>
      <c r="G118" s="26">
        <v>0</v>
      </c>
      <c r="H118" s="26">
        <v>0</v>
      </c>
      <c r="I118" s="26">
        <v>0</v>
      </c>
      <c r="J118" s="59">
        <f t="shared" si="12"/>
        <v>0</v>
      </c>
      <c r="K118" s="26">
        <v>0</v>
      </c>
      <c r="L118" s="26">
        <v>0</v>
      </c>
      <c r="M118" s="26">
        <v>0</v>
      </c>
      <c r="N118" s="26">
        <v>0</v>
      </c>
      <c r="O118" s="26">
        <v>0</v>
      </c>
      <c r="P118" s="25">
        <f t="shared" si="10"/>
        <v>3000000</v>
      </c>
    </row>
    <row r="119" spans="1:17" s="41" customFormat="1" ht="32.25" customHeight="1">
      <c r="A119" s="16" t="s">
        <v>198</v>
      </c>
      <c r="B119" s="17"/>
      <c r="C119" s="18"/>
      <c r="D119" s="74" t="s">
        <v>199</v>
      </c>
      <c r="E119" s="57">
        <f t="shared" si="11"/>
        <v>2099300</v>
      </c>
      <c r="F119" s="19">
        <f>F120+F121+F122</f>
        <v>2099300</v>
      </c>
      <c r="G119" s="19">
        <f>G120+G121+G122</f>
        <v>1480400</v>
      </c>
      <c r="H119" s="19">
        <f>H120+H121+H122</f>
        <v>73600</v>
      </c>
      <c r="I119" s="19">
        <f>I120+I121+I122</f>
        <v>0</v>
      </c>
      <c r="J119" s="57">
        <f t="shared" si="12"/>
        <v>0</v>
      </c>
      <c r="K119" s="19">
        <f>K120+K121+K122</f>
        <v>0</v>
      </c>
      <c r="L119" s="19">
        <f>L120+L121+L122</f>
        <v>0</v>
      </c>
      <c r="M119" s="19">
        <f>M120+M121+M122</f>
        <v>0</v>
      </c>
      <c r="N119" s="19">
        <f>N120+N121+N122</f>
        <v>0</v>
      </c>
      <c r="O119" s="19">
        <f>O120+O121+O122</f>
        <v>0</v>
      </c>
      <c r="P119" s="19">
        <f t="shared" si="10"/>
        <v>2099300</v>
      </c>
      <c r="Q119" s="122"/>
    </row>
    <row r="120" spans="1:16" s="11" customFormat="1" ht="27">
      <c r="A120" s="22" t="s">
        <v>200</v>
      </c>
      <c r="B120" s="23" t="s">
        <v>201</v>
      </c>
      <c r="C120" s="24" t="s">
        <v>57</v>
      </c>
      <c r="D120" s="75" t="s">
        <v>202</v>
      </c>
      <c r="E120" s="59">
        <f t="shared" si="11"/>
        <v>1921800</v>
      </c>
      <c r="F120" s="26">
        <v>1921800</v>
      </c>
      <c r="G120" s="26">
        <v>1480400</v>
      </c>
      <c r="H120" s="26">
        <v>73600</v>
      </c>
      <c r="I120" s="26">
        <v>0</v>
      </c>
      <c r="J120" s="59">
        <f t="shared" si="12"/>
        <v>0</v>
      </c>
      <c r="K120" s="26">
        <v>0</v>
      </c>
      <c r="L120" s="26">
        <v>0</v>
      </c>
      <c r="M120" s="26">
        <v>0</v>
      </c>
      <c r="N120" s="26">
        <v>0</v>
      </c>
      <c r="O120" s="26">
        <v>0</v>
      </c>
      <c r="P120" s="25">
        <f t="shared" si="10"/>
        <v>1921800</v>
      </c>
    </row>
    <row r="121" spans="1:16" s="11" customFormat="1" ht="27">
      <c r="A121" s="22" t="s">
        <v>203</v>
      </c>
      <c r="B121" s="23" t="s">
        <v>204</v>
      </c>
      <c r="C121" s="24" t="s">
        <v>57</v>
      </c>
      <c r="D121" s="75" t="s">
        <v>205</v>
      </c>
      <c r="E121" s="59">
        <f t="shared" si="11"/>
        <v>16500</v>
      </c>
      <c r="F121" s="26">
        <v>16500</v>
      </c>
      <c r="G121" s="26">
        <v>0</v>
      </c>
      <c r="H121" s="26">
        <v>0</v>
      </c>
      <c r="I121" s="26">
        <v>0</v>
      </c>
      <c r="J121" s="59">
        <f t="shared" si="12"/>
        <v>0</v>
      </c>
      <c r="K121" s="26">
        <v>0</v>
      </c>
      <c r="L121" s="26">
        <v>0</v>
      </c>
      <c r="M121" s="26">
        <v>0</v>
      </c>
      <c r="N121" s="26">
        <v>0</v>
      </c>
      <c r="O121" s="26">
        <v>0</v>
      </c>
      <c r="P121" s="25">
        <f t="shared" si="10"/>
        <v>16500</v>
      </c>
    </row>
    <row r="122" spans="1:16" s="11" customFormat="1" ht="25.5" customHeight="1">
      <c r="A122" s="22" t="s">
        <v>206</v>
      </c>
      <c r="B122" s="23" t="s">
        <v>207</v>
      </c>
      <c r="C122" s="24" t="s">
        <v>57</v>
      </c>
      <c r="D122" s="75" t="s">
        <v>208</v>
      </c>
      <c r="E122" s="59">
        <f t="shared" si="11"/>
        <v>161000</v>
      </c>
      <c r="F122" s="26">
        <v>161000</v>
      </c>
      <c r="G122" s="26">
        <v>0</v>
      </c>
      <c r="H122" s="26">
        <v>0</v>
      </c>
      <c r="I122" s="26">
        <v>0</v>
      </c>
      <c r="J122" s="59">
        <f t="shared" si="12"/>
        <v>0</v>
      </c>
      <c r="K122" s="26">
        <v>0</v>
      </c>
      <c r="L122" s="26">
        <v>0</v>
      </c>
      <c r="M122" s="26">
        <v>0</v>
      </c>
      <c r="N122" s="26">
        <v>0</v>
      </c>
      <c r="O122" s="26">
        <v>0</v>
      </c>
      <c r="P122" s="25">
        <f t="shared" si="10"/>
        <v>161000</v>
      </c>
    </row>
    <row r="123" spans="1:17" s="11" customFormat="1" ht="69">
      <c r="A123" s="3" t="s">
        <v>209</v>
      </c>
      <c r="B123" s="5" t="s">
        <v>81</v>
      </c>
      <c r="C123" s="4" t="s">
        <v>57</v>
      </c>
      <c r="D123" s="73" t="s">
        <v>82</v>
      </c>
      <c r="E123" s="58">
        <f t="shared" si="11"/>
        <v>1000000</v>
      </c>
      <c r="F123" s="21">
        <v>1000000</v>
      </c>
      <c r="G123" s="21">
        <v>0</v>
      </c>
      <c r="H123" s="21">
        <v>0</v>
      </c>
      <c r="I123" s="21">
        <v>0</v>
      </c>
      <c r="J123" s="58">
        <f t="shared" si="12"/>
        <v>0</v>
      </c>
      <c r="K123" s="21">
        <v>0</v>
      </c>
      <c r="L123" s="21">
        <v>0</v>
      </c>
      <c r="M123" s="21">
        <v>0</v>
      </c>
      <c r="N123" s="21">
        <v>0</v>
      </c>
      <c r="O123" s="21">
        <v>0</v>
      </c>
      <c r="P123" s="20">
        <f t="shared" si="10"/>
        <v>1000000</v>
      </c>
      <c r="Q123" s="110"/>
    </row>
    <row r="124" spans="1:17" s="11" customFormat="1" ht="102" customHeight="1">
      <c r="A124" s="3">
        <v>1413190</v>
      </c>
      <c r="B124" s="30" t="s">
        <v>267</v>
      </c>
      <c r="C124" s="5">
        <v>1060</v>
      </c>
      <c r="D124" s="73" t="s">
        <v>268</v>
      </c>
      <c r="E124" s="58">
        <f t="shared" si="11"/>
        <v>25000</v>
      </c>
      <c r="F124" s="21">
        <v>25000</v>
      </c>
      <c r="G124" s="21"/>
      <c r="H124" s="21"/>
      <c r="I124" s="21"/>
      <c r="J124" s="58">
        <f t="shared" si="12"/>
        <v>0</v>
      </c>
      <c r="K124" s="21"/>
      <c r="L124" s="21"/>
      <c r="M124" s="21"/>
      <c r="N124" s="21"/>
      <c r="O124" s="21"/>
      <c r="P124" s="20">
        <f t="shared" si="10"/>
        <v>25000</v>
      </c>
      <c r="Q124" s="110"/>
    </row>
    <row r="125" spans="1:17" s="41" customFormat="1" ht="27">
      <c r="A125" s="16" t="s">
        <v>210</v>
      </c>
      <c r="B125" s="17"/>
      <c r="C125" s="18"/>
      <c r="D125" s="74" t="s">
        <v>211</v>
      </c>
      <c r="E125" s="57">
        <f t="shared" si="11"/>
        <v>420000</v>
      </c>
      <c r="F125" s="19">
        <f>F126</f>
        <v>420000</v>
      </c>
      <c r="G125" s="19">
        <f>G126</f>
        <v>0</v>
      </c>
      <c r="H125" s="19">
        <f>H126</f>
        <v>0</v>
      </c>
      <c r="I125" s="19">
        <f>I126</f>
        <v>0</v>
      </c>
      <c r="J125" s="57">
        <f t="shared" si="12"/>
        <v>0</v>
      </c>
      <c r="K125" s="19">
        <f>K126</f>
        <v>0</v>
      </c>
      <c r="L125" s="19">
        <f>L126</f>
        <v>0</v>
      </c>
      <c r="M125" s="19">
        <f>M126</f>
        <v>0</v>
      </c>
      <c r="N125" s="19">
        <f>N126</f>
        <v>0</v>
      </c>
      <c r="O125" s="19">
        <f>O126</f>
        <v>0</v>
      </c>
      <c r="P125" s="19">
        <f t="shared" si="10"/>
        <v>420000</v>
      </c>
      <c r="Q125" s="122"/>
    </row>
    <row r="126" spans="1:16" s="11" customFormat="1" ht="41.25">
      <c r="A126" s="22" t="s">
        <v>212</v>
      </c>
      <c r="B126" s="23" t="s">
        <v>213</v>
      </c>
      <c r="C126" s="24" t="s">
        <v>186</v>
      </c>
      <c r="D126" s="75" t="s">
        <v>214</v>
      </c>
      <c r="E126" s="58">
        <f t="shared" si="11"/>
        <v>420000</v>
      </c>
      <c r="F126" s="26">
        <f>380000+40000</f>
        <v>420000</v>
      </c>
      <c r="G126" s="26">
        <v>0</v>
      </c>
      <c r="H126" s="26">
        <v>0</v>
      </c>
      <c r="I126" s="26">
        <v>0</v>
      </c>
      <c r="J126" s="58">
        <f t="shared" si="12"/>
        <v>0</v>
      </c>
      <c r="K126" s="26">
        <v>0</v>
      </c>
      <c r="L126" s="26">
        <v>0</v>
      </c>
      <c r="M126" s="26">
        <v>0</v>
      </c>
      <c r="N126" s="26">
        <v>0</v>
      </c>
      <c r="O126" s="26">
        <v>0</v>
      </c>
      <c r="P126" s="25">
        <f t="shared" si="10"/>
        <v>420000</v>
      </c>
    </row>
    <row r="127" spans="1:16" s="11" customFormat="1" ht="41.25">
      <c r="A127" s="22"/>
      <c r="B127" s="23"/>
      <c r="C127" s="24"/>
      <c r="D127" s="97" t="s">
        <v>532</v>
      </c>
      <c r="E127" s="58">
        <f t="shared" si="11"/>
        <v>40000</v>
      </c>
      <c r="F127" s="26">
        <v>40000</v>
      </c>
      <c r="G127" s="26"/>
      <c r="H127" s="26"/>
      <c r="I127" s="26"/>
      <c r="J127" s="58"/>
      <c r="K127" s="26"/>
      <c r="L127" s="26"/>
      <c r="M127" s="26"/>
      <c r="N127" s="26"/>
      <c r="O127" s="26"/>
      <c r="P127" s="25">
        <f t="shared" si="10"/>
        <v>40000</v>
      </c>
    </row>
    <row r="128" spans="1:16" s="11" customFormat="1" ht="13.5">
      <c r="A128" s="3" t="s">
        <v>215</v>
      </c>
      <c r="B128" s="5" t="s">
        <v>216</v>
      </c>
      <c r="C128" s="4" t="s">
        <v>61</v>
      </c>
      <c r="D128" s="73" t="s">
        <v>217</v>
      </c>
      <c r="E128" s="58">
        <f t="shared" si="11"/>
        <v>1935900</v>
      </c>
      <c r="F128" s="21">
        <v>1935900</v>
      </c>
      <c r="G128" s="21">
        <v>1161900</v>
      </c>
      <c r="H128" s="21">
        <v>297000</v>
      </c>
      <c r="I128" s="21">
        <v>0</v>
      </c>
      <c r="J128" s="58">
        <f t="shared" si="12"/>
        <v>560000</v>
      </c>
      <c r="K128" s="21">
        <v>0</v>
      </c>
      <c r="L128" s="21">
        <v>0</v>
      </c>
      <c r="M128" s="21">
        <v>0</v>
      </c>
      <c r="N128" s="21">
        <v>560000</v>
      </c>
      <c r="O128" s="21">
        <v>560000</v>
      </c>
      <c r="P128" s="20">
        <f t="shared" si="10"/>
        <v>2495900</v>
      </c>
    </row>
    <row r="129" spans="1:17" s="11" customFormat="1" ht="27">
      <c r="A129" s="3" t="s">
        <v>218</v>
      </c>
      <c r="B129" s="5" t="s">
        <v>219</v>
      </c>
      <c r="C129" s="4" t="s">
        <v>61</v>
      </c>
      <c r="D129" s="73" t="s">
        <v>220</v>
      </c>
      <c r="E129" s="58">
        <f t="shared" si="11"/>
        <v>8595904</v>
      </c>
      <c r="F129" s="21">
        <f>6142700+47000+126500+157900+8000+8000+33500-25000+38000+188493+101500+142386+172300+137100+100634+33000+5000+68000+30000+8000+71000+1000+16000+600000+137891+81000+100000+50000+16000</f>
        <v>8595904</v>
      </c>
      <c r="G129" s="21">
        <v>0</v>
      </c>
      <c r="H129" s="21">
        <v>0</v>
      </c>
      <c r="I129" s="21">
        <v>0</v>
      </c>
      <c r="J129" s="58">
        <f t="shared" si="12"/>
        <v>0</v>
      </c>
      <c r="K129" s="21">
        <v>0</v>
      </c>
      <c r="L129" s="21">
        <v>0</v>
      </c>
      <c r="M129" s="21">
        <v>0</v>
      </c>
      <c r="N129" s="21">
        <v>0</v>
      </c>
      <c r="O129" s="21">
        <v>0</v>
      </c>
      <c r="P129" s="20">
        <f>E129+J129</f>
        <v>8595904</v>
      </c>
      <c r="Q129" s="110"/>
    </row>
    <row r="130" spans="1:16" s="11" customFormat="1" ht="43.5" customHeight="1">
      <c r="A130" s="3"/>
      <c r="B130" s="5"/>
      <c r="C130" s="4"/>
      <c r="D130" s="97" t="s">
        <v>532</v>
      </c>
      <c r="E130" s="58">
        <f>F130</f>
        <v>397000</v>
      </c>
      <c r="F130" s="26">
        <f>47000+8000+8000+38000+5000+68000+30000+8000+71000+1000+16000+81000+16000</f>
        <v>397000</v>
      </c>
      <c r="G130" s="21"/>
      <c r="H130" s="21"/>
      <c r="I130" s="21"/>
      <c r="J130" s="58"/>
      <c r="K130" s="21"/>
      <c r="L130" s="21"/>
      <c r="M130" s="21"/>
      <c r="N130" s="21"/>
      <c r="O130" s="21"/>
      <c r="P130" s="20">
        <f>E130+J130</f>
        <v>397000</v>
      </c>
    </row>
    <row r="131" spans="1:16" s="11" customFormat="1" ht="27">
      <c r="A131" s="3" t="s">
        <v>221</v>
      </c>
      <c r="B131" s="5" t="s">
        <v>222</v>
      </c>
      <c r="C131" s="4" t="s">
        <v>147</v>
      </c>
      <c r="D131" s="73" t="s">
        <v>223</v>
      </c>
      <c r="E131" s="58">
        <f t="shared" si="11"/>
        <v>0</v>
      </c>
      <c r="F131" s="21">
        <v>0</v>
      </c>
      <c r="G131" s="21">
        <v>0</v>
      </c>
      <c r="H131" s="21">
        <v>0</v>
      </c>
      <c r="I131" s="21">
        <v>0</v>
      </c>
      <c r="J131" s="58">
        <f t="shared" si="12"/>
        <v>6600000</v>
      </c>
      <c r="K131" s="21">
        <v>0</v>
      </c>
      <c r="L131" s="21">
        <v>0</v>
      </c>
      <c r="M131" s="21">
        <v>0</v>
      </c>
      <c r="N131" s="21">
        <f>6600000-930212+930212</f>
        <v>6600000</v>
      </c>
      <c r="O131" s="21">
        <f>6600000-930212+930212</f>
        <v>6600000</v>
      </c>
      <c r="P131" s="20">
        <f>E131+J131</f>
        <v>6600000</v>
      </c>
    </row>
    <row r="132" spans="1:17" s="41" customFormat="1" ht="13.5" hidden="1">
      <c r="A132" s="17" t="s">
        <v>515</v>
      </c>
      <c r="B132" s="17" t="s">
        <v>32</v>
      </c>
      <c r="C132" s="17" t="s">
        <v>31</v>
      </c>
      <c r="D132" s="76" t="s">
        <v>511</v>
      </c>
      <c r="E132" s="57">
        <f t="shared" si="11"/>
        <v>0</v>
      </c>
      <c r="F132" s="19">
        <f aca="true" t="shared" si="13" ref="F132:O132">SUM(F133)</f>
        <v>0</v>
      </c>
      <c r="G132" s="19">
        <f t="shared" si="13"/>
        <v>0</v>
      </c>
      <c r="H132" s="19">
        <f t="shared" si="13"/>
        <v>0</v>
      </c>
      <c r="I132" s="19">
        <f t="shared" si="13"/>
        <v>0</v>
      </c>
      <c r="J132" s="57">
        <f t="shared" si="12"/>
        <v>0</v>
      </c>
      <c r="K132" s="19">
        <f t="shared" si="13"/>
        <v>0</v>
      </c>
      <c r="L132" s="19">
        <f t="shared" si="13"/>
        <v>0</v>
      </c>
      <c r="M132" s="19">
        <f t="shared" si="13"/>
        <v>0</v>
      </c>
      <c r="N132" s="19">
        <f t="shared" si="13"/>
        <v>0</v>
      </c>
      <c r="O132" s="19">
        <f t="shared" si="13"/>
        <v>0</v>
      </c>
      <c r="P132" s="19">
        <f>E132+J132</f>
        <v>0</v>
      </c>
      <c r="Q132" s="122"/>
    </row>
    <row r="133" spans="1:16" s="47" customFormat="1" ht="38.25" customHeight="1" hidden="1">
      <c r="A133" s="42"/>
      <c r="B133" s="43"/>
      <c r="C133" s="44"/>
      <c r="D133" s="115" t="s">
        <v>495</v>
      </c>
      <c r="E133" s="61">
        <f t="shared" si="11"/>
        <v>0</v>
      </c>
      <c r="F133" s="46">
        <f>11367-11367</f>
        <v>0</v>
      </c>
      <c r="G133" s="46">
        <v>0</v>
      </c>
      <c r="H133" s="46">
        <v>0</v>
      </c>
      <c r="I133" s="46">
        <v>0</v>
      </c>
      <c r="J133" s="61">
        <f t="shared" si="12"/>
        <v>0</v>
      </c>
      <c r="K133" s="46">
        <v>0</v>
      </c>
      <c r="L133" s="46">
        <v>0</v>
      </c>
      <c r="M133" s="46">
        <v>0</v>
      </c>
      <c r="N133" s="46">
        <v>0</v>
      </c>
      <c r="O133" s="46">
        <v>0</v>
      </c>
      <c r="P133" s="45">
        <f t="shared" si="10"/>
        <v>0</v>
      </c>
    </row>
    <row r="134" spans="1:17" s="11" customFormat="1" ht="27">
      <c r="A134" s="3" t="s">
        <v>548</v>
      </c>
      <c r="B134" s="5" t="s">
        <v>152</v>
      </c>
      <c r="C134" s="4" t="s">
        <v>151</v>
      </c>
      <c r="D134" s="73" t="s">
        <v>153</v>
      </c>
      <c r="E134" s="58">
        <f t="shared" si="11"/>
        <v>0</v>
      </c>
      <c r="F134" s="21">
        <v>0</v>
      </c>
      <c r="G134" s="21">
        <v>0</v>
      </c>
      <c r="H134" s="21">
        <v>0</v>
      </c>
      <c r="I134" s="21">
        <v>0</v>
      </c>
      <c r="J134" s="58">
        <f t="shared" si="12"/>
        <v>250000</v>
      </c>
      <c r="K134" s="21">
        <f>150000+100000</f>
        <v>250000</v>
      </c>
      <c r="L134" s="21">
        <v>0</v>
      </c>
      <c r="M134" s="21">
        <v>0</v>
      </c>
      <c r="N134" s="21">
        <v>0</v>
      </c>
      <c r="O134" s="21">
        <v>0</v>
      </c>
      <c r="P134" s="20">
        <f>E134+J134</f>
        <v>250000</v>
      </c>
      <c r="Q134" s="110"/>
    </row>
    <row r="135" spans="1:17" s="99" customFormat="1" ht="39" customHeight="1">
      <c r="A135" s="12" t="s">
        <v>224</v>
      </c>
      <c r="B135" s="13"/>
      <c r="C135" s="14"/>
      <c r="D135" s="79" t="s">
        <v>225</v>
      </c>
      <c r="E135" s="56">
        <f t="shared" si="11"/>
        <v>591473807.89</v>
      </c>
      <c r="F135" s="15">
        <f>F136+F191+F242</f>
        <v>591473807.89</v>
      </c>
      <c r="G135" s="15">
        <f>G136+G191+G242</f>
        <v>28907492</v>
      </c>
      <c r="H135" s="15">
        <f>H136+H191+H242</f>
        <v>1593927</v>
      </c>
      <c r="I135" s="15">
        <f>I136+I191+I242</f>
        <v>0</v>
      </c>
      <c r="J135" s="56">
        <f t="shared" si="12"/>
        <v>1467796</v>
      </c>
      <c r="K135" s="15">
        <f>K136+K191+K242</f>
        <v>189660</v>
      </c>
      <c r="L135" s="15">
        <f>L136+L191+L242</f>
        <v>137800</v>
      </c>
      <c r="M135" s="15">
        <f>M136+M191+M242</f>
        <v>0</v>
      </c>
      <c r="N135" s="15">
        <f>N136+N191+N242</f>
        <v>1278136</v>
      </c>
      <c r="O135" s="15">
        <f>O136+O191+O242</f>
        <v>1278136</v>
      </c>
      <c r="P135" s="15">
        <f t="shared" si="10"/>
        <v>592941603.89</v>
      </c>
      <c r="Q135" s="119"/>
    </row>
    <row r="136" spans="1:16" s="101" customFormat="1" ht="48" customHeight="1">
      <c r="A136" s="27" t="s">
        <v>436</v>
      </c>
      <c r="B136" s="28"/>
      <c r="C136" s="29"/>
      <c r="D136" s="78" t="s">
        <v>435</v>
      </c>
      <c r="E136" s="58">
        <f t="shared" si="11"/>
        <v>208901532.51999998</v>
      </c>
      <c r="F136" s="20">
        <f>F137+F138+F140+F154+F161+F180+F182+F184+F186+F187+F189+F190</f>
        <v>208901532.51999998</v>
      </c>
      <c r="G136" s="20">
        <f>G137+G138+G140+G154+G161+G180+G182+G184+G186+G187+G189+G190</f>
        <v>9492295</v>
      </c>
      <c r="H136" s="20">
        <f>H137+H138+H140+H154+H161+H180+H182+H184+H186+H187+H189+H190</f>
        <v>586060</v>
      </c>
      <c r="I136" s="20">
        <f>I137+I138+I140+I154+I161+I180+I182+I184+I186+I187+I189+I190</f>
        <v>0</v>
      </c>
      <c r="J136" s="58">
        <f t="shared" si="12"/>
        <v>197360</v>
      </c>
      <c r="K136" s="20">
        <f>K137+K138+K140+K154+K161+K180+K182+K184+K186+K187+K189+K190</f>
        <v>61560</v>
      </c>
      <c r="L136" s="20">
        <f>L137+L138+L140+L154+L161+L180+L182+L184+L186+L187+L189+L190</f>
        <v>48000</v>
      </c>
      <c r="M136" s="20">
        <f>M137+M138+M140+M154+M161+M180+M182+M184+M186+M187+M189+M190</f>
        <v>0</v>
      </c>
      <c r="N136" s="20">
        <f>N137+N138+N140+N154+N161+N180+N182+N184+N186+N187+N189+N190</f>
        <v>135800</v>
      </c>
      <c r="O136" s="20">
        <f>O137+O138+O140+O154+O161+O180+O182+O184+O186+O187+O189+O190</f>
        <v>135800</v>
      </c>
      <c r="P136" s="20">
        <f t="shared" si="10"/>
        <v>209098892.51999998</v>
      </c>
    </row>
    <row r="137" spans="1:17" s="11" customFormat="1" ht="27">
      <c r="A137" s="3" t="s">
        <v>437</v>
      </c>
      <c r="B137" s="30" t="s">
        <v>35</v>
      </c>
      <c r="C137" s="30" t="s">
        <v>20</v>
      </c>
      <c r="D137" s="73" t="s">
        <v>539</v>
      </c>
      <c r="E137" s="58">
        <f t="shared" si="11"/>
        <v>7192700</v>
      </c>
      <c r="F137" s="21">
        <v>7192700</v>
      </c>
      <c r="G137" s="21">
        <v>5589295</v>
      </c>
      <c r="H137" s="21">
        <v>254160</v>
      </c>
      <c r="I137" s="21">
        <v>0</v>
      </c>
      <c r="J137" s="58">
        <f t="shared" si="12"/>
        <v>0</v>
      </c>
      <c r="K137" s="21">
        <v>0</v>
      </c>
      <c r="L137" s="21">
        <v>0</v>
      </c>
      <c r="M137" s="21">
        <v>0</v>
      </c>
      <c r="N137" s="21">
        <v>0</v>
      </c>
      <c r="O137" s="21">
        <v>0</v>
      </c>
      <c r="P137" s="20">
        <f t="shared" si="10"/>
        <v>7192700</v>
      </c>
      <c r="Q137" s="110"/>
    </row>
    <row r="138" spans="1:17" s="11" customFormat="1" ht="82.5">
      <c r="A138" s="3" t="s">
        <v>439</v>
      </c>
      <c r="B138" s="5" t="s">
        <v>226</v>
      </c>
      <c r="C138" s="4" t="s">
        <v>48</v>
      </c>
      <c r="D138" s="73" t="s">
        <v>478</v>
      </c>
      <c r="E138" s="58">
        <f t="shared" si="11"/>
        <v>4327356</v>
      </c>
      <c r="F138" s="21">
        <v>4327356</v>
      </c>
      <c r="G138" s="21">
        <v>0</v>
      </c>
      <c r="H138" s="21">
        <v>0</v>
      </c>
      <c r="I138" s="21">
        <v>0</v>
      </c>
      <c r="J138" s="58">
        <f t="shared" si="12"/>
        <v>0</v>
      </c>
      <c r="K138" s="21">
        <v>0</v>
      </c>
      <c r="L138" s="21">
        <v>0</v>
      </c>
      <c r="M138" s="21">
        <v>0</v>
      </c>
      <c r="N138" s="21">
        <v>0</v>
      </c>
      <c r="O138" s="21">
        <v>0</v>
      </c>
      <c r="P138" s="20">
        <f t="shared" si="10"/>
        <v>4327356</v>
      </c>
      <c r="Q138" s="110"/>
    </row>
    <row r="139" spans="1:16" s="11" customFormat="1" ht="208.5" customHeight="1">
      <c r="A139" s="22"/>
      <c r="B139" s="23"/>
      <c r="C139" s="24"/>
      <c r="D139" s="82" t="s">
        <v>503</v>
      </c>
      <c r="E139" s="58">
        <f t="shared" si="11"/>
        <v>4327356</v>
      </c>
      <c r="F139" s="26">
        <f>F138</f>
        <v>4327356</v>
      </c>
      <c r="G139" s="26"/>
      <c r="H139" s="26"/>
      <c r="I139" s="26"/>
      <c r="J139" s="58">
        <f t="shared" si="12"/>
        <v>0</v>
      </c>
      <c r="K139" s="26"/>
      <c r="L139" s="26"/>
      <c r="M139" s="26"/>
      <c r="N139" s="26"/>
      <c r="O139" s="26"/>
      <c r="P139" s="25">
        <f t="shared" si="10"/>
        <v>4327356</v>
      </c>
    </row>
    <row r="140" spans="1:17" s="11" customFormat="1" ht="99" customHeight="1">
      <c r="A140" s="16" t="s">
        <v>438</v>
      </c>
      <c r="B140" s="17"/>
      <c r="C140" s="18"/>
      <c r="D140" s="83" t="s">
        <v>485</v>
      </c>
      <c r="E140" s="57">
        <f t="shared" si="11"/>
        <v>94803236.52</v>
      </c>
      <c r="F140" s="19">
        <f>F141+F143+F146+F148+F150+F152</f>
        <v>94803236.52</v>
      </c>
      <c r="G140" s="19">
        <f>G141+G143+G146+G148+G150+G152</f>
        <v>0</v>
      </c>
      <c r="H140" s="19">
        <f>H141+H143+H146+H148+H150+H152</f>
        <v>0</v>
      </c>
      <c r="I140" s="19">
        <f>I141+I143+I146+I148+I150+I152</f>
        <v>0</v>
      </c>
      <c r="J140" s="57">
        <f t="shared" si="12"/>
        <v>0</v>
      </c>
      <c r="K140" s="19">
        <f>K141+K143+K146+K148+K150+K152</f>
        <v>0</v>
      </c>
      <c r="L140" s="19">
        <f>L141+L143+L146+L148+L150+L152</f>
        <v>0</v>
      </c>
      <c r="M140" s="19">
        <f>M141+M143+M146+M148+M150+M152</f>
        <v>0</v>
      </c>
      <c r="N140" s="19">
        <f>N141+N143+N146+N148+N150+N152</f>
        <v>0</v>
      </c>
      <c r="O140" s="19">
        <f>O141+O143+O146+O148+O150+O152</f>
        <v>0</v>
      </c>
      <c r="P140" s="19">
        <f t="shared" si="10"/>
        <v>94803236.52</v>
      </c>
      <c r="Q140" s="110"/>
    </row>
    <row r="141" spans="1:16" s="11" customFormat="1" ht="234">
      <c r="A141" s="22" t="s">
        <v>440</v>
      </c>
      <c r="B141" s="23" t="s">
        <v>227</v>
      </c>
      <c r="C141" s="24" t="s">
        <v>186</v>
      </c>
      <c r="D141" s="11" t="s">
        <v>481</v>
      </c>
      <c r="E141" s="59">
        <f t="shared" si="11"/>
        <v>5087219.240000001</v>
      </c>
      <c r="F141" s="26">
        <f>16215000+99973.34-11431087.77+48740.33+85109.69+69483.65+138194.2-138194.2</f>
        <v>5087219.240000001</v>
      </c>
      <c r="G141" s="26">
        <v>0</v>
      </c>
      <c r="H141" s="26">
        <v>0</v>
      </c>
      <c r="I141" s="26">
        <v>0</v>
      </c>
      <c r="J141" s="59">
        <f t="shared" si="12"/>
        <v>0</v>
      </c>
      <c r="K141" s="26">
        <v>0</v>
      </c>
      <c r="L141" s="26">
        <v>0</v>
      </c>
      <c r="M141" s="26">
        <v>0</v>
      </c>
      <c r="N141" s="26">
        <v>0</v>
      </c>
      <c r="O141" s="26">
        <v>0</v>
      </c>
      <c r="P141" s="25">
        <f t="shared" si="10"/>
        <v>5087219.240000001</v>
      </c>
    </row>
    <row r="142" spans="1:16" s="11" customFormat="1" ht="123.75">
      <c r="A142" s="32"/>
      <c r="B142" s="33"/>
      <c r="C142" s="34"/>
      <c r="D142" s="84" t="s">
        <v>506</v>
      </c>
      <c r="E142" s="59">
        <f t="shared" si="11"/>
        <v>5087219.240000001</v>
      </c>
      <c r="F142" s="35">
        <f>F141</f>
        <v>5087219.240000001</v>
      </c>
      <c r="G142" s="35"/>
      <c r="H142" s="35"/>
      <c r="I142" s="35"/>
      <c r="J142" s="59">
        <f t="shared" si="12"/>
        <v>0</v>
      </c>
      <c r="K142" s="35"/>
      <c r="L142" s="35"/>
      <c r="M142" s="35"/>
      <c r="N142" s="35"/>
      <c r="O142" s="35"/>
      <c r="P142" s="25">
        <f t="shared" si="10"/>
        <v>5087219.240000001</v>
      </c>
    </row>
    <row r="143" spans="1:16" s="11" customFormat="1" ht="317.25">
      <c r="A143" s="142" t="s">
        <v>441</v>
      </c>
      <c r="B143" s="144" t="s">
        <v>228</v>
      </c>
      <c r="C143" s="148" t="s">
        <v>186</v>
      </c>
      <c r="D143" s="85" t="s">
        <v>482</v>
      </c>
      <c r="E143" s="150">
        <f>F143+I143</f>
        <v>375885.5700000001</v>
      </c>
      <c r="F143" s="151">
        <f>1527500+9162.79-1180844.9+5430.98+8592.03+6044.67+11338.45-11338.45</f>
        <v>375885.5700000001</v>
      </c>
      <c r="G143" s="151">
        <v>0</v>
      </c>
      <c r="H143" s="151">
        <v>0</v>
      </c>
      <c r="I143" s="151">
        <v>0</v>
      </c>
      <c r="J143" s="150">
        <f>K143+N143</f>
        <v>0</v>
      </c>
      <c r="K143" s="151">
        <v>0</v>
      </c>
      <c r="L143" s="151">
        <v>0</v>
      </c>
      <c r="M143" s="151">
        <v>0</v>
      </c>
      <c r="N143" s="151">
        <v>0</v>
      </c>
      <c r="O143" s="151">
        <v>0</v>
      </c>
      <c r="P143" s="160">
        <f t="shared" si="10"/>
        <v>375885.5700000001</v>
      </c>
    </row>
    <row r="144" spans="1:16" s="11" customFormat="1" ht="372">
      <c r="A144" s="143"/>
      <c r="B144" s="145"/>
      <c r="C144" s="149"/>
      <c r="D144" s="86" t="s">
        <v>483</v>
      </c>
      <c r="E144" s="150"/>
      <c r="F144" s="152"/>
      <c r="G144" s="152"/>
      <c r="H144" s="152"/>
      <c r="I144" s="152"/>
      <c r="J144" s="150"/>
      <c r="K144" s="152"/>
      <c r="L144" s="152"/>
      <c r="M144" s="152"/>
      <c r="N144" s="152"/>
      <c r="O144" s="152"/>
      <c r="P144" s="161"/>
    </row>
    <row r="145" spans="1:16" s="11" customFormat="1" ht="123.75">
      <c r="A145" s="36"/>
      <c r="B145" s="37"/>
      <c r="C145" s="38"/>
      <c r="D145" s="84" t="s">
        <v>506</v>
      </c>
      <c r="E145" s="59">
        <f>F145+I145</f>
        <v>375885.5700000001</v>
      </c>
      <c r="F145" s="39">
        <f>F143</f>
        <v>375885.5700000001</v>
      </c>
      <c r="G145" s="39"/>
      <c r="H145" s="39"/>
      <c r="I145" s="39"/>
      <c r="J145" s="59">
        <f>K145+N145</f>
        <v>0</v>
      </c>
      <c r="K145" s="39"/>
      <c r="L145" s="39"/>
      <c r="M145" s="39"/>
      <c r="N145" s="39"/>
      <c r="O145" s="39"/>
      <c r="P145" s="40">
        <f>E145+J145</f>
        <v>375885.5700000001</v>
      </c>
    </row>
    <row r="146" spans="1:16" s="11" customFormat="1" ht="122.25" customHeight="1">
      <c r="A146" s="22" t="s">
        <v>442</v>
      </c>
      <c r="B146" s="23" t="s">
        <v>229</v>
      </c>
      <c r="C146" s="24" t="s">
        <v>189</v>
      </c>
      <c r="D146" s="87" t="s">
        <v>230</v>
      </c>
      <c r="E146" s="59">
        <f aca="true" t="shared" si="14" ref="E146:E160">F146+I146</f>
        <v>464206.86999999976</v>
      </c>
      <c r="F146" s="26">
        <f>2010700+12998.4-1582913.86+5405.04+9671.97+8345.32+16011.59-16011.59</f>
        <v>464206.86999999976</v>
      </c>
      <c r="G146" s="26">
        <v>0</v>
      </c>
      <c r="H146" s="26">
        <v>0</v>
      </c>
      <c r="I146" s="26">
        <v>0</v>
      </c>
      <c r="J146" s="59">
        <f aca="true" t="shared" si="15" ref="J146:J167">K146+N146</f>
        <v>0</v>
      </c>
      <c r="K146" s="26">
        <v>0</v>
      </c>
      <c r="L146" s="26">
        <v>0</v>
      </c>
      <c r="M146" s="26">
        <v>0</v>
      </c>
      <c r="N146" s="26">
        <v>0</v>
      </c>
      <c r="O146" s="26">
        <v>0</v>
      </c>
      <c r="P146" s="25">
        <f t="shared" si="10"/>
        <v>464206.86999999976</v>
      </c>
    </row>
    <row r="147" spans="1:16" s="11" customFormat="1" ht="123.75">
      <c r="A147" s="22"/>
      <c r="B147" s="23"/>
      <c r="C147" s="24"/>
      <c r="D147" s="84" t="s">
        <v>506</v>
      </c>
      <c r="E147" s="59">
        <f t="shared" si="14"/>
        <v>464206.86999999976</v>
      </c>
      <c r="F147" s="26">
        <f>F146</f>
        <v>464206.86999999976</v>
      </c>
      <c r="G147" s="26"/>
      <c r="H147" s="26"/>
      <c r="I147" s="26"/>
      <c r="J147" s="59">
        <f t="shared" si="15"/>
        <v>0</v>
      </c>
      <c r="K147" s="26"/>
      <c r="L147" s="26"/>
      <c r="M147" s="26"/>
      <c r="N147" s="26"/>
      <c r="O147" s="26"/>
      <c r="P147" s="25">
        <f t="shared" si="10"/>
        <v>464206.86999999976</v>
      </c>
    </row>
    <row r="148" spans="1:16" s="11" customFormat="1" ht="225.75" customHeight="1">
      <c r="A148" s="22" t="s">
        <v>443</v>
      </c>
      <c r="B148" s="23" t="s">
        <v>231</v>
      </c>
      <c r="C148" s="24" t="s">
        <v>189</v>
      </c>
      <c r="D148" s="88" t="s">
        <v>484</v>
      </c>
      <c r="E148" s="59">
        <f t="shared" si="14"/>
        <v>11595.659999999998</v>
      </c>
      <c r="F148" s="26">
        <f>29200+64.26-17732.86+64.26+81-81</f>
        <v>11595.659999999998</v>
      </c>
      <c r="G148" s="26">
        <v>0</v>
      </c>
      <c r="H148" s="26">
        <v>0</v>
      </c>
      <c r="I148" s="26">
        <v>0</v>
      </c>
      <c r="J148" s="59">
        <f t="shared" si="15"/>
        <v>0</v>
      </c>
      <c r="K148" s="26">
        <v>0</v>
      </c>
      <c r="L148" s="26">
        <v>0</v>
      </c>
      <c r="M148" s="26">
        <v>0</v>
      </c>
      <c r="N148" s="26">
        <v>0</v>
      </c>
      <c r="O148" s="26">
        <v>0</v>
      </c>
      <c r="P148" s="25">
        <f t="shared" si="10"/>
        <v>11595.659999999998</v>
      </c>
    </row>
    <row r="149" spans="1:16" s="11" customFormat="1" ht="123.75">
      <c r="A149" s="22"/>
      <c r="B149" s="23"/>
      <c r="C149" s="24"/>
      <c r="D149" s="84" t="s">
        <v>506</v>
      </c>
      <c r="E149" s="59">
        <f t="shared" si="14"/>
        <v>11595.659999999998</v>
      </c>
      <c r="F149" s="26">
        <f>F148</f>
        <v>11595.659999999998</v>
      </c>
      <c r="G149" s="26"/>
      <c r="H149" s="26"/>
      <c r="I149" s="26"/>
      <c r="J149" s="59">
        <f t="shared" si="15"/>
        <v>0</v>
      </c>
      <c r="K149" s="26"/>
      <c r="L149" s="26"/>
      <c r="M149" s="26"/>
      <c r="N149" s="26"/>
      <c r="O149" s="26"/>
      <c r="P149" s="25">
        <f t="shared" si="10"/>
        <v>11595.659999999998</v>
      </c>
    </row>
    <row r="150" spans="1:16" s="11" customFormat="1" ht="27">
      <c r="A150" s="22" t="s">
        <v>444</v>
      </c>
      <c r="B150" s="23" t="s">
        <v>232</v>
      </c>
      <c r="C150" s="24" t="s">
        <v>189</v>
      </c>
      <c r="D150" s="89" t="s">
        <v>233</v>
      </c>
      <c r="E150" s="59">
        <f t="shared" si="14"/>
        <v>460710.2399999997</v>
      </c>
      <c r="F150" s="26">
        <f>2810600+13989.42-2397174.24+8634.92+16020.68+8639.46+21536.71-21536.71</f>
        <v>460710.2399999997</v>
      </c>
      <c r="G150" s="26">
        <v>0</v>
      </c>
      <c r="H150" s="26">
        <v>0</v>
      </c>
      <c r="I150" s="26">
        <v>0</v>
      </c>
      <c r="J150" s="59">
        <f t="shared" si="15"/>
        <v>0</v>
      </c>
      <c r="K150" s="26">
        <v>0</v>
      </c>
      <c r="L150" s="26">
        <v>0</v>
      </c>
      <c r="M150" s="26">
        <v>0</v>
      </c>
      <c r="N150" s="26">
        <v>0</v>
      </c>
      <c r="O150" s="26">
        <v>0</v>
      </c>
      <c r="P150" s="25">
        <f t="shared" si="10"/>
        <v>460710.2399999997</v>
      </c>
    </row>
    <row r="151" spans="1:16" s="11" customFormat="1" ht="137.25" customHeight="1">
      <c r="A151" s="22"/>
      <c r="B151" s="23"/>
      <c r="C151" s="24"/>
      <c r="D151" s="11" t="s">
        <v>506</v>
      </c>
      <c r="E151" s="59">
        <f t="shared" si="14"/>
        <v>460710.2399999997</v>
      </c>
      <c r="F151" s="26">
        <f>F150</f>
        <v>460710.2399999997</v>
      </c>
      <c r="G151" s="26"/>
      <c r="H151" s="26"/>
      <c r="I151" s="26"/>
      <c r="J151" s="59">
        <f t="shared" si="15"/>
        <v>0</v>
      </c>
      <c r="K151" s="26"/>
      <c r="L151" s="26"/>
      <c r="M151" s="26"/>
      <c r="N151" s="26"/>
      <c r="O151" s="26"/>
      <c r="P151" s="25">
        <f t="shared" si="10"/>
        <v>460710.2399999997</v>
      </c>
    </row>
    <row r="152" spans="1:16" s="11" customFormat="1" ht="41.25">
      <c r="A152" s="22" t="s">
        <v>445</v>
      </c>
      <c r="B152" s="23" t="s">
        <v>234</v>
      </c>
      <c r="C152" s="24" t="s">
        <v>226</v>
      </c>
      <c r="D152" s="89" t="s">
        <v>235</v>
      </c>
      <c r="E152" s="59">
        <f t="shared" si="14"/>
        <v>88403618.94</v>
      </c>
      <c r="F152" s="26">
        <f>72107000-136188.21+23268938.63-68211.27-3119394.37-4652461.63+1153484.08-149548.29</f>
        <v>88403618.94</v>
      </c>
      <c r="G152" s="26">
        <v>0</v>
      </c>
      <c r="H152" s="26">
        <v>0</v>
      </c>
      <c r="I152" s="26">
        <v>0</v>
      </c>
      <c r="J152" s="59">
        <f t="shared" si="15"/>
        <v>0</v>
      </c>
      <c r="K152" s="26">
        <v>0</v>
      </c>
      <c r="L152" s="26">
        <v>0</v>
      </c>
      <c r="M152" s="26">
        <v>0</v>
      </c>
      <c r="N152" s="26">
        <v>0</v>
      </c>
      <c r="O152" s="26">
        <v>0</v>
      </c>
      <c r="P152" s="25">
        <f t="shared" si="10"/>
        <v>88403618.94</v>
      </c>
    </row>
    <row r="153" spans="1:16" s="11" customFormat="1" ht="145.5" customHeight="1">
      <c r="A153" s="22"/>
      <c r="B153" s="23"/>
      <c r="C153" s="24"/>
      <c r="D153" s="11" t="s">
        <v>506</v>
      </c>
      <c r="E153" s="59">
        <f>F153+I153</f>
        <v>88403618.94</v>
      </c>
      <c r="F153" s="26">
        <f>F152</f>
        <v>88403618.94</v>
      </c>
      <c r="G153" s="26"/>
      <c r="H153" s="26"/>
      <c r="I153" s="26"/>
      <c r="J153" s="59">
        <f>K153+N153</f>
        <v>0</v>
      </c>
      <c r="K153" s="26"/>
      <c r="L153" s="26"/>
      <c r="M153" s="26"/>
      <c r="N153" s="26"/>
      <c r="O153" s="26"/>
      <c r="P153" s="25">
        <f t="shared" si="10"/>
        <v>88403618.94</v>
      </c>
    </row>
    <row r="154" spans="1:17" s="11" customFormat="1" ht="41.25">
      <c r="A154" s="16" t="s">
        <v>446</v>
      </c>
      <c r="B154" s="17"/>
      <c r="C154" s="18"/>
      <c r="D154" s="90" t="s">
        <v>236</v>
      </c>
      <c r="E154" s="57">
        <f t="shared" si="14"/>
        <v>126740</v>
      </c>
      <c r="F154" s="19">
        <f>F155+F157+F159</f>
        <v>126740</v>
      </c>
      <c r="G154" s="19">
        <f>G155+G157+G159</f>
        <v>0</v>
      </c>
      <c r="H154" s="19">
        <f>H155+H157+H159</f>
        <v>0</v>
      </c>
      <c r="I154" s="19">
        <f>I155+I157+I159</f>
        <v>0</v>
      </c>
      <c r="J154" s="57">
        <f t="shared" si="15"/>
        <v>0</v>
      </c>
      <c r="K154" s="19">
        <f>K155+K157+K159</f>
        <v>0</v>
      </c>
      <c r="L154" s="19">
        <f>L155+L157+L159</f>
        <v>0</v>
      </c>
      <c r="M154" s="19">
        <f>M155+M157+M159</f>
        <v>0</v>
      </c>
      <c r="N154" s="19">
        <f>N155+N157+N159</f>
        <v>0</v>
      </c>
      <c r="O154" s="19">
        <f>O155+O157+O159</f>
        <v>0</v>
      </c>
      <c r="P154" s="19">
        <f t="shared" si="10"/>
        <v>126740</v>
      </c>
      <c r="Q154" s="110"/>
    </row>
    <row r="155" spans="1:16" s="11" customFormat="1" ht="207">
      <c r="A155" s="22" t="s">
        <v>447</v>
      </c>
      <c r="B155" s="23" t="s">
        <v>237</v>
      </c>
      <c r="C155" s="24" t="s">
        <v>186</v>
      </c>
      <c r="D155" s="89" t="s">
        <v>487</v>
      </c>
      <c r="E155" s="59">
        <f t="shared" si="14"/>
        <v>34520</v>
      </c>
      <c r="F155" s="26">
        <v>34520</v>
      </c>
      <c r="G155" s="26">
        <v>0</v>
      </c>
      <c r="H155" s="26">
        <v>0</v>
      </c>
      <c r="I155" s="26">
        <v>0</v>
      </c>
      <c r="J155" s="59">
        <f t="shared" si="15"/>
        <v>0</v>
      </c>
      <c r="K155" s="26">
        <v>0</v>
      </c>
      <c r="L155" s="26">
        <v>0</v>
      </c>
      <c r="M155" s="26">
        <v>0</v>
      </c>
      <c r="N155" s="26">
        <v>0</v>
      </c>
      <c r="O155" s="26">
        <v>0</v>
      </c>
      <c r="P155" s="25">
        <f t="shared" si="10"/>
        <v>34520</v>
      </c>
    </row>
    <row r="156" spans="1:16" s="11" customFormat="1" ht="79.5" customHeight="1">
      <c r="A156" s="22"/>
      <c r="B156" s="23"/>
      <c r="C156" s="24"/>
      <c r="D156" s="11" t="s">
        <v>505</v>
      </c>
      <c r="E156" s="59">
        <f t="shared" si="14"/>
        <v>34520</v>
      </c>
      <c r="F156" s="26">
        <f>F155</f>
        <v>34520</v>
      </c>
      <c r="G156" s="26"/>
      <c r="H156" s="26"/>
      <c r="I156" s="26"/>
      <c r="J156" s="59">
        <f t="shared" si="15"/>
        <v>0</v>
      </c>
      <c r="K156" s="26"/>
      <c r="L156" s="26"/>
      <c r="M156" s="26"/>
      <c r="N156" s="26"/>
      <c r="O156" s="26"/>
      <c r="P156" s="25">
        <f t="shared" si="10"/>
        <v>34520</v>
      </c>
    </row>
    <row r="157" spans="1:16" s="11" customFormat="1" ht="41.25">
      <c r="A157" s="22" t="s">
        <v>448</v>
      </c>
      <c r="B157" s="23" t="s">
        <v>238</v>
      </c>
      <c r="C157" s="24" t="s">
        <v>189</v>
      </c>
      <c r="D157" s="89" t="s">
        <v>239</v>
      </c>
      <c r="E157" s="59">
        <f t="shared" si="14"/>
        <v>11220</v>
      </c>
      <c r="F157" s="26">
        <v>11220</v>
      </c>
      <c r="G157" s="26">
        <v>0</v>
      </c>
      <c r="H157" s="26">
        <v>0</v>
      </c>
      <c r="I157" s="26">
        <v>0</v>
      </c>
      <c r="J157" s="59">
        <f t="shared" si="15"/>
        <v>0</v>
      </c>
      <c r="K157" s="26">
        <v>0</v>
      </c>
      <c r="L157" s="26">
        <v>0</v>
      </c>
      <c r="M157" s="26">
        <v>0</v>
      </c>
      <c r="N157" s="26">
        <v>0</v>
      </c>
      <c r="O157" s="26">
        <v>0</v>
      </c>
      <c r="P157" s="25">
        <f t="shared" si="10"/>
        <v>11220</v>
      </c>
    </row>
    <row r="158" spans="1:16" s="11" customFormat="1" ht="69">
      <c r="A158" s="22"/>
      <c r="B158" s="23"/>
      <c r="C158" s="24"/>
      <c r="D158" s="11" t="s">
        <v>505</v>
      </c>
      <c r="E158" s="59">
        <f>F158+I158</f>
        <v>11220</v>
      </c>
      <c r="F158" s="26">
        <f>F157</f>
        <v>11220</v>
      </c>
      <c r="G158" s="26"/>
      <c r="H158" s="26"/>
      <c r="I158" s="26"/>
      <c r="J158" s="59">
        <f>K158+N158</f>
        <v>0</v>
      </c>
      <c r="K158" s="26"/>
      <c r="L158" s="26"/>
      <c r="M158" s="26"/>
      <c r="N158" s="26"/>
      <c r="O158" s="26"/>
      <c r="P158" s="25">
        <f t="shared" si="10"/>
        <v>11220</v>
      </c>
    </row>
    <row r="159" spans="1:16" s="11" customFormat="1" ht="54.75">
      <c r="A159" s="22" t="s">
        <v>449</v>
      </c>
      <c r="B159" s="23" t="s">
        <v>240</v>
      </c>
      <c r="C159" s="24" t="s">
        <v>226</v>
      </c>
      <c r="D159" s="89" t="s">
        <v>241</v>
      </c>
      <c r="E159" s="59">
        <f t="shared" si="14"/>
        <v>81000</v>
      </c>
      <c r="F159" s="26">
        <v>81000</v>
      </c>
      <c r="G159" s="26">
        <v>0</v>
      </c>
      <c r="H159" s="26">
        <v>0</v>
      </c>
      <c r="I159" s="26">
        <v>0</v>
      </c>
      <c r="J159" s="59">
        <f t="shared" si="15"/>
        <v>0</v>
      </c>
      <c r="K159" s="26">
        <v>0</v>
      </c>
      <c r="L159" s="26">
        <v>0</v>
      </c>
      <c r="M159" s="26">
        <v>0</v>
      </c>
      <c r="N159" s="26">
        <v>0</v>
      </c>
      <c r="O159" s="26">
        <v>0</v>
      </c>
      <c r="P159" s="25">
        <f t="shared" si="10"/>
        <v>81000</v>
      </c>
    </row>
    <row r="160" spans="1:16" s="11" customFormat="1" ht="69">
      <c r="A160" s="22"/>
      <c r="B160" s="23"/>
      <c r="C160" s="24"/>
      <c r="D160" s="11" t="s">
        <v>505</v>
      </c>
      <c r="E160" s="59">
        <f t="shared" si="14"/>
        <v>81000</v>
      </c>
      <c r="F160" s="26">
        <f>F159</f>
        <v>81000</v>
      </c>
      <c r="G160" s="26"/>
      <c r="H160" s="26"/>
      <c r="I160" s="26"/>
      <c r="J160" s="59">
        <f t="shared" si="15"/>
        <v>0</v>
      </c>
      <c r="K160" s="26"/>
      <c r="L160" s="26"/>
      <c r="M160" s="26"/>
      <c r="N160" s="26"/>
      <c r="O160" s="26"/>
      <c r="P160" s="25">
        <f t="shared" si="10"/>
        <v>81000</v>
      </c>
    </row>
    <row r="161" spans="1:17" s="11" customFormat="1" ht="54.75">
      <c r="A161" s="16" t="s">
        <v>450</v>
      </c>
      <c r="B161" s="17"/>
      <c r="C161" s="18"/>
      <c r="D161" s="90" t="s">
        <v>242</v>
      </c>
      <c r="E161" s="57">
        <f aca="true" t="shared" si="16" ref="E161:E167">F161+I161</f>
        <v>91193300</v>
      </c>
      <c r="F161" s="19">
        <f>F162+F164+F166+F168+F170+F172+F174+F176+F178</f>
        <v>91193300</v>
      </c>
      <c r="G161" s="19">
        <f>G162+G164+G166+G168+G170+G172+G174+G176+G178</f>
        <v>0</v>
      </c>
      <c r="H161" s="19">
        <f>H162+H164+H166+H168+H170+H172+H174+H176+H178</f>
        <v>0</v>
      </c>
      <c r="I161" s="19">
        <f>I162+I164+I166+I168+I170+I172+I174+I176+I178</f>
        <v>0</v>
      </c>
      <c r="J161" s="57">
        <f t="shared" si="15"/>
        <v>0</v>
      </c>
      <c r="K161" s="19">
        <f>K162+K164+K166+K168+K170+K172+K174+K176+K178</f>
        <v>0</v>
      </c>
      <c r="L161" s="19">
        <f>L162+L164+L166+L168+L170+L172+L174+L176+L178</f>
        <v>0</v>
      </c>
      <c r="M161" s="19">
        <f>M162+M164+M166+M168+M170+M172+M174+M176+M178</f>
        <v>0</v>
      </c>
      <c r="N161" s="19">
        <f>N162+N164+N166+N168+N170+N172+N174+N176+N178</f>
        <v>0</v>
      </c>
      <c r="O161" s="19">
        <f>O162+O164+O166+O168+O170+O172+O174+O176+O178</f>
        <v>0</v>
      </c>
      <c r="P161" s="19">
        <f t="shared" si="10"/>
        <v>91193300</v>
      </c>
      <c r="Q161" s="110"/>
    </row>
    <row r="162" spans="1:16" s="11" customFormat="1" ht="27">
      <c r="A162" s="22" t="s">
        <v>451</v>
      </c>
      <c r="B162" s="23" t="s">
        <v>243</v>
      </c>
      <c r="C162" s="24" t="s">
        <v>57</v>
      </c>
      <c r="D162" s="89" t="s">
        <v>244</v>
      </c>
      <c r="E162" s="59">
        <f t="shared" si="16"/>
        <v>830500</v>
      </c>
      <c r="F162" s="26">
        <v>830500</v>
      </c>
      <c r="G162" s="26">
        <v>0</v>
      </c>
      <c r="H162" s="26">
        <v>0</v>
      </c>
      <c r="I162" s="26">
        <v>0</v>
      </c>
      <c r="J162" s="59">
        <f t="shared" si="15"/>
        <v>0</v>
      </c>
      <c r="K162" s="26">
        <v>0</v>
      </c>
      <c r="L162" s="26">
        <v>0</v>
      </c>
      <c r="M162" s="26">
        <v>0</v>
      </c>
      <c r="N162" s="26">
        <v>0</v>
      </c>
      <c r="O162" s="26">
        <v>0</v>
      </c>
      <c r="P162" s="25">
        <f t="shared" si="10"/>
        <v>830500</v>
      </c>
    </row>
    <row r="163" spans="1:16" s="11" customFormat="1" ht="96">
      <c r="A163" s="22"/>
      <c r="B163" s="23"/>
      <c r="C163" s="24"/>
      <c r="D163" s="11" t="s">
        <v>504</v>
      </c>
      <c r="E163" s="59">
        <f t="shared" si="16"/>
        <v>830500</v>
      </c>
      <c r="F163" s="26">
        <f>F162</f>
        <v>830500</v>
      </c>
      <c r="G163" s="26"/>
      <c r="H163" s="26"/>
      <c r="I163" s="26"/>
      <c r="J163" s="59">
        <f t="shared" si="15"/>
        <v>0</v>
      </c>
      <c r="K163" s="26"/>
      <c r="L163" s="26"/>
      <c r="M163" s="26"/>
      <c r="N163" s="26"/>
      <c r="O163" s="26"/>
      <c r="P163" s="25">
        <f t="shared" si="10"/>
        <v>830500</v>
      </c>
    </row>
    <row r="164" spans="1:16" s="11" customFormat="1" ht="27">
      <c r="A164" s="22" t="s">
        <v>452</v>
      </c>
      <c r="B164" s="23" t="s">
        <v>245</v>
      </c>
      <c r="C164" s="24" t="s">
        <v>57</v>
      </c>
      <c r="D164" s="89" t="s">
        <v>534</v>
      </c>
      <c r="E164" s="59">
        <f t="shared" si="16"/>
        <v>249360</v>
      </c>
      <c r="F164" s="26">
        <f>301000-51640</f>
        <v>249360</v>
      </c>
      <c r="G164" s="26">
        <v>0</v>
      </c>
      <c r="H164" s="26">
        <v>0</v>
      </c>
      <c r="I164" s="26">
        <v>0</v>
      </c>
      <c r="J164" s="59">
        <f t="shared" si="15"/>
        <v>0</v>
      </c>
      <c r="K164" s="26">
        <v>0</v>
      </c>
      <c r="L164" s="26">
        <v>0</v>
      </c>
      <c r="M164" s="26">
        <v>0</v>
      </c>
      <c r="N164" s="26">
        <v>0</v>
      </c>
      <c r="O164" s="26">
        <v>0</v>
      </c>
      <c r="P164" s="25">
        <f t="shared" si="10"/>
        <v>249360</v>
      </c>
    </row>
    <row r="165" spans="1:16" s="11" customFormat="1" ht="96">
      <c r="A165" s="22"/>
      <c r="B165" s="23"/>
      <c r="C165" s="24"/>
      <c r="D165" s="11" t="s">
        <v>504</v>
      </c>
      <c r="E165" s="59">
        <f t="shared" si="16"/>
        <v>249360</v>
      </c>
      <c r="F165" s="26">
        <f>F164</f>
        <v>249360</v>
      </c>
      <c r="G165" s="26"/>
      <c r="H165" s="26"/>
      <c r="I165" s="26"/>
      <c r="J165" s="59">
        <f t="shared" si="15"/>
        <v>0</v>
      </c>
      <c r="K165" s="26"/>
      <c r="L165" s="26"/>
      <c r="M165" s="26"/>
      <c r="N165" s="26"/>
      <c r="O165" s="26"/>
      <c r="P165" s="25">
        <f t="shared" si="10"/>
        <v>249360</v>
      </c>
    </row>
    <row r="166" spans="1:16" s="11" customFormat="1" ht="21" customHeight="1">
      <c r="A166" s="22" t="s">
        <v>453</v>
      </c>
      <c r="B166" s="23" t="s">
        <v>246</v>
      </c>
      <c r="C166" s="24" t="s">
        <v>57</v>
      </c>
      <c r="D166" s="75" t="s">
        <v>247</v>
      </c>
      <c r="E166" s="59">
        <f t="shared" si="16"/>
        <v>38601500</v>
      </c>
      <c r="F166" s="26">
        <v>38601500</v>
      </c>
      <c r="G166" s="26">
        <v>0</v>
      </c>
      <c r="H166" s="26">
        <v>0</v>
      </c>
      <c r="I166" s="26">
        <v>0</v>
      </c>
      <c r="J166" s="59">
        <f t="shared" si="15"/>
        <v>0</v>
      </c>
      <c r="K166" s="26">
        <v>0</v>
      </c>
      <c r="L166" s="26">
        <v>0</v>
      </c>
      <c r="M166" s="26">
        <v>0</v>
      </c>
      <c r="N166" s="26">
        <v>0</v>
      </c>
      <c r="O166" s="26">
        <v>0</v>
      </c>
      <c r="P166" s="25">
        <f t="shared" si="10"/>
        <v>38601500</v>
      </c>
    </row>
    <row r="167" spans="1:16" s="11" customFormat="1" ht="96">
      <c r="A167" s="22"/>
      <c r="B167" s="23"/>
      <c r="C167" s="24"/>
      <c r="D167" s="11" t="s">
        <v>504</v>
      </c>
      <c r="E167" s="59">
        <f t="shared" si="16"/>
        <v>38601500</v>
      </c>
      <c r="F167" s="26">
        <f>F166</f>
        <v>38601500</v>
      </c>
      <c r="G167" s="26"/>
      <c r="H167" s="26"/>
      <c r="I167" s="26"/>
      <c r="J167" s="59">
        <f t="shared" si="15"/>
        <v>0</v>
      </c>
      <c r="K167" s="26"/>
      <c r="L167" s="26"/>
      <c r="M167" s="26"/>
      <c r="N167" s="26"/>
      <c r="O167" s="26"/>
      <c r="P167" s="25">
        <f t="shared" si="10"/>
        <v>38601500</v>
      </c>
    </row>
    <row r="168" spans="1:16" s="11" customFormat="1" ht="27">
      <c r="A168" s="22" t="s">
        <v>454</v>
      </c>
      <c r="B168" s="23" t="s">
        <v>248</v>
      </c>
      <c r="C168" s="24" t="s">
        <v>57</v>
      </c>
      <c r="D168" s="75" t="s">
        <v>249</v>
      </c>
      <c r="E168" s="59">
        <f>F168+I168</f>
        <v>4350100</v>
      </c>
      <c r="F168" s="26">
        <v>4350100</v>
      </c>
      <c r="G168" s="26">
        <v>0</v>
      </c>
      <c r="H168" s="26">
        <v>0</v>
      </c>
      <c r="I168" s="26">
        <v>0</v>
      </c>
      <c r="J168" s="59">
        <f>K168+N168</f>
        <v>0</v>
      </c>
      <c r="K168" s="26">
        <v>0</v>
      </c>
      <c r="L168" s="26">
        <v>0</v>
      </c>
      <c r="M168" s="26">
        <v>0</v>
      </c>
      <c r="N168" s="26">
        <v>0</v>
      </c>
      <c r="O168" s="26">
        <v>0</v>
      </c>
      <c r="P168" s="25">
        <f t="shared" si="10"/>
        <v>4350100</v>
      </c>
    </row>
    <row r="169" spans="1:16" s="11" customFormat="1" ht="96">
      <c r="A169" s="22"/>
      <c r="B169" s="23"/>
      <c r="C169" s="24"/>
      <c r="D169" s="11" t="s">
        <v>504</v>
      </c>
      <c r="E169" s="59">
        <f>F169</f>
        <v>4350100</v>
      </c>
      <c r="F169" s="26">
        <f>F168</f>
        <v>4350100</v>
      </c>
      <c r="G169" s="26"/>
      <c r="H169" s="26"/>
      <c r="I169" s="26"/>
      <c r="J169" s="59">
        <f>K169</f>
        <v>0</v>
      </c>
      <c r="K169" s="26"/>
      <c r="L169" s="26"/>
      <c r="M169" s="26"/>
      <c r="N169" s="26"/>
      <c r="O169" s="26"/>
      <c r="P169" s="25">
        <f t="shared" si="10"/>
        <v>4350100</v>
      </c>
    </row>
    <row r="170" spans="1:16" s="11" customFormat="1" ht="27">
      <c r="A170" s="22" t="s">
        <v>455</v>
      </c>
      <c r="B170" s="23" t="s">
        <v>250</v>
      </c>
      <c r="C170" s="24" t="s">
        <v>57</v>
      </c>
      <c r="D170" s="75" t="s">
        <v>251</v>
      </c>
      <c r="E170" s="59">
        <f aca="true" t="shared" si="17" ref="E170:E183">F170+I170</f>
        <v>14501760</v>
      </c>
      <c r="F170" s="26">
        <v>14501760</v>
      </c>
      <c r="G170" s="26">
        <v>0</v>
      </c>
      <c r="H170" s="26">
        <v>0</v>
      </c>
      <c r="I170" s="26">
        <v>0</v>
      </c>
      <c r="J170" s="59">
        <f aca="true" t="shared" si="18" ref="J170:J183">K170+N170</f>
        <v>0</v>
      </c>
      <c r="K170" s="26">
        <v>0</v>
      </c>
      <c r="L170" s="26">
        <v>0</v>
      </c>
      <c r="M170" s="26">
        <v>0</v>
      </c>
      <c r="N170" s="26">
        <v>0</v>
      </c>
      <c r="O170" s="26">
        <v>0</v>
      </c>
      <c r="P170" s="25">
        <f t="shared" si="10"/>
        <v>14501760</v>
      </c>
    </row>
    <row r="171" spans="1:16" s="11" customFormat="1" ht="96">
      <c r="A171" s="22"/>
      <c r="B171" s="23"/>
      <c r="C171" s="24"/>
      <c r="D171" s="11" t="s">
        <v>504</v>
      </c>
      <c r="E171" s="59">
        <f t="shared" si="17"/>
        <v>14501760</v>
      </c>
      <c r="F171" s="26">
        <f>F170</f>
        <v>14501760</v>
      </c>
      <c r="G171" s="26"/>
      <c r="H171" s="26"/>
      <c r="I171" s="26"/>
      <c r="J171" s="59">
        <f t="shared" si="18"/>
        <v>0</v>
      </c>
      <c r="K171" s="26"/>
      <c r="L171" s="26"/>
      <c r="M171" s="26"/>
      <c r="N171" s="26"/>
      <c r="O171" s="26"/>
      <c r="P171" s="25">
        <f t="shared" si="10"/>
        <v>14501760</v>
      </c>
    </row>
    <row r="172" spans="1:16" s="11" customFormat="1" ht="27">
      <c r="A172" s="22" t="s">
        <v>456</v>
      </c>
      <c r="B172" s="23" t="s">
        <v>252</v>
      </c>
      <c r="C172" s="24" t="s">
        <v>57</v>
      </c>
      <c r="D172" s="75" t="s">
        <v>253</v>
      </c>
      <c r="E172" s="59">
        <f t="shared" si="17"/>
        <v>403600</v>
      </c>
      <c r="F172" s="26">
        <v>403600</v>
      </c>
      <c r="G172" s="26">
        <v>0</v>
      </c>
      <c r="H172" s="26">
        <v>0</v>
      </c>
      <c r="I172" s="26">
        <v>0</v>
      </c>
      <c r="J172" s="59">
        <f t="shared" si="18"/>
        <v>0</v>
      </c>
      <c r="K172" s="26">
        <v>0</v>
      </c>
      <c r="L172" s="26">
        <v>0</v>
      </c>
      <c r="M172" s="26">
        <v>0</v>
      </c>
      <c r="N172" s="26">
        <v>0</v>
      </c>
      <c r="O172" s="26">
        <v>0</v>
      </c>
      <c r="P172" s="25">
        <f t="shared" si="10"/>
        <v>403600</v>
      </c>
    </row>
    <row r="173" spans="1:16" s="11" customFormat="1" ht="96">
      <c r="A173" s="22"/>
      <c r="B173" s="23"/>
      <c r="C173" s="24"/>
      <c r="D173" s="11" t="s">
        <v>504</v>
      </c>
      <c r="E173" s="59">
        <f t="shared" si="17"/>
        <v>403600</v>
      </c>
      <c r="F173" s="26">
        <f>F172</f>
        <v>403600</v>
      </c>
      <c r="G173" s="26"/>
      <c r="H173" s="26"/>
      <c r="I173" s="26"/>
      <c r="J173" s="59">
        <f t="shared" si="18"/>
        <v>0</v>
      </c>
      <c r="K173" s="26"/>
      <c r="L173" s="26"/>
      <c r="M173" s="26"/>
      <c r="N173" s="26"/>
      <c r="O173" s="26"/>
      <c r="P173" s="25">
        <f t="shared" si="10"/>
        <v>403600</v>
      </c>
    </row>
    <row r="174" spans="1:16" s="11" customFormat="1" ht="13.5">
      <c r="A174" s="22" t="s">
        <v>457</v>
      </c>
      <c r="B174" s="23" t="s">
        <v>254</v>
      </c>
      <c r="C174" s="24" t="s">
        <v>57</v>
      </c>
      <c r="D174" s="75" t="s">
        <v>255</v>
      </c>
      <c r="E174" s="59">
        <f t="shared" si="17"/>
        <v>144480</v>
      </c>
      <c r="F174" s="26">
        <f>92840+51640</f>
        <v>144480</v>
      </c>
      <c r="G174" s="26">
        <v>0</v>
      </c>
      <c r="H174" s="26">
        <v>0</v>
      </c>
      <c r="I174" s="26">
        <v>0</v>
      </c>
      <c r="J174" s="59">
        <f t="shared" si="18"/>
        <v>0</v>
      </c>
      <c r="K174" s="26">
        <v>0</v>
      </c>
      <c r="L174" s="26">
        <v>0</v>
      </c>
      <c r="M174" s="26">
        <v>0</v>
      </c>
      <c r="N174" s="26">
        <v>0</v>
      </c>
      <c r="O174" s="26">
        <v>0</v>
      </c>
      <c r="P174" s="25">
        <f t="shared" si="10"/>
        <v>144480</v>
      </c>
    </row>
    <row r="175" spans="1:16" s="11" customFormat="1" ht="96">
      <c r="A175" s="22"/>
      <c r="B175" s="23"/>
      <c r="C175" s="24"/>
      <c r="D175" s="11" t="s">
        <v>504</v>
      </c>
      <c r="E175" s="59">
        <f t="shared" si="17"/>
        <v>144480</v>
      </c>
      <c r="F175" s="26">
        <f>F174</f>
        <v>144480</v>
      </c>
      <c r="G175" s="26"/>
      <c r="H175" s="26"/>
      <c r="I175" s="26"/>
      <c r="J175" s="59">
        <f t="shared" si="18"/>
        <v>0</v>
      </c>
      <c r="K175" s="26"/>
      <c r="L175" s="26"/>
      <c r="M175" s="26"/>
      <c r="N175" s="26"/>
      <c r="O175" s="26"/>
      <c r="P175" s="25">
        <f t="shared" si="10"/>
        <v>144480</v>
      </c>
    </row>
    <row r="176" spans="1:16" s="11" customFormat="1" ht="27">
      <c r="A176" s="22" t="s">
        <v>458</v>
      </c>
      <c r="B176" s="23" t="s">
        <v>256</v>
      </c>
      <c r="C176" s="24" t="s">
        <v>57</v>
      </c>
      <c r="D176" s="75" t="s">
        <v>257</v>
      </c>
      <c r="E176" s="59">
        <f t="shared" si="17"/>
        <v>18601500</v>
      </c>
      <c r="F176" s="26">
        <v>18601500</v>
      </c>
      <c r="G176" s="26">
        <v>0</v>
      </c>
      <c r="H176" s="26">
        <v>0</v>
      </c>
      <c r="I176" s="26">
        <v>0</v>
      </c>
      <c r="J176" s="59">
        <f t="shared" si="18"/>
        <v>0</v>
      </c>
      <c r="K176" s="26">
        <v>0</v>
      </c>
      <c r="L176" s="26">
        <v>0</v>
      </c>
      <c r="M176" s="26">
        <v>0</v>
      </c>
      <c r="N176" s="26">
        <v>0</v>
      </c>
      <c r="O176" s="26">
        <v>0</v>
      </c>
      <c r="P176" s="25">
        <f t="shared" si="10"/>
        <v>18601500</v>
      </c>
    </row>
    <row r="177" spans="1:16" s="11" customFormat="1" ht="96">
      <c r="A177" s="22"/>
      <c r="B177" s="23"/>
      <c r="C177" s="24"/>
      <c r="D177" s="11" t="s">
        <v>504</v>
      </c>
      <c r="E177" s="59">
        <f t="shared" si="17"/>
        <v>18601500</v>
      </c>
      <c r="F177" s="26">
        <f>F176</f>
        <v>18601500</v>
      </c>
      <c r="G177" s="26"/>
      <c r="H177" s="26"/>
      <c r="I177" s="26"/>
      <c r="J177" s="59">
        <f t="shared" si="18"/>
        <v>0</v>
      </c>
      <c r="K177" s="26"/>
      <c r="L177" s="26"/>
      <c r="M177" s="26"/>
      <c r="N177" s="26"/>
      <c r="O177" s="26"/>
      <c r="P177" s="25">
        <f t="shared" si="10"/>
        <v>18601500</v>
      </c>
    </row>
    <row r="178" spans="1:16" s="11" customFormat="1" ht="27">
      <c r="A178" s="22" t="s">
        <v>459</v>
      </c>
      <c r="B178" s="23" t="s">
        <v>258</v>
      </c>
      <c r="C178" s="24" t="s">
        <v>49</v>
      </c>
      <c r="D178" s="75" t="s">
        <v>259</v>
      </c>
      <c r="E178" s="59">
        <f t="shared" si="17"/>
        <v>13510500</v>
      </c>
      <c r="F178" s="26">
        <v>13510500</v>
      </c>
      <c r="G178" s="26">
        <v>0</v>
      </c>
      <c r="H178" s="26">
        <v>0</v>
      </c>
      <c r="I178" s="26">
        <v>0</v>
      </c>
      <c r="J178" s="59">
        <f t="shared" si="18"/>
        <v>0</v>
      </c>
      <c r="K178" s="26">
        <v>0</v>
      </c>
      <c r="L178" s="26">
        <v>0</v>
      </c>
      <c r="M178" s="26">
        <v>0</v>
      </c>
      <c r="N178" s="26">
        <v>0</v>
      </c>
      <c r="O178" s="26">
        <v>0</v>
      </c>
      <c r="P178" s="25">
        <f t="shared" si="10"/>
        <v>13510500</v>
      </c>
    </row>
    <row r="179" spans="1:16" s="11" customFormat="1" ht="96">
      <c r="A179" s="22"/>
      <c r="B179" s="23"/>
      <c r="C179" s="24"/>
      <c r="D179" s="11" t="s">
        <v>504</v>
      </c>
      <c r="E179" s="59">
        <f t="shared" si="17"/>
        <v>13510500</v>
      </c>
      <c r="F179" s="26">
        <f>F178</f>
        <v>13510500</v>
      </c>
      <c r="G179" s="26"/>
      <c r="H179" s="26"/>
      <c r="I179" s="26"/>
      <c r="J179" s="59">
        <f t="shared" si="18"/>
        <v>0</v>
      </c>
      <c r="K179" s="26"/>
      <c r="L179" s="26"/>
      <c r="M179" s="26"/>
      <c r="N179" s="26"/>
      <c r="O179" s="26"/>
      <c r="P179" s="25">
        <f t="shared" si="10"/>
        <v>13510500</v>
      </c>
    </row>
    <row r="180" spans="1:16" s="11" customFormat="1" ht="41.25">
      <c r="A180" s="3" t="s">
        <v>460</v>
      </c>
      <c r="B180" s="5" t="s">
        <v>260</v>
      </c>
      <c r="C180" s="4" t="s">
        <v>49</v>
      </c>
      <c r="D180" s="73" t="s">
        <v>535</v>
      </c>
      <c r="E180" s="58">
        <f t="shared" si="17"/>
        <v>4509500</v>
      </c>
      <c r="F180" s="21">
        <v>4509500</v>
      </c>
      <c r="G180" s="21">
        <v>0</v>
      </c>
      <c r="H180" s="21">
        <v>0</v>
      </c>
      <c r="I180" s="21">
        <v>0</v>
      </c>
      <c r="J180" s="58">
        <f t="shared" si="18"/>
        <v>0</v>
      </c>
      <c r="K180" s="21">
        <v>0</v>
      </c>
      <c r="L180" s="21">
        <v>0</v>
      </c>
      <c r="M180" s="21">
        <v>0</v>
      </c>
      <c r="N180" s="21">
        <v>0</v>
      </c>
      <c r="O180" s="21">
        <v>0</v>
      </c>
      <c r="P180" s="20">
        <f t="shared" si="10"/>
        <v>4509500</v>
      </c>
    </row>
    <row r="181" spans="1:16" s="11" customFormat="1" ht="96">
      <c r="A181" s="22"/>
      <c r="B181" s="23"/>
      <c r="C181" s="24"/>
      <c r="D181" s="11" t="s">
        <v>504</v>
      </c>
      <c r="E181" s="59">
        <f t="shared" si="17"/>
        <v>4509500</v>
      </c>
      <c r="F181" s="26">
        <f>F180</f>
        <v>4509500</v>
      </c>
      <c r="G181" s="26"/>
      <c r="H181" s="26"/>
      <c r="I181" s="26"/>
      <c r="J181" s="59">
        <f t="shared" si="18"/>
        <v>0</v>
      </c>
      <c r="K181" s="26"/>
      <c r="L181" s="26"/>
      <c r="M181" s="26"/>
      <c r="N181" s="26"/>
      <c r="O181" s="26"/>
      <c r="P181" s="25">
        <f t="shared" si="10"/>
        <v>4509500</v>
      </c>
    </row>
    <row r="182" spans="1:17" s="11" customFormat="1" ht="41.25">
      <c r="A182" s="16" t="s">
        <v>461</v>
      </c>
      <c r="B182" s="17"/>
      <c r="C182" s="18"/>
      <c r="D182" s="74" t="s">
        <v>261</v>
      </c>
      <c r="E182" s="57">
        <f t="shared" si="17"/>
        <v>5449300</v>
      </c>
      <c r="F182" s="19">
        <f>F183</f>
        <v>5449300</v>
      </c>
      <c r="G182" s="19">
        <f>G183</f>
        <v>3903000</v>
      </c>
      <c r="H182" s="19">
        <f>H183</f>
        <v>331900</v>
      </c>
      <c r="I182" s="19">
        <f>I183</f>
        <v>0</v>
      </c>
      <c r="J182" s="57">
        <f t="shared" si="18"/>
        <v>197360</v>
      </c>
      <c r="K182" s="19">
        <f>K183</f>
        <v>61560</v>
      </c>
      <c r="L182" s="19">
        <f>L183</f>
        <v>48000</v>
      </c>
      <c r="M182" s="19">
        <f>M183</f>
        <v>0</v>
      </c>
      <c r="N182" s="19">
        <f>N183</f>
        <v>135800</v>
      </c>
      <c r="O182" s="19">
        <f>O183</f>
        <v>135800</v>
      </c>
      <c r="P182" s="19">
        <f t="shared" si="10"/>
        <v>5646660</v>
      </c>
      <c r="Q182" s="110"/>
    </row>
    <row r="183" spans="1:16" s="11" customFormat="1" ht="54.75">
      <c r="A183" s="22" t="s">
        <v>462</v>
      </c>
      <c r="B183" s="23" t="s">
        <v>262</v>
      </c>
      <c r="C183" s="24" t="s">
        <v>53</v>
      </c>
      <c r="D183" s="75" t="s">
        <v>263</v>
      </c>
      <c r="E183" s="59">
        <f t="shared" si="17"/>
        <v>5449300</v>
      </c>
      <c r="F183" s="26">
        <f>5354100+11000+50000+27700+6500</f>
        <v>5449300</v>
      </c>
      <c r="G183" s="26">
        <v>3903000</v>
      </c>
      <c r="H183" s="26">
        <v>331900</v>
      </c>
      <c r="I183" s="26">
        <v>0</v>
      </c>
      <c r="J183" s="59">
        <f t="shared" si="18"/>
        <v>197360</v>
      </c>
      <c r="K183" s="26">
        <v>61560</v>
      </c>
      <c r="L183" s="26">
        <v>48000</v>
      </c>
      <c r="M183" s="26">
        <v>0</v>
      </c>
      <c r="N183" s="26">
        <f>100000+35800</f>
        <v>135800</v>
      </c>
      <c r="O183" s="26">
        <f>100000+35800</f>
        <v>135800</v>
      </c>
      <c r="P183" s="25">
        <f t="shared" si="10"/>
        <v>5646660</v>
      </c>
    </row>
    <row r="184" spans="1:17" s="11" customFormat="1" ht="69">
      <c r="A184" s="16" t="s">
        <v>463</v>
      </c>
      <c r="B184" s="17"/>
      <c r="C184" s="18"/>
      <c r="D184" s="74" t="s">
        <v>264</v>
      </c>
      <c r="E184" s="57">
        <f aca="true" t="shared" si="19" ref="E184:E190">F184+I184</f>
        <v>627300</v>
      </c>
      <c r="F184" s="19">
        <f>F185</f>
        <v>627300</v>
      </c>
      <c r="G184" s="19">
        <f>G185</f>
        <v>0</v>
      </c>
      <c r="H184" s="19">
        <f>H185</f>
        <v>0</v>
      </c>
      <c r="I184" s="19">
        <f>I185</f>
        <v>0</v>
      </c>
      <c r="J184" s="57">
        <f aca="true" t="shared" si="20" ref="J184:J197">K184+N184</f>
        <v>0</v>
      </c>
      <c r="K184" s="19">
        <f>K185</f>
        <v>0</v>
      </c>
      <c r="L184" s="19">
        <f>L185</f>
        <v>0</v>
      </c>
      <c r="M184" s="19">
        <f>M185</f>
        <v>0</v>
      </c>
      <c r="N184" s="19">
        <f>N185</f>
        <v>0</v>
      </c>
      <c r="O184" s="19">
        <f>O185</f>
        <v>0</v>
      </c>
      <c r="P184" s="19">
        <f t="shared" si="10"/>
        <v>627300</v>
      </c>
      <c r="Q184" s="110"/>
    </row>
    <row r="185" spans="1:16" s="11" customFormat="1" ht="79.5" customHeight="1">
      <c r="A185" s="22" t="s">
        <v>464</v>
      </c>
      <c r="B185" s="23" t="s">
        <v>265</v>
      </c>
      <c r="C185" s="24" t="s">
        <v>49</v>
      </c>
      <c r="D185" s="75" t="s">
        <v>266</v>
      </c>
      <c r="E185" s="59">
        <f t="shared" si="19"/>
        <v>627300</v>
      </c>
      <c r="F185" s="26">
        <v>627300</v>
      </c>
      <c r="G185" s="26">
        <v>0</v>
      </c>
      <c r="H185" s="26">
        <v>0</v>
      </c>
      <c r="I185" s="26">
        <v>0</v>
      </c>
      <c r="J185" s="59">
        <f t="shared" si="20"/>
        <v>0</v>
      </c>
      <c r="K185" s="26">
        <v>0</v>
      </c>
      <c r="L185" s="26">
        <v>0</v>
      </c>
      <c r="M185" s="26">
        <v>0</v>
      </c>
      <c r="N185" s="26">
        <v>0</v>
      </c>
      <c r="O185" s="26">
        <v>0</v>
      </c>
      <c r="P185" s="25">
        <f t="shared" si="10"/>
        <v>627300</v>
      </c>
    </row>
    <row r="186" spans="1:17" s="11" customFormat="1" ht="82.5">
      <c r="A186" s="3" t="s">
        <v>465</v>
      </c>
      <c r="B186" s="5" t="s">
        <v>267</v>
      </c>
      <c r="C186" s="4" t="s">
        <v>226</v>
      </c>
      <c r="D186" s="73" t="s">
        <v>268</v>
      </c>
      <c r="E186" s="58">
        <f t="shared" si="19"/>
        <v>601100</v>
      </c>
      <c r="F186" s="21">
        <v>601100</v>
      </c>
      <c r="G186" s="21">
        <v>0</v>
      </c>
      <c r="H186" s="21">
        <v>0</v>
      </c>
      <c r="I186" s="21">
        <v>0</v>
      </c>
      <c r="J186" s="58">
        <f t="shared" si="20"/>
        <v>0</v>
      </c>
      <c r="K186" s="21">
        <v>0</v>
      </c>
      <c r="L186" s="21">
        <v>0</v>
      </c>
      <c r="M186" s="21">
        <v>0</v>
      </c>
      <c r="N186" s="21">
        <v>0</v>
      </c>
      <c r="O186" s="21">
        <v>0</v>
      </c>
      <c r="P186" s="20">
        <f t="shared" si="10"/>
        <v>601100</v>
      </c>
      <c r="Q186" s="110"/>
    </row>
    <row r="187" spans="1:17" s="11" customFormat="1" ht="27">
      <c r="A187" s="16" t="s">
        <v>466</v>
      </c>
      <c r="B187" s="17"/>
      <c r="C187" s="18"/>
      <c r="D187" s="74" t="s">
        <v>211</v>
      </c>
      <c r="E187" s="57">
        <f t="shared" si="19"/>
        <v>50000</v>
      </c>
      <c r="F187" s="19">
        <f>F188</f>
        <v>50000</v>
      </c>
      <c r="G187" s="19">
        <v>0</v>
      </c>
      <c r="H187" s="19">
        <v>0</v>
      </c>
      <c r="I187" s="19">
        <v>0</v>
      </c>
      <c r="J187" s="57">
        <f t="shared" si="20"/>
        <v>0</v>
      </c>
      <c r="K187" s="19">
        <v>0</v>
      </c>
      <c r="L187" s="19">
        <v>0</v>
      </c>
      <c r="M187" s="19">
        <v>0</v>
      </c>
      <c r="N187" s="19">
        <v>0</v>
      </c>
      <c r="O187" s="19">
        <v>0</v>
      </c>
      <c r="P187" s="19">
        <f t="shared" si="10"/>
        <v>50000</v>
      </c>
      <c r="Q187" s="110"/>
    </row>
    <row r="188" spans="1:16" s="11" customFormat="1" ht="41.25">
      <c r="A188" s="22" t="s">
        <v>467</v>
      </c>
      <c r="B188" s="23" t="s">
        <v>213</v>
      </c>
      <c r="C188" s="24" t="s">
        <v>186</v>
      </c>
      <c r="D188" s="75" t="s">
        <v>214</v>
      </c>
      <c r="E188" s="59">
        <f t="shared" si="19"/>
        <v>50000</v>
      </c>
      <c r="F188" s="26">
        <v>50000</v>
      </c>
      <c r="G188" s="26">
        <v>0</v>
      </c>
      <c r="H188" s="26">
        <v>0</v>
      </c>
      <c r="I188" s="26">
        <v>0</v>
      </c>
      <c r="J188" s="59">
        <f t="shared" si="20"/>
        <v>0</v>
      </c>
      <c r="K188" s="26">
        <v>0</v>
      </c>
      <c r="L188" s="26">
        <v>0</v>
      </c>
      <c r="M188" s="26">
        <v>0</v>
      </c>
      <c r="N188" s="26">
        <v>0</v>
      </c>
      <c r="O188" s="26">
        <v>0</v>
      </c>
      <c r="P188" s="25">
        <f t="shared" si="10"/>
        <v>50000</v>
      </c>
    </row>
    <row r="189" spans="1:17" s="11" customFormat="1" ht="27">
      <c r="A189" s="3" t="s">
        <v>468</v>
      </c>
      <c r="B189" s="5" t="s">
        <v>219</v>
      </c>
      <c r="C189" s="4" t="s">
        <v>61</v>
      </c>
      <c r="D189" s="73" t="s">
        <v>220</v>
      </c>
      <c r="E189" s="58">
        <f t="shared" si="19"/>
        <v>21000</v>
      </c>
      <c r="F189" s="21">
        <v>21000</v>
      </c>
      <c r="G189" s="21">
        <v>0</v>
      </c>
      <c r="H189" s="21">
        <v>0</v>
      </c>
      <c r="I189" s="21">
        <v>0</v>
      </c>
      <c r="J189" s="58">
        <f t="shared" si="20"/>
        <v>0</v>
      </c>
      <c r="K189" s="21">
        <v>0</v>
      </c>
      <c r="L189" s="21">
        <v>0</v>
      </c>
      <c r="M189" s="21">
        <v>0</v>
      </c>
      <c r="N189" s="21">
        <v>0</v>
      </c>
      <c r="O189" s="21">
        <v>0</v>
      </c>
      <c r="P189" s="20">
        <f t="shared" si="10"/>
        <v>21000</v>
      </c>
      <c r="Q189" s="110"/>
    </row>
    <row r="190" spans="1:16" s="11" customFormat="1" ht="27">
      <c r="A190" s="3" t="s">
        <v>469</v>
      </c>
      <c r="B190" s="5" t="s">
        <v>222</v>
      </c>
      <c r="C190" s="4" t="s">
        <v>147</v>
      </c>
      <c r="D190" s="73" t="s">
        <v>223</v>
      </c>
      <c r="E190" s="58">
        <f t="shared" si="19"/>
        <v>0</v>
      </c>
      <c r="F190" s="21">
        <v>0</v>
      </c>
      <c r="G190" s="21">
        <v>0</v>
      </c>
      <c r="H190" s="21">
        <v>0</v>
      </c>
      <c r="I190" s="21">
        <v>0</v>
      </c>
      <c r="J190" s="58">
        <f t="shared" si="20"/>
        <v>0</v>
      </c>
      <c r="K190" s="21">
        <v>0</v>
      </c>
      <c r="L190" s="21">
        <v>0</v>
      </c>
      <c r="M190" s="21">
        <v>0</v>
      </c>
      <c r="N190" s="21">
        <f>100000-100000</f>
        <v>0</v>
      </c>
      <c r="O190" s="21">
        <f>100000-100000</f>
        <v>0</v>
      </c>
      <c r="P190" s="20">
        <f>E190+J190</f>
        <v>0</v>
      </c>
    </row>
    <row r="191" spans="1:16" s="101" customFormat="1" ht="41.25">
      <c r="A191" s="27" t="s">
        <v>436</v>
      </c>
      <c r="B191" s="28"/>
      <c r="C191" s="29"/>
      <c r="D191" s="78" t="s">
        <v>470</v>
      </c>
      <c r="E191" s="58">
        <f aca="true" t="shared" si="21" ref="E191:E197">F191+I191</f>
        <v>192057820.52</v>
      </c>
      <c r="F191" s="20">
        <f>F192+F193+F195+F207+F210+F229+F231+F233+F235+F236+F238+F239</f>
        <v>192057820.52</v>
      </c>
      <c r="G191" s="20">
        <f>G192+G193+G195+G207+G210+G229+G231+G233+G235+G236+G238+G239</f>
        <v>9628440</v>
      </c>
      <c r="H191" s="20">
        <f>H192+H193+H195+H207+H210+H229+H231+H233+H235+H236+H238+H239</f>
        <v>470318</v>
      </c>
      <c r="I191" s="20">
        <f>I192+I193+I195+I207+I210+I229+I231+I233+I235+I236+I238+I239</f>
        <v>0</v>
      </c>
      <c r="J191" s="58">
        <f t="shared" si="20"/>
        <v>1215436</v>
      </c>
      <c r="K191" s="20">
        <f>K192+K193+K195+K207+K210+K229+K231+K233+K235+K236+K238+K239</f>
        <v>73100</v>
      </c>
      <c r="L191" s="20">
        <f>L192+L193+L195+L207+L210+L229+L231+L233+L235+L236+L238+L239</f>
        <v>50900</v>
      </c>
      <c r="M191" s="20">
        <f>M192+M193+M195+M207+M210+M229+M231+M233+M235+M236+M238+M239</f>
        <v>0</v>
      </c>
      <c r="N191" s="20">
        <f>N192+N193+N195+N207+N210+N229+N231+N233+N235+N236+N238+N239</f>
        <v>1142336</v>
      </c>
      <c r="O191" s="20">
        <f>O192+O193+O195+O207+O210+O229+O231+O233+O235+O236+O238+O239</f>
        <v>1142336</v>
      </c>
      <c r="P191" s="20">
        <f t="shared" si="10"/>
        <v>193273256.52</v>
      </c>
    </row>
    <row r="192" spans="1:17" s="11" customFormat="1" ht="27">
      <c r="A192" s="3" t="s">
        <v>437</v>
      </c>
      <c r="B192" s="30" t="s">
        <v>35</v>
      </c>
      <c r="C192" s="30" t="s">
        <v>20</v>
      </c>
      <c r="D192" s="73" t="s">
        <v>539</v>
      </c>
      <c r="E192" s="58">
        <f t="shared" si="21"/>
        <v>7592932</v>
      </c>
      <c r="F192" s="21">
        <v>7592932</v>
      </c>
      <c r="G192" s="21">
        <v>5860980</v>
      </c>
      <c r="H192" s="21">
        <v>343418</v>
      </c>
      <c r="I192" s="21">
        <v>0</v>
      </c>
      <c r="J192" s="58">
        <f t="shared" si="20"/>
        <v>0</v>
      </c>
      <c r="K192" s="21">
        <v>0</v>
      </c>
      <c r="L192" s="21">
        <v>0</v>
      </c>
      <c r="M192" s="21">
        <v>0</v>
      </c>
      <c r="N192" s="21">
        <v>0</v>
      </c>
      <c r="O192" s="21">
        <v>0</v>
      </c>
      <c r="P192" s="20">
        <f t="shared" si="10"/>
        <v>7592932</v>
      </c>
      <c r="Q192" s="110"/>
    </row>
    <row r="193" spans="1:17" s="11" customFormat="1" ht="82.5">
      <c r="A193" s="3" t="s">
        <v>439</v>
      </c>
      <c r="B193" s="5" t="s">
        <v>226</v>
      </c>
      <c r="C193" s="4" t="s">
        <v>48</v>
      </c>
      <c r="D193" s="73" t="s">
        <v>478</v>
      </c>
      <c r="E193" s="58">
        <f t="shared" si="21"/>
        <v>1756300</v>
      </c>
      <c r="F193" s="21">
        <v>1756300</v>
      </c>
      <c r="G193" s="21">
        <v>0</v>
      </c>
      <c r="H193" s="21">
        <v>0</v>
      </c>
      <c r="I193" s="21">
        <v>0</v>
      </c>
      <c r="J193" s="58">
        <f t="shared" si="20"/>
        <v>0</v>
      </c>
      <c r="K193" s="21">
        <v>0</v>
      </c>
      <c r="L193" s="21">
        <v>0</v>
      </c>
      <c r="M193" s="21">
        <v>0</v>
      </c>
      <c r="N193" s="21">
        <v>0</v>
      </c>
      <c r="O193" s="21">
        <v>0</v>
      </c>
      <c r="P193" s="20">
        <f t="shared" si="10"/>
        <v>1756300</v>
      </c>
      <c r="Q193" s="110"/>
    </row>
    <row r="194" spans="1:16" s="11" customFormat="1" ht="210" customHeight="1">
      <c r="A194" s="22"/>
      <c r="B194" s="23"/>
      <c r="C194" s="24"/>
      <c r="D194" s="77" t="s">
        <v>503</v>
      </c>
      <c r="E194" s="59">
        <f t="shared" si="21"/>
        <v>1756300</v>
      </c>
      <c r="F194" s="26">
        <f>F193</f>
        <v>1756300</v>
      </c>
      <c r="G194" s="26"/>
      <c r="H194" s="26"/>
      <c r="I194" s="26"/>
      <c r="J194" s="59">
        <f t="shared" si="20"/>
        <v>0</v>
      </c>
      <c r="K194" s="26"/>
      <c r="L194" s="26"/>
      <c r="M194" s="26"/>
      <c r="N194" s="26"/>
      <c r="O194" s="26"/>
      <c r="P194" s="25">
        <f t="shared" si="10"/>
        <v>1756300</v>
      </c>
    </row>
    <row r="195" spans="1:17" s="11" customFormat="1" ht="82.5">
      <c r="A195" s="16" t="s">
        <v>438</v>
      </c>
      <c r="B195" s="17"/>
      <c r="C195" s="18"/>
      <c r="D195" s="91" t="s">
        <v>485</v>
      </c>
      <c r="E195" s="57">
        <f t="shared" si="21"/>
        <v>80881371.17</v>
      </c>
      <c r="F195" s="19">
        <f>F196+F198+F201+F203+F205</f>
        <v>80881371.17</v>
      </c>
      <c r="G195" s="19">
        <f>G196+G198+G201+G203+G205</f>
        <v>0</v>
      </c>
      <c r="H195" s="19">
        <f>H196+H198+H201+H203+H205</f>
        <v>0</v>
      </c>
      <c r="I195" s="19">
        <f>I196+I198+I201+I203+I205</f>
        <v>0</v>
      </c>
      <c r="J195" s="57">
        <f t="shared" si="20"/>
        <v>0</v>
      </c>
      <c r="K195" s="19">
        <f>K196+K198+K201+K203+K205</f>
        <v>0</v>
      </c>
      <c r="L195" s="19">
        <f>L196+L198+L201+L203+L205</f>
        <v>0</v>
      </c>
      <c r="M195" s="19">
        <f>M196+M198+M201+M203+M205</f>
        <v>0</v>
      </c>
      <c r="N195" s="19">
        <f>N196+N198+N201+N203+N205</f>
        <v>0</v>
      </c>
      <c r="O195" s="19">
        <f>O196+O198+O201+O203+O205</f>
        <v>0</v>
      </c>
      <c r="P195" s="19">
        <f t="shared" si="10"/>
        <v>80881371.17</v>
      </c>
      <c r="Q195" s="110"/>
    </row>
    <row r="196" spans="1:16" s="11" customFormat="1" ht="234">
      <c r="A196" s="22" t="s">
        <v>440</v>
      </c>
      <c r="B196" s="23" t="s">
        <v>227</v>
      </c>
      <c r="C196" s="24" t="s">
        <v>186</v>
      </c>
      <c r="D196" s="11" t="s">
        <v>481</v>
      </c>
      <c r="E196" s="59">
        <f t="shared" si="21"/>
        <v>4745172.709999999</v>
      </c>
      <c r="F196" s="26">
        <f>7000000+140303.54-2702449.93+63798.43+153923.35+89597.32+166332.46-166332.46</f>
        <v>4745172.709999999</v>
      </c>
      <c r="G196" s="26">
        <v>0</v>
      </c>
      <c r="H196" s="26">
        <v>0</v>
      </c>
      <c r="I196" s="26">
        <v>0</v>
      </c>
      <c r="J196" s="59">
        <f t="shared" si="20"/>
        <v>0</v>
      </c>
      <c r="K196" s="26">
        <v>0</v>
      </c>
      <c r="L196" s="26">
        <v>0</v>
      </c>
      <c r="M196" s="26">
        <v>0</v>
      </c>
      <c r="N196" s="26">
        <v>0</v>
      </c>
      <c r="O196" s="26">
        <v>0</v>
      </c>
      <c r="P196" s="25">
        <f t="shared" si="10"/>
        <v>4745172.709999999</v>
      </c>
    </row>
    <row r="197" spans="1:16" s="11" customFormat="1" ht="123.75">
      <c r="A197" s="32"/>
      <c r="B197" s="33"/>
      <c r="C197" s="34"/>
      <c r="D197" s="92" t="s">
        <v>506</v>
      </c>
      <c r="E197" s="59">
        <f t="shared" si="21"/>
        <v>4745172.709999999</v>
      </c>
      <c r="F197" s="35">
        <f>F196</f>
        <v>4745172.709999999</v>
      </c>
      <c r="G197" s="35"/>
      <c r="H197" s="35"/>
      <c r="I197" s="35"/>
      <c r="J197" s="59">
        <f t="shared" si="20"/>
        <v>0</v>
      </c>
      <c r="K197" s="35"/>
      <c r="L197" s="35"/>
      <c r="M197" s="35"/>
      <c r="N197" s="35"/>
      <c r="O197" s="35"/>
      <c r="P197" s="25">
        <f t="shared" si="10"/>
        <v>4745172.709999999</v>
      </c>
    </row>
    <row r="198" spans="1:16" s="11" customFormat="1" ht="317.25">
      <c r="A198" s="142" t="s">
        <v>441</v>
      </c>
      <c r="B198" s="144" t="s">
        <v>228</v>
      </c>
      <c r="C198" s="148" t="s">
        <v>186</v>
      </c>
      <c r="D198" s="93" t="s">
        <v>482</v>
      </c>
      <c r="E198" s="153">
        <f>F198+I198</f>
        <v>543959.0900000001</v>
      </c>
      <c r="F198" s="151">
        <f>2000000+22558.21-1531332.68+12239.38+25719.54+14774.64+25736.58-25736.58</f>
        <v>543959.0900000001</v>
      </c>
      <c r="G198" s="151">
        <v>0</v>
      </c>
      <c r="H198" s="151">
        <v>0</v>
      </c>
      <c r="I198" s="151">
        <v>0</v>
      </c>
      <c r="J198" s="153">
        <f>K198+N198</f>
        <v>0</v>
      </c>
      <c r="K198" s="151">
        <v>0</v>
      </c>
      <c r="L198" s="151">
        <v>0</v>
      </c>
      <c r="M198" s="151">
        <v>0</v>
      </c>
      <c r="N198" s="151">
        <v>0</v>
      </c>
      <c r="O198" s="151">
        <v>0</v>
      </c>
      <c r="P198" s="160">
        <f t="shared" si="10"/>
        <v>543959.0900000001</v>
      </c>
    </row>
    <row r="199" spans="1:16" s="11" customFormat="1" ht="372">
      <c r="A199" s="143"/>
      <c r="B199" s="145"/>
      <c r="C199" s="149"/>
      <c r="D199" s="94" t="s">
        <v>483</v>
      </c>
      <c r="E199" s="154"/>
      <c r="F199" s="152"/>
      <c r="G199" s="152"/>
      <c r="H199" s="152"/>
      <c r="I199" s="152"/>
      <c r="J199" s="154"/>
      <c r="K199" s="152"/>
      <c r="L199" s="152"/>
      <c r="M199" s="152"/>
      <c r="N199" s="152"/>
      <c r="O199" s="152"/>
      <c r="P199" s="161"/>
    </row>
    <row r="200" spans="1:16" s="11" customFormat="1" ht="123.75">
      <c r="A200" s="36"/>
      <c r="B200" s="37"/>
      <c r="C200" s="38"/>
      <c r="D200" s="92" t="s">
        <v>506</v>
      </c>
      <c r="E200" s="60">
        <f>F200+I200</f>
        <v>543959.0900000001</v>
      </c>
      <c r="F200" s="39">
        <f>F198</f>
        <v>543959.0900000001</v>
      </c>
      <c r="G200" s="39"/>
      <c r="H200" s="39"/>
      <c r="I200" s="39"/>
      <c r="J200" s="60">
        <f>K200+N200</f>
        <v>0</v>
      </c>
      <c r="K200" s="39"/>
      <c r="L200" s="39"/>
      <c r="M200" s="39"/>
      <c r="N200" s="39"/>
      <c r="O200" s="39"/>
      <c r="P200" s="40">
        <f>E200+J200</f>
        <v>543959.0900000001</v>
      </c>
    </row>
    <row r="201" spans="1:16" s="11" customFormat="1" ht="96">
      <c r="A201" s="22" t="s">
        <v>442</v>
      </c>
      <c r="B201" s="23" t="s">
        <v>229</v>
      </c>
      <c r="C201" s="24" t="s">
        <v>189</v>
      </c>
      <c r="D201" s="95" t="s">
        <v>230</v>
      </c>
      <c r="E201" s="60">
        <f aca="true" t="shared" si="22" ref="E201:E206">F201+I201</f>
        <v>579744.56</v>
      </c>
      <c r="F201" s="26">
        <f>2000000+24085.12-1498165.03+12977.77+25931.44+14915.26+28363.63-28363.63</f>
        <v>579744.56</v>
      </c>
      <c r="G201" s="26">
        <v>0</v>
      </c>
      <c r="H201" s="26">
        <v>0</v>
      </c>
      <c r="I201" s="26">
        <v>0</v>
      </c>
      <c r="J201" s="60">
        <f aca="true" t="shared" si="23" ref="J201:J230">K201+N201</f>
        <v>0</v>
      </c>
      <c r="K201" s="26">
        <v>0</v>
      </c>
      <c r="L201" s="26">
        <v>0</v>
      </c>
      <c r="M201" s="26">
        <v>0</v>
      </c>
      <c r="N201" s="26">
        <v>0</v>
      </c>
      <c r="O201" s="26">
        <v>0</v>
      </c>
      <c r="P201" s="25">
        <f aca="true" t="shared" si="24" ref="P201:P302">E201+J201</f>
        <v>579744.56</v>
      </c>
    </row>
    <row r="202" spans="1:16" s="11" customFormat="1" ht="123.75">
      <c r="A202" s="22"/>
      <c r="B202" s="23"/>
      <c r="C202" s="24"/>
      <c r="D202" s="92" t="s">
        <v>506</v>
      </c>
      <c r="E202" s="60">
        <f t="shared" si="22"/>
        <v>579744.56</v>
      </c>
      <c r="F202" s="26">
        <f>F201</f>
        <v>579744.56</v>
      </c>
      <c r="G202" s="26"/>
      <c r="H202" s="26"/>
      <c r="I202" s="26"/>
      <c r="J202" s="60">
        <f t="shared" si="23"/>
        <v>0</v>
      </c>
      <c r="K202" s="26"/>
      <c r="L202" s="26"/>
      <c r="M202" s="26"/>
      <c r="N202" s="26"/>
      <c r="O202" s="26"/>
      <c r="P202" s="25">
        <f t="shared" si="24"/>
        <v>579744.56</v>
      </c>
    </row>
    <row r="203" spans="1:16" s="11" customFormat="1" ht="27">
      <c r="A203" s="22" t="s">
        <v>444</v>
      </c>
      <c r="B203" s="23" t="s">
        <v>232</v>
      </c>
      <c r="C203" s="24" t="s">
        <v>189</v>
      </c>
      <c r="D203" s="75" t="s">
        <v>233</v>
      </c>
      <c r="E203" s="60">
        <f t="shared" si="22"/>
        <v>447020.94999999995</v>
      </c>
      <c r="F203" s="26">
        <f>2000000+20218.63-1616223.69+9197.04+21887.95+11941.02+21893.66-21893.66</f>
        <v>447020.94999999995</v>
      </c>
      <c r="G203" s="26">
        <v>0</v>
      </c>
      <c r="H203" s="26">
        <v>0</v>
      </c>
      <c r="I203" s="26">
        <v>0</v>
      </c>
      <c r="J203" s="60">
        <f t="shared" si="23"/>
        <v>0</v>
      </c>
      <c r="K203" s="26">
        <v>0</v>
      </c>
      <c r="L203" s="26">
        <v>0</v>
      </c>
      <c r="M203" s="26">
        <v>0</v>
      </c>
      <c r="N203" s="26">
        <v>0</v>
      </c>
      <c r="O203" s="26">
        <v>0</v>
      </c>
      <c r="P203" s="25">
        <f t="shared" si="24"/>
        <v>447020.94999999995</v>
      </c>
    </row>
    <row r="204" spans="1:16" s="11" customFormat="1" ht="123.75">
      <c r="A204" s="22"/>
      <c r="B204" s="23"/>
      <c r="C204" s="24"/>
      <c r="D204" s="92" t="s">
        <v>506</v>
      </c>
      <c r="E204" s="60">
        <f t="shared" si="22"/>
        <v>447020.94999999995</v>
      </c>
      <c r="F204" s="26">
        <f>F203</f>
        <v>447020.94999999995</v>
      </c>
      <c r="G204" s="26"/>
      <c r="H204" s="26"/>
      <c r="I204" s="26"/>
      <c r="J204" s="60">
        <f t="shared" si="23"/>
        <v>0</v>
      </c>
      <c r="K204" s="26"/>
      <c r="L204" s="26"/>
      <c r="M204" s="26"/>
      <c r="N204" s="26"/>
      <c r="O204" s="26"/>
      <c r="P204" s="25">
        <f t="shared" si="24"/>
        <v>447020.94999999995</v>
      </c>
    </row>
    <row r="205" spans="1:16" s="11" customFormat="1" ht="41.25">
      <c r="A205" s="22" t="s">
        <v>445</v>
      </c>
      <c r="B205" s="23" t="s">
        <v>234</v>
      </c>
      <c r="C205" s="24" t="s">
        <v>226</v>
      </c>
      <c r="D205" s="75" t="s">
        <v>235</v>
      </c>
      <c r="E205" s="60">
        <f t="shared" si="22"/>
        <v>74565473.86</v>
      </c>
      <c r="F205" s="26">
        <f>66800000-207165.5+6751923.23-98212.62-227462.28+2987359.28-1163351.44-277616.81</f>
        <v>74565473.86</v>
      </c>
      <c r="G205" s="26">
        <v>0</v>
      </c>
      <c r="H205" s="26">
        <v>0</v>
      </c>
      <c r="I205" s="26">
        <v>0</v>
      </c>
      <c r="J205" s="60">
        <f t="shared" si="23"/>
        <v>0</v>
      </c>
      <c r="K205" s="26">
        <v>0</v>
      </c>
      <c r="L205" s="26">
        <v>0</v>
      </c>
      <c r="M205" s="26">
        <v>0</v>
      </c>
      <c r="N205" s="26">
        <v>0</v>
      </c>
      <c r="O205" s="26">
        <v>0</v>
      </c>
      <c r="P205" s="25">
        <f t="shared" si="24"/>
        <v>74565473.86</v>
      </c>
    </row>
    <row r="206" spans="1:16" s="11" customFormat="1" ht="123.75">
      <c r="A206" s="22"/>
      <c r="B206" s="23"/>
      <c r="C206" s="24"/>
      <c r="D206" s="11" t="s">
        <v>506</v>
      </c>
      <c r="E206" s="59">
        <f t="shared" si="22"/>
        <v>74565473.86</v>
      </c>
      <c r="F206" s="26">
        <f>F205</f>
        <v>74565473.86</v>
      </c>
      <c r="G206" s="26"/>
      <c r="H206" s="26"/>
      <c r="I206" s="26"/>
      <c r="J206" s="59">
        <f t="shared" si="23"/>
        <v>0</v>
      </c>
      <c r="K206" s="26"/>
      <c r="L206" s="26"/>
      <c r="M206" s="26"/>
      <c r="N206" s="26"/>
      <c r="O206" s="26"/>
      <c r="P206" s="25">
        <f t="shared" si="24"/>
        <v>74565473.86</v>
      </c>
    </row>
    <row r="207" spans="1:17" s="11" customFormat="1" ht="41.25">
      <c r="A207" s="16" t="s">
        <v>446</v>
      </c>
      <c r="B207" s="17"/>
      <c r="C207" s="18"/>
      <c r="D207" s="74" t="s">
        <v>236</v>
      </c>
      <c r="E207" s="57">
        <f>F207+I207</f>
        <v>64260</v>
      </c>
      <c r="F207" s="19">
        <f>F208</f>
        <v>64260</v>
      </c>
      <c r="G207" s="19">
        <f>G208</f>
        <v>0</v>
      </c>
      <c r="H207" s="19">
        <f>H208</f>
        <v>0</v>
      </c>
      <c r="I207" s="19">
        <f>I208</f>
        <v>0</v>
      </c>
      <c r="J207" s="57">
        <f t="shared" si="23"/>
        <v>0</v>
      </c>
      <c r="K207" s="19">
        <f>K208</f>
        <v>0</v>
      </c>
      <c r="L207" s="19">
        <f>L208</f>
        <v>0</v>
      </c>
      <c r="M207" s="19">
        <f>M208</f>
        <v>0</v>
      </c>
      <c r="N207" s="19">
        <f>N208</f>
        <v>0</v>
      </c>
      <c r="O207" s="19">
        <f>O208</f>
        <v>0</v>
      </c>
      <c r="P207" s="19">
        <f t="shared" si="24"/>
        <v>64260</v>
      </c>
      <c r="Q207" s="110"/>
    </row>
    <row r="208" spans="1:16" s="11" customFormat="1" ht="54.75">
      <c r="A208" s="22" t="s">
        <v>449</v>
      </c>
      <c r="B208" s="23" t="s">
        <v>240</v>
      </c>
      <c r="C208" s="24" t="s">
        <v>226</v>
      </c>
      <c r="D208" s="75" t="s">
        <v>241</v>
      </c>
      <c r="E208" s="59">
        <f>F208+I208</f>
        <v>64260</v>
      </c>
      <c r="F208" s="26">
        <v>64260</v>
      </c>
      <c r="G208" s="26">
        <v>0</v>
      </c>
      <c r="H208" s="26">
        <v>0</v>
      </c>
      <c r="I208" s="26">
        <v>0</v>
      </c>
      <c r="J208" s="59">
        <f t="shared" si="23"/>
        <v>0</v>
      </c>
      <c r="K208" s="26">
        <v>0</v>
      </c>
      <c r="L208" s="26">
        <v>0</v>
      </c>
      <c r="M208" s="26">
        <v>0</v>
      </c>
      <c r="N208" s="26">
        <v>0</v>
      </c>
      <c r="O208" s="26">
        <v>0</v>
      </c>
      <c r="P208" s="25">
        <f t="shared" si="24"/>
        <v>64260</v>
      </c>
    </row>
    <row r="209" spans="1:16" s="11" customFormat="1" ht="69">
      <c r="A209" s="22"/>
      <c r="B209" s="23"/>
      <c r="C209" s="24"/>
      <c r="D209" s="11" t="s">
        <v>505</v>
      </c>
      <c r="E209" s="59">
        <f>F209+I209</f>
        <v>64260</v>
      </c>
      <c r="F209" s="26">
        <f>F208</f>
        <v>64260</v>
      </c>
      <c r="G209" s="26"/>
      <c r="H209" s="26"/>
      <c r="I209" s="26"/>
      <c r="J209" s="59">
        <f t="shared" si="23"/>
        <v>0</v>
      </c>
      <c r="K209" s="26"/>
      <c r="L209" s="26"/>
      <c r="M209" s="26"/>
      <c r="N209" s="26"/>
      <c r="O209" s="26"/>
      <c r="P209" s="25">
        <f t="shared" si="24"/>
        <v>64260</v>
      </c>
    </row>
    <row r="210" spans="1:17" s="11" customFormat="1" ht="54.75">
      <c r="A210" s="16" t="s">
        <v>450</v>
      </c>
      <c r="B210" s="17"/>
      <c r="C210" s="18"/>
      <c r="D210" s="74" t="s">
        <v>242</v>
      </c>
      <c r="E210" s="57">
        <f>F210+I210</f>
        <v>91332400</v>
      </c>
      <c r="F210" s="19">
        <f>F211+F213+F215+F217+F219+F221+F223+F225+F227</f>
        <v>91332400</v>
      </c>
      <c r="G210" s="19">
        <f>G211+G213+G215+G217+G219+G221+G223+G225+G227</f>
        <v>0</v>
      </c>
      <c r="H210" s="19">
        <f>H211+H213+H215+H217+H219+H221+H223+H225+H227</f>
        <v>0</v>
      </c>
      <c r="I210" s="19">
        <f>I211+I213+I215+I217+I219+I221+I223+I225+I227</f>
        <v>0</v>
      </c>
      <c r="J210" s="57">
        <f t="shared" si="23"/>
        <v>0</v>
      </c>
      <c r="K210" s="19">
        <f>K211+K213+K215+K217+K219+K221+K223+K225+K227</f>
        <v>0</v>
      </c>
      <c r="L210" s="19">
        <f>L211+L213+L215+L217+L219+L221+L223+L225+L227</f>
        <v>0</v>
      </c>
      <c r="M210" s="19">
        <f>M211+M213+M215+M217+M219+M221+M223+M225+M227</f>
        <v>0</v>
      </c>
      <c r="N210" s="19">
        <f>N211+N213+N215+N217+N219+N221+N223+N225+N227</f>
        <v>0</v>
      </c>
      <c r="O210" s="19">
        <f>O211+O213+O215+O217+O219+O221+O223+O225+O227</f>
        <v>0</v>
      </c>
      <c r="P210" s="19">
        <f>E210+J210</f>
        <v>91332400</v>
      </c>
      <c r="Q210" s="110"/>
    </row>
    <row r="211" spans="1:16" s="11" customFormat="1" ht="27">
      <c r="A211" s="22" t="s">
        <v>451</v>
      </c>
      <c r="B211" s="23" t="s">
        <v>243</v>
      </c>
      <c r="C211" s="24" t="s">
        <v>57</v>
      </c>
      <c r="D211" s="75" t="s">
        <v>244</v>
      </c>
      <c r="E211" s="59">
        <f>F211+I211</f>
        <v>703100</v>
      </c>
      <c r="F211" s="26">
        <v>703100</v>
      </c>
      <c r="G211" s="26">
        <v>0</v>
      </c>
      <c r="H211" s="26">
        <v>0</v>
      </c>
      <c r="I211" s="26">
        <v>0</v>
      </c>
      <c r="J211" s="59">
        <f t="shared" si="23"/>
        <v>0</v>
      </c>
      <c r="K211" s="26">
        <v>0</v>
      </c>
      <c r="L211" s="26">
        <v>0</v>
      </c>
      <c r="M211" s="26">
        <v>0</v>
      </c>
      <c r="N211" s="26">
        <v>0</v>
      </c>
      <c r="O211" s="26">
        <v>0</v>
      </c>
      <c r="P211" s="25">
        <f t="shared" si="24"/>
        <v>703100</v>
      </c>
    </row>
    <row r="212" spans="1:16" s="11" customFormat="1" ht="96">
      <c r="A212" s="22"/>
      <c r="B212" s="23"/>
      <c r="C212" s="24"/>
      <c r="D212" s="11" t="s">
        <v>504</v>
      </c>
      <c r="E212" s="59">
        <f aca="true" t="shared" si="25" ref="E212:E230">F212+I212</f>
        <v>703100</v>
      </c>
      <c r="F212" s="26">
        <f>F211</f>
        <v>703100</v>
      </c>
      <c r="G212" s="26"/>
      <c r="H212" s="26"/>
      <c r="I212" s="26"/>
      <c r="J212" s="59">
        <f t="shared" si="23"/>
        <v>0</v>
      </c>
      <c r="K212" s="26"/>
      <c r="L212" s="26"/>
      <c r="M212" s="26"/>
      <c r="N212" s="26"/>
      <c r="O212" s="26"/>
      <c r="P212" s="25">
        <f t="shared" si="24"/>
        <v>703100</v>
      </c>
    </row>
    <row r="213" spans="1:16" s="11" customFormat="1" ht="27">
      <c r="A213" s="22" t="s">
        <v>452</v>
      </c>
      <c r="B213" s="23" t="s">
        <v>245</v>
      </c>
      <c r="C213" s="24" t="s">
        <v>57</v>
      </c>
      <c r="D213" s="89" t="s">
        <v>534</v>
      </c>
      <c r="E213" s="59">
        <f t="shared" si="25"/>
        <v>624100</v>
      </c>
      <c r="F213" s="26">
        <v>624100</v>
      </c>
      <c r="G213" s="26">
        <v>0</v>
      </c>
      <c r="H213" s="26">
        <v>0</v>
      </c>
      <c r="I213" s="26">
        <v>0</v>
      </c>
      <c r="J213" s="59">
        <f t="shared" si="23"/>
        <v>0</v>
      </c>
      <c r="K213" s="26">
        <v>0</v>
      </c>
      <c r="L213" s="26">
        <v>0</v>
      </c>
      <c r="M213" s="26">
        <v>0</v>
      </c>
      <c r="N213" s="26">
        <v>0</v>
      </c>
      <c r="O213" s="26">
        <v>0</v>
      </c>
      <c r="P213" s="25">
        <f t="shared" si="24"/>
        <v>624100</v>
      </c>
    </row>
    <row r="214" spans="1:16" s="11" customFormat="1" ht="96">
      <c r="A214" s="22"/>
      <c r="B214" s="23"/>
      <c r="C214" s="24"/>
      <c r="D214" s="11" t="s">
        <v>504</v>
      </c>
      <c r="E214" s="59">
        <f t="shared" si="25"/>
        <v>624100</v>
      </c>
      <c r="F214" s="26">
        <f>F213</f>
        <v>624100</v>
      </c>
      <c r="G214" s="26"/>
      <c r="H214" s="26"/>
      <c r="I214" s="26"/>
      <c r="J214" s="59">
        <f t="shared" si="23"/>
        <v>0</v>
      </c>
      <c r="K214" s="26"/>
      <c r="L214" s="26"/>
      <c r="M214" s="26"/>
      <c r="N214" s="26"/>
      <c r="O214" s="26"/>
      <c r="P214" s="25">
        <f t="shared" si="24"/>
        <v>624100</v>
      </c>
    </row>
    <row r="215" spans="1:16" s="11" customFormat="1" ht="13.5">
      <c r="A215" s="22" t="s">
        <v>453</v>
      </c>
      <c r="B215" s="23" t="s">
        <v>246</v>
      </c>
      <c r="C215" s="24" t="s">
        <v>57</v>
      </c>
      <c r="D215" s="75" t="s">
        <v>247</v>
      </c>
      <c r="E215" s="59">
        <f t="shared" si="25"/>
        <v>48970700</v>
      </c>
      <c r="F215" s="26">
        <v>48970700</v>
      </c>
      <c r="G215" s="26">
        <v>0</v>
      </c>
      <c r="H215" s="26">
        <v>0</v>
      </c>
      <c r="I215" s="26">
        <v>0</v>
      </c>
      <c r="J215" s="59">
        <f t="shared" si="23"/>
        <v>0</v>
      </c>
      <c r="K215" s="26">
        <v>0</v>
      </c>
      <c r="L215" s="26">
        <v>0</v>
      </c>
      <c r="M215" s="26">
        <v>0</v>
      </c>
      <c r="N215" s="26">
        <v>0</v>
      </c>
      <c r="O215" s="26">
        <v>0</v>
      </c>
      <c r="P215" s="25">
        <f t="shared" si="24"/>
        <v>48970700</v>
      </c>
    </row>
    <row r="216" spans="1:16" s="11" customFormat="1" ht="96">
      <c r="A216" s="22"/>
      <c r="B216" s="23"/>
      <c r="C216" s="24"/>
      <c r="D216" s="11" t="s">
        <v>504</v>
      </c>
      <c r="E216" s="59">
        <f t="shared" si="25"/>
        <v>48970700</v>
      </c>
      <c r="F216" s="26">
        <f>F215</f>
        <v>48970700</v>
      </c>
      <c r="G216" s="26"/>
      <c r="H216" s="26"/>
      <c r="I216" s="26"/>
      <c r="J216" s="59">
        <f t="shared" si="23"/>
        <v>0</v>
      </c>
      <c r="K216" s="26"/>
      <c r="L216" s="26"/>
      <c r="M216" s="26"/>
      <c r="N216" s="26"/>
      <c r="O216" s="26"/>
      <c r="P216" s="25">
        <f t="shared" si="24"/>
        <v>48970700</v>
      </c>
    </row>
    <row r="217" spans="1:16" s="11" customFormat="1" ht="27">
      <c r="A217" s="22" t="s">
        <v>454</v>
      </c>
      <c r="B217" s="23" t="s">
        <v>248</v>
      </c>
      <c r="C217" s="24" t="s">
        <v>57</v>
      </c>
      <c r="D217" s="75" t="s">
        <v>249</v>
      </c>
      <c r="E217" s="59">
        <f t="shared" si="25"/>
        <v>3894100</v>
      </c>
      <c r="F217" s="26">
        <v>3894100</v>
      </c>
      <c r="G217" s="26">
        <v>0</v>
      </c>
      <c r="H217" s="26">
        <v>0</v>
      </c>
      <c r="I217" s="26">
        <v>0</v>
      </c>
      <c r="J217" s="59">
        <f t="shared" si="23"/>
        <v>0</v>
      </c>
      <c r="K217" s="26">
        <v>0</v>
      </c>
      <c r="L217" s="26">
        <v>0</v>
      </c>
      <c r="M217" s="26">
        <v>0</v>
      </c>
      <c r="N217" s="26">
        <v>0</v>
      </c>
      <c r="O217" s="26">
        <v>0</v>
      </c>
      <c r="P217" s="25">
        <f t="shared" si="24"/>
        <v>3894100</v>
      </c>
    </row>
    <row r="218" spans="1:16" s="11" customFormat="1" ht="96">
      <c r="A218" s="22"/>
      <c r="B218" s="23"/>
      <c r="C218" s="24"/>
      <c r="D218" s="11" t="s">
        <v>504</v>
      </c>
      <c r="E218" s="59">
        <f t="shared" si="25"/>
        <v>3894100</v>
      </c>
      <c r="F218" s="26">
        <f>F217</f>
        <v>3894100</v>
      </c>
      <c r="G218" s="26"/>
      <c r="H218" s="26"/>
      <c r="I218" s="26"/>
      <c r="J218" s="59">
        <f t="shared" si="23"/>
        <v>0</v>
      </c>
      <c r="K218" s="26"/>
      <c r="L218" s="26"/>
      <c r="M218" s="26"/>
      <c r="N218" s="26"/>
      <c r="O218" s="26"/>
      <c r="P218" s="25">
        <f t="shared" si="24"/>
        <v>3894100</v>
      </c>
    </row>
    <row r="219" spans="1:16" s="11" customFormat="1" ht="27">
      <c r="A219" s="22" t="s">
        <v>455</v>
      </c>
      <c r="B219" s="23" t="s">
        <v>250</v>
      </c>
      <c r="C219" s="24" t="s">
        <v>57</v>
      </c>
      <c r="D219" s="75" t="s">
        <v>251</v>
      </c>
      <c r="E219" s="59">
        <f t="shared" si="25"/>
        <v>13310400</v>
      </c>
      <c r="F219" s="26">
        <v>13310400</v>
      </c>
      <c r="G219" s="26">
        <v>0</v>
      </c>
      <c r="H219" s="26">
        <v>0</v>
      </c>
      <c r="I219" s="26">
        <v>0</v>
      </c>
      <c r="J219" s="59">
        <f t="shared" si="23"/>
        <v>0</v>
      </c>
      <c r="K219" s="26">
        <v>0</v>
      </c>
      <c r="L219" s="26">
        <v>0</v>
      </c>
      <c r="M219" s="26">
        <v>0</v>
      </c>
      <c r="N219" s="26">
        <v>0</v>
      </c>
      <c r="O219" s="26">
        <v>0</v>
      </c>
      <c r="P219" s="25">
        <f t="shared" si="24"/>
        <v>13310400</v>
      </c>
    </row>
    <row r="220" spans="1:16" s="11" customFormat="1" ht="96">
      <c r="A220" s="22"/>
      <c r="B220" s="23"/>
      <c r="C220" s="24"/>
      <c r="D220" s="92" t="s">
        <v>504</v>
      </c>
      <c r="E220" s="59">
        <f t="shared" si="25"/>
        <v>13310400</v>
      </c>
      <c r="F220" s="26">
        <f>F219</f>
        <v>13310400</v>
      </c>
      <c r="G220" s="26"/>
      <c r="H220" s="26"/>
      <c r="I220" s="26"/>
      <c r="J220" s="59">
        <f t="shared" si="23"/>
        <v>0</v>
      </c>
      <c r="K220" s="26"/>
      <c r="L220" s="26"/>
      <c r="M220" s="26"/>
      <c r="N220" s="26"/>
      <c r="O220" s="26"/>
      <c r="P220" s="25">
        <f t="shared" si="24"/>
        <v>13310400</v>
      </c>
    </row>
    <row r="221" spans="1:16" s="11" customFormat="1" ht="27">
      <c r="A221" s="22" t="s">
        <v>456</v>
      </c>
      <c r="B221" s="23" t="s">
        <v>252</v>
      </c>
      <c r="C221" s="24" t="s">
        <v>57</v>
      </c>
      <c r="D221" s="75" t="s">
        <v>253</v>
      </c>
      <c r="E221" s="59">
        <f t="shared" si="25"/>
        <v>504700</v>
      </c>
      <c r="F221" s="26">
        <v>504700</v>
      </c>
      <c r="G221" s="26">
        <v>0</v>
      </c>
      <c r="H221" s="26">
        <v>0</v>
      </c>
      <c r="I221" s="26">
        <v>0</v>
      </c>
      <c r="J221" s="59">
        <f t="shared" si="23"/>
        <v>0</v>
      </c>
      <c r="K221" s="26">
        <v>0</v>
      </c>
      <c r="L221" s="26">
        <v>0</v>
      </c>
      <c r="M221" s="26">
        <v>0</v>
      </c>
      <c r="N221" s="26">
        <v>0</v>
      </c>
      <c r="O221" s="26">
        <v>0</v>
      </c>
      <c r="P221" s="25">
        <f t="shared" si="24"/>
        <v>504700</v>
      </c>
    </row>
    <row r="222" spans="1:16" s="11" customFormat="1" ht="96">
      <c r="A222" s="22"/>
      <c r="B222" s="23"/>
      <c r="C222" s="24"/>
      <c r="D222" s="92" t="s">
        <v>504</v>
      </c>
      <c r="E222" s="59">
        <f t="shared" si="25"/>
        <v>504700</v>
      </c>
      <c r="F222" s="26">
        <f>F221</f>
        <v>504700</v>
      </c>
      <c r="G222" s="26"/>
      <c r="H222" s="26"/>
      <c r="I222" s="26"/>
      <c r="J222" s="59">
        <f t="shared" si="23"/>
        <v>0</v>
      </c>
      <c r="K222" s="26"/>
      <c r="L222" s="26"/>
      <c r="M222" s="26"/>
      <c r="N222" s="26"/>
      <c r="O222" s="26"/>
      <c r="P222" s="25">
        <f t="shared" si="24"/>
        <v>504700</v>
      </c>
    </row>
    <row r="223" spans="1:16" s="11" customFormat="1" ht="13.5">
      <c r="A223" s="22" t="s">
        <v>457</v>
      </c>
      <c r="B223" s="23" t="s">
        <v>254</v>
      </c>
      <c r="C223" s="24" t="s">
        <v>57</v>
      </c>
      <c r="D223" s="75" t="s">
        <v>255</v>
      </c>
      <c r="E223" s="59">
        <f t="shared" si="25"/>
        <v>52100</v>
      </c>
      <c r="F223" s="26">
        <v>52100</v>
      </c>
      <c r="G223" s="26">
        <v>0</v>
      </c>
      <c r="H223" s="26">
        <v>0</v>
      </c>
      <c r="I223" s="26">
        <v>0</v>
      </c>
      <c r="J223" s="59">
        <f t="shared" si="23"/>
        <v>0</v>
      </c>
      <c r="K223" s="26">
        <v>0</v>
      </c>
      <c r="L223" s="26">
        <v>0</v>
      </c>
      <c r="M223" s="26">
        <v>0</v>
      </c>
      <c r="N223" s="26">
        <v>0</v>
      </c>
      <c r="O223" s="26">
        <v>0</v>
      </c>
      <c r="P223" s="25">
        <f t="shared" si="24"/>
        <v>52100</v>
      </c>
    </row>
    <row r="224" spans="1:16" s="11" customFormat="1" ht="96">
      <c r="A224" s="22"/>
      <c r="B224" s="23"/>
      <c r="C224" s="24"/>
      <c r="D224" s="92" t="s">
        <v>504</v>
      </c>
      <c r="E224" s="59">
        <f t="shared" si="25"/>
        <v>52100</v>
      </c>
      <c r="F224" s="26">
        <f>F223</f>
        <v>52100</v>
      </c>
      <c r="G224" s="26"/>
      <c r="H224" s="26"/>
      <c r="I224" s="26"/>
      <c r="J224" s="59">
        <f t="shared" si="23"/>
        <v>0</v>
      </c>
      <c r="K224" s="26"/>
      <c r="L224" s="26"/>
      <c r="M224" s="26"/>
      <c r="N224" s="26"/>
      <c r="O224" s="26"/>
      <c r="P224" s="25">
        <f t="shared" si="24"/>
        <v>52100</v>
      </c>
    </row>
    <row r="225" spans="1:16" s="11" customFormat="1" ht="27">
      <c r="A225" s="22" t="s">
        <v>458</v>
      </c>
      <c r="B225" s="23" t="s">
        <v>256</v>
      </c>
      <c r="C225" s="24" t="s">
        <v>57</v>
      </c>
      <c r="D225" s="75" t="s">
        <v>257</v>
      </c>
      <c r="E225" s="59">
        <f t="shared" si="25"/>
        <v>11075400</v>
      </c>
      <c r="F225" s="26">
        <v>11075400</v>
      </c>
      <c r="G225" s="26">
        <v>0</v>
      </c>
      <c r="H225" s="26">
        <v>0</v>
      </c>
      <c r="I225" s="26">
        <v>0</v>
      </c>
      <c r="J225" s="59">
        <f t="shared" si="23"/>
        <v>0</v>
      </c>
      <c r="K225" s="26">
        <v>0</v>
      </c>
      <c r="L225" s="26">
        <v>0</v>
      </c>
      <c r="M225" s="26">
        <v>0</v>
      </c>
      <c r="N225" s="26">
        <v>0</v>
      </c>
      <c r="O225" s="26">
        <v>0</v>
      </c>
      <c r="P225" s="25">
        <f t="shared" si="24"/>
        <v>11075400</v>
      </c>
    </row>
    <row r="226" spans="1:16" s="11" customFormat="1" ht="96">
      <c r="A226" s="22"/>
      <c r="B226" s="23"/>
      <c r="C226" s="24"/>
      <c r="D226" s="92" t="s">
        <v>504</v>
      </c>
      <c r="E226" s="59">
        <f t="shared" si="25"/>
        <v>11075400</v>
      </c>
      <c r="F226" s="26">
        <f>F225</f>
        <v>11075400</v>
      </c>
      <c r="G226" s="26"/>
      <c r="H226" s="26"/>
      <c r="I226" s="26"/>
      <c r="J226" s="59">
        <f t="shared" si="23"/>
        <v>0</v>
      </c>
      <c r="K226" s="26"/>
      <c r="L226" s="26"/>
      <c r="M226" s="26"/>
      <c r="N226" s="26"/>
      <c r="O226" s="26"/>
      <c r="P226" s="25">
        <f t="shared" si="24"/>
        <v>11075400</v>
      </c>
    </row>
    <row r="227" spans="1:16" s="11" customFormat="1" ht="27">
      <c r="A227" s="22" t="s">
        <v>459</v>
      </c>
      <c r="B227" s="23" t="s">
        <v>258</v>
      </c>
      <c r="C227" s="24" t="s">
        <v>49</v>
      </c>
      <c r="D227" s="75" t="s">
        <v>259</v>
      </c>
      <c r="E227" s="59">
        <f t="shared" si="25"/>
        <v>12197800</v>
      </c>
      <c r="F227" s="26">
        <v>12197800</v>
      </c>
      <c r="G227" s="26">
        <v>0</v>
      </c>
      <c r="H227" s="26">
        <v>0</v>
      </c>
      <c r="I227" s="26">
        <v>0</v>
      </c>
      <c r="J227" s="59">
        <f t="shared" si="23"/>
        <v>0</v>
      </c>
      <c r="K227" s="26">
        <v>0</v>
      </c>
      <c r="L227" s="26">
        <v>0</v>
      </c>
      <c r="M227" s="26">
        <v>0</v>
      </c>
      <c r="N227" s="26">
        <v>0</v>
      </c>
      <c r="O227" s="26">
        <v>0</v>
      </c>
      <c r="P227" s="25">
        <f t="shared" si="24"/>
        <v>12197800</v>
      </c>
    </row>
    <row r="228" spans="1:16" s="11" customFormat="1" ht="96">
      <c r="A228" s="22"/>
      <c r="B228" s="23"/>
      <c r="C228" s="24"/>
      <c r="D228" s="92" t="s">
        <v>504</v>
      </c>
      <c r="E228" s="59">
        <f t="shared" si="25"/>
        <v>12197800</v>
      </c>
      <c r="F228" s="26">
        <f>F227</f>
        <v>12197800</v>
      </c>
      <c r="G228" s="26"/>
      <c r="H228" s="26"/>
      <c r="I228" s="26"/>
      <c r="J228" s="59">
        <f t="shared" si="23"/>
        <v>0</v>
      </c>
      <c r="K228" s="26"/>
      <c r="L228" s="26"/>
      <c r="M228" s="26"/>
      <c r="N228" s="26"/>
      <c r="O228" s="26"/>
      <c r="P228" s="25">
        <f t="shared" si="24"/>
        <v>12197800</v>
      </c>
    </row>
    <row r="229" spans="1:16" s="11" customFormat="1" ht="41.25">
      <c r="A229" s="3" t="s">
        <v>460</v>
      </c>
      <c r="B229" s="5" t="s">
        <v>260</v>
      </c>
      <c r="C229" s="4" t="s">
        <v>49</v>
      </c>
      <c r="D229" s="73" t="s">
        <v>535</v>
      </c>
      <c r="E229" s="58">
        <f>F229+I229</f>
        <v>4093800</v>
      </c>
      <c r="F229" s="21">
        <v>4093800</v>
      </c>
      <c r="G229" s="21">
        <v>0</v>
      </c>
      <c r="H229" s="21">
        <v>0</v>
      </c>
      <c r="I229" s="21">
        <v>0</v>
      </c>
      <c r="J229" s="58">
        <f>K229+N229</f>
        <v>0</v>
      </c>
      <c r="K229" s="21">
        <v>0</v>
      </c>
      <c r="L229" s="21">
        <v>0</v>
      </c>
      <c r="M229" s="21">
        <v>0</v>
      </c>
      <c r="N229" s="21">
        <v>0</v>
      </c>
      <c r="O229" s="21">
        <v>0</v>
      </c>
      <c r="P229" s="20">
        <f t="shared" si="24"/>
        <v>4093800</v>
      </c>
    </row>
    <row r="230" spans="1:16" s="11" customFormat="1" ht="96">
      <c r="A230" s="22"/>
      <c r="B230" s="23"/>
      <c r="C230" s="24"/>
      <c r="D230" s="92" t="s">
        <v>504</v>
      </c>
      <c r="E230" s="59">
        <f t="shared" si="25"/>
        <v>4093800</v>
      </c>
      <c r="F230" s="26">
        <f>F229</f>
        <v>4093800</v>
      </c>
      <c r="G230" s="26"/>
      <c r="H230" s="26"/>
      <c r="I230" s="26"/>
      <c r="J230" s="59">
        <f t="shared" si="23"/>
        <v>0</v>
      </c>
      <c r="K230" s="26"/>
      <c r="L230" s="26"/>
      <c r="M230" s="26"/>
      <c r="N230" s="26"/>
      <c r="O230" s="26"/>
      <c r="P230" s="25">
        <f t="shared" si="24"/>
        <v>4093800</v>
      </c>
    </row>
    <row r="231" spans="1:17" s="11" customFormat="1" ht="41.25">
      <c r="A231" s="16" t="s">
        <v>461</v>
      </c>
      <c r="B231" s="17"/>
      <c r="C231" s="18"/>
      <c r="D231" s="74" t="s">
        <v>261</v>
      </c>
      <c r="E231" s="57">
        <f>F231+I231</f>
        <v>4939657.35</v>
      </c>
      <c r="F231" s="19">
        <f>F232</f>
        <v>4939657.35</v>
      </c>
      <c r="G231" s="19">
        <f>G232</f>
        <v>3767460</v>
      </c>
      <c r="H231" s="19">
        <f>H232</f>
        <v>126900</v>
      </c>
      <c r="I231" s="19">
        <f>I232</f>
        <v>0</v>
      </c>
      <c r="J231" s="57">
        <f>K231+N231</f>
        <v>73100</v>
      </c>
      <c r="K231" s="19">
        <f>K232</f>
        <v>73100</v>
      </c>
      <c r="L231" s="19">
        <f>L232</f>
        <v>50900</v>
      </c>
      <c r="M231" s="19">
        <f>M232</f>
        <v>0</v>
      </c>
      <c r="N231" s="19">
        <f>N232</f>
        <v>0</v>
      </c>
      <c r="O231" s="19">
        <f>O232</f>
        <v>0</v>
      </c>
      <c r="P231" s="19">
        <f t="shared" si="24"/>
        <v>5012757.35</v>
      </c>
      <c r="Q231" s="110"/>
    </row>
    <row r="232" spans="1:16" s="11" customFormat="1" ht="63.75" customHeight="1">
      <c r="A232" s="22" t="s">
        <v>462</v>
      </c>
      <c r="B232" s="23" t="s">
        <v>262</v>
      </c>
      <c r="C232" s="24" t="s">
        <v>53</v>
      </c>
      <c r="D232" s="75" t="s">
        <v>263</v>
      </c>
      <c r="E232" s="59">
        <f>F232+I232</f>
        <v>4939657.35</v>
      </c>
      <c r="F232" s="26">
        <f>4936300+3357.35</f>
        <v>4939657.35</v>
      </c>
      <c r="G232" s="26">
        <v>3767460</v>
      </c>
      <c r="H232" s="26">
        <v>126900</v>
      </c>
      <c r="I232" s="26">
        <v>0</v>
      </c>
      <c r="J232" s="59">
        <f>K232+N232</f>
        <v>73100</v>
      </c>
      <c r="K232" s="26">
        <v>73100</v>
      </c>
      <c r="L232" s="26">
        <v>50900</v>
      </c>
      <c r="M232" s="26">
        <v>0</v>
      </c>
      <c r="N232" s="26">
        <v>0</v>
      </c>
      <c r="O232" s="26">
        <v>0</v>
      </c>
      <c r="P232" s="25">
        <f t="shared" si="24"/>
        <v>5012757.35</v>
      </c>
    </row>
    <row r="233" spans="1:17" s="11" customFormat="1" ht="69">
      <c r="A233" s="16" t="s">
        <v>463</v>
      </c>
      <c r="B233" s="17"/>
      <c r="C233" s="18"/>
      <c r="D233" s="74" t="s">
        <v>264</v>
      </c>
      <c r="E233" s="57">
        <f>F233+I233</f>
        <v>365600</v>
      </c>
      <c r="F233" s="19">
        <f>F234</f>
        <v>365600</v>
      </c>
      <c r="G233" s="19">
        <f>G234</f>
        <v>0</v>
      </c>
      <c r="H233" s="19">
        <f>H234</f>
        <v>0</v>
      </c>
      <c r="I233" s="19">
        <f>I234</f>
        <v>0</v>
      </c>
      <c r="J233" s="57">
        <f>K233+N233</f>
        <v>0</v>
      </c>
      <c r="K233" s="19">
        <f>K234</f>
        <v>0</v>
      </c>
      <c r="L233" s="19">
        <f>L234</f>
        <v>0</v>
      </c>
      <c r="M233" s="19">
        <f>M234</f>
        <v>0</v>
      </c>
      <c r="N233" s="19">
        <f>N234</f>
        <v>0</v>
      </c>
      <c r="O233" s="19">
        <f>O234</f>
        <v>0</v>
      </c>
      <c r="P233" s="19">
        <f t="shared" si="24"/>
        <v>365600</v>
      </c>
      <c r="Q233" s="110"/>
    </row>
    <row r="234" spans="1:16" s="11" customFormat="1" ht="69">
      <c r="A234" s="22" t="s">
        <v>464</v>
      </c>
      <c r="B234" s="23" t="s">
        <v>265</v>
      </c>
      <c r="C234" s="24" t="s">
        <v>49</v>
      </c>
      <c r="D234" s="75" t="s">
        <v>266</v>
      </c>
      <c r="E234" s="59">
        <f>F234+I234</f>
        <v>365600</v>
      </c>
      <c r="F234" s="26">
        <v>365600</v>
      </c>
      <c r="G234" s="26">
        <v>0</v>
      </c>
      <c r="H234" s="26">
        <v>0</v>
      </c>
      <c r="I234" s="26">
        <v>0</v>
      </c>
      <c r="J234" s="59">
        <f>K234+N234</f>
        <v>0</v>
      </c>
      <c r="K234" s="26">
        <v>0</v>
      </c>
      <c r="L234" s="26">
        <v>0</v>
      </c>
      <c r="M234" s="26">
        <v>0</v>
      </c>
      <c r="N234" s="26">
        <v>0</v>
      </c>
      <c r="O234" s="26">
        <v>0</v>
      </c>
      <c r="P234" s="25">
        <f t="shared" si="24"/>
        <v>365600</v>
      </c>
    </row>
    <row r="235" spans="1:17" s="53" customFormat="1" ht="82.5">
      <c r="A235" s="3" t="s">
        <v>465</v>
      </c>
      <c r="B235" s="5" t="s">
        <v>267</v>
      </c>
      <c r="C235" s="4" t="s">
        <v>226</v>
      </c>
      <c r="D235" s="73" t="s">
        <v>268</v>
      </c>
      <c r="E235" s="58">
        <f aca="true" t="shared" si="26" ref="E235:E247">F235+I235</f>
        <v>955500</v>
      </c>
      <c r="F235" s="21">
        <v>955500</v>
      </c>
      <c r="G235" s="21">
        <v>0</v>
      </c>
      <c r="H235" s="21">
        <v>0</v>
      </c>
      <c r="I235" s="21">
        <v>0</v>
      </c>
      <c r="J235" s="58">
        <f aca="true" t="shared" si="27" ref="J235:J247">K235+N235</f>
        <v>0</v>
      </c>
      <c r="K235" s="21">
        <v>0</v>
      </c>
      <c r="L235" s="21">
        <v>0</v>
      </c>
      <c r="M235" s="21">
        <v>0</v>
      </c>
      <c r="N235" s="21">
        <v>0</v>
      </c>
      <c r="O235" s="21">
        <v>0</v>
      </c>
      <c r="P235" s="20">
        <f t="shared" si="24"/>
        <v>955500</v>
      </c>
      <c r="Q235" s="121"/>
    </row>
    <row r="236" spans="1:17" s="53" customFormat="1" ht="27">
      <c r="A236" s="16" t="s">
        <v>466</v>
      </c>
      <c r="B236" s="17"/>
      <c r="C236" s="18"/>
      <c r="D236" s="74" t="s">
        <v>211</v>
      </c>
      <c r="E236" s="57">
        <f t="shared" si="26"/>
        <v>55000</v>
      </c>
      <c r="F236" s="19">
        <f>F237</f>
        <v>55000</v>
      </c>
      <c r="G236" s="19">
        <f>G237</f>
        <v>0</v>
      </c>
      <c r="H236" s="19">
        <f>H237</f>
        <v>0</v>
      </c>
      <c r="I236" s="19">
        <f>I237</f>
        <v>0</v>
      </c>
      <c r="J236" s="57">
        <f t="shared" si="27"/>
        <v>0</v>
      </c>
      <c r="K236" s="19">
        <f>K237</f>
        <v>0</v>
      </c>
      <c r="L236" s="19">
        <f>L237</f>
        <v>0</v>
      </c>
      <c r="M236" s="19">
        <f>M237</f>
        <v>0</v>
      </c>
      <c r="N236" s="19">
        <f>N237</f>
        <v>0</v>
      </c>
      <c r="O236" s="19">
        <f>O237</f>
        <v>0</v>
      </c>
      <c r="P236" s="19">
        <f t="shared" si="24"/>
        <v>55000</v>
      </c>
      <c r="Q236" s="121"/>
    </row>
    <row r="237" spans="1:16" s="11" customFormat="1" ht="41.25">
      <c r="A237" s="22" t="s">
        <v>467</v>
      </c>
      <c r="B237" s="23" t="s">
        <v>213</v>
      </c>
      <c r="C237" s="24" t="s">
        <v>186</v>
      </c>
      <c r="D237" s="75" t="s">
        <v>214</v>
      </c>
      <c r="E237" s="59">
        <f t="shared" si="26"/>
        <v>55000</v>
      </c>
      <c r="F237" s="26">
        <v>55000</v>
      </c>
      <c r="G237" s="26">
        <v>0</v>
      </c>
      <c r="H237" s="26">
        <v>0</v>
      </c>
      <c r="I237" s="26">
        <v>0</v>
      </c>
      <c r="J237" s="59">
        <f t="shared" si="27"/>
        <v>0</v>
      </c>
      <c r="K237" s="26">
        <v>0</v>
      </c>
      <c r="L237" s="26">
        <v>0</v>
      </c>
      <c r="M237" s="26">
        <v>0</v>
      </c>
      <c r="N237" s="26">
        <v>0</v>
      </c>
      <c r="O237" s="26">
        <v>0</v>
      </c>
      <c r="P237" s="25">
        <f t="shared" si="24"/>
        <v>55000</v>
      </c>
    </row>
    <row r="238" spans="1:17" s="53" customFormat="1" ht="27">
      <c r="A238" s="3" t="s">
        <v>468</v>
      </c>
      <c r="B238" s="5" t="s">
        <v>219</v>
      </c>
      <c r="C238" s="4" t="s">
        <v>61</v>
      </c>
      <c r="D238" s="73" t="s">
        <v>220</v>
      </c>
      <c r="E238" s="58">
        <f t="shared" si="26"/>
        <v>21000</v>
      </c>
      <c r="F238" s="21">
        <v>21000</v>
      </c>
      <c r="G238" s="21">
        <v>0</v>
      </c>
      <c r="H238" s="21">
        <v>0</v>
      </c>
      <c r="I238" s="21">
        <v>0</v>
      </c>
      <c r="J238" s="58">
        <f t="shared" si="27"/>
        <v>0</v>
      </c>
      <c r="K238" s="21">
        <v>0</v>
      </c>
      <c r="L238" s="21">
        <v>0</v>
      </c>
      <c r="M238" s="21">
        <v>0</v>
      </c>
      <c r="N238" s="21">
        <v>0</v>
      </c>
      <c r="O238" s="21">
        <v>0</v>
      </c>
      <c r="P238" s="20">
        <f t="shared" si="24"/>
        <v>21000</v>
      </c>
      <c r="Q238" s="121"/>
    </row>
    <row r="239" spans="1:17" s="137" customFormat="1" ht="27">
      <c r="A239" s="16" t="s">
        <v>561</v>
      </c>
      <c r="B239" s="64">
        <v>6320</v>
      </c>
      <c r="C239" s="65" t="s">
        <v>226</v>
      </c>
      <c r="D239" s="74" t="s">
        <v>562</v>
      </c>
      <c r="E239" s="57">
        <f>F239+I239</f>
        <v>0</v>
      </c>
      <c r="F239" s="19">
        <v>0</v>
      </c>
      <c r="G239" s="19">
        <v>0</v>
      </c>
      <c r="H239" s="19">
        <v>0</v>
      </c>
      <c r="I239" s="19">
        <v>0</v>
      </c>
      <c r="J239" s="57">
        <f>K239+N239</f>
        <v>1142336</v>
      </c>
      <c r="K239" s="19">
        <v>0</v>
      </c>
      <c r="L239" s="19">
        <v>0</v>
      </c>
      <c r="M239" s="19">
        <v>0</v>
      </c>
      <c r="N239" s="19">
        <f>N240</f>
        <v>1142336</v>
      </c>
      <c r="O239" s="19">
        <f>O240</f>
        <v>1142336</v>
      </c>
      <c r="P239" s="19">
        <f>E239+J239</f>
        <v>1142336</v>
      </c>
      <c r="Q239" s="136"/>
    </row>
    <row r="240" spans="1:17" s="53" customFormat="1" ht="42" customHeight="1">
      <c r="A240" s="3" t="s">
        <v>563</v>
      </c>
      <c r="B240" s="5">
        <v>6324</v>
      </c>
      <c r="C240" s="4" t="s">
        <v>226</v>
      </c>
      <c r="D240" s="73" t="s">
        <v>564</v>
      </c>
      <c r="E240" s="58">
        <f>F240+I240</f>
        <v>0</v>
      </c>
      <c r="F240" s="21">
        <f>F241</f>
        <v>0</v>
      </c>
      <c r="G240" s="21">
        <f>G241</f>
        <v>0</v>
      </c>
      <c r="H240" s="21">
        <f>H241</f>
        <v>0</v>
      </c>
      <c r="I240" s="21">
        <f>I241</f>
        <v>0</v>
      </c>
      <c r="J240" s="58">
        <f>K240+N240</f>
        <v>1142336</v>
      </c>
      <c r="K240" s="21">
        <f>K241</f>
        <v>0</v>
      </c>
      <c r="L240" s="21">
        <f>L241</f>
        <v>0</v>
      </c>
      <c r="M240" s="21">
        <f>M241</f>
        <v>0</v>
      </c>
      <c r="N240" s="21">
        <f>N241</f>
        <v>1142336</v>
      </c>
      <c r="O240" s="21">
        <f>O241</f>
        <v>1142336</v>
      </c>
      <c r="P240" s="20">
        <f>E240+J240</f>
        <v>1142336</v>
      </c>
      <c r="Q240" s="121"/>
    </row>
    <row r="241" spans="1:17" s="47" customFormat="1" ht="234">
      <c r="A241" s="42"/>
      <c r="B241" s="43"/>
      <c r="C241" s="44"/>
      <c r="D241" s="115" t="s">
        <v>565</v>
      </c>
      <c r="E241" s="61">
        <f>F241+I241</f>
        <v>0</v>
      </c>
      <c r="F241" s="46"/>
      <c r="G241" s="46"/>
      <c r="H241" s="46"/>
      <c r="I241" s="46"/>
      <c r="J241" s="61">
        <f>K241+N241</f>
        <v>1142336</v>
      </c>
      <c r="K241" s="46"/>
      <c r="L241" s="46"/>
      <c r="M241" s="46"/>
      <c r="N241" s="46">
        <v>1142336</v>
      </c>
      <c r="O241" s="46">
        <f>0+1142336</f>
        <v>1142336</v>
      </c>
      <c r="P241" s="45">
        <f>E241+J241</f>
        <v>1142336</v>
      </c>
      <c r="Q241" s="132"/>
    </row>
    <row r="242" spans="1:16" s="102" customFormat="1" ht="41.25">
      <c r="A242" s="27" t="s">
        <v>436</v>
      </c>
      <c r="B242" s="28"/>
      <c r="C242" s="29"/>
      <c r="D242" s="78" t="s">
        <v>471</v>
      </c>
      <c r="E242" s="58">
        <f t="shared" si="26"/>
        <v>190514454.85000002</v>
      </c>
      <c r="F242" s="20">
        <f>F243+F244+F246+F258+F265+F284+F286+F288+F290+F291+F293</f>
        <v>190514454.85000002</v>
      </c>
      <c r="G242" s="20">
        <f>G243+G244+G246+G258+G265+G284+G286+G288+G290+G291+G293</f>
        <v>9786757</v>
      </c>
      <c r="H242" s="20">
        <f>H243+H244+H246+H258+H265+H284+H286+H288+H290+H291+H293</f>
        <v>537549</v>
      </c>
      <c r="I242" s="20">
        <f>I243+I244+I246+I258+I265+I284+I286+I288+I290+I291+I293</f>
        <v>0</v>
      </c>
      <c r="J242" s="58">
        <f t="shared" si="27"/>
        <v>55000</v>
      </c>
      <c r="K242" s="20">
        <f>K243+K244+K246+K258+K265+K284+K286+K288+K290+K291+K293</f>
        <v>55000</v>
      </c>
      <c r="L242" s="20">
        <f>L243+L244+L246+L258+L265+L284+L286+L288+L290+L291+L293</f>
        <v>38900</v>
      </c>
      <c r="M242" s="20">
        <f>M243+M244+M246+M258+M265+M284+M286+M288+M290+M291+M293</f>
        <v>0</v>
      </c>
      <c r="N242" s="20">
        <f>N243+N244+N246+N258+N265+N284+N286+N288+N290+N291+N293</f>
        <v>0</v>
      </c>
      <c r="O242" s="20">
        <f>O243+O244+O246+O258+O265+O284+O286+O288+O290+O291+O293</f>
        <v>0</v>
      </c>
      <c r="P242" s="20">
        <f t="shared" si="24"/>
        <v>190569454.85000002</v>
      </c>
    </row>
    <row r="243" spans="1:17" s="53" customFormat="1" ht="27">
      <c r="A243" s="3" t="s">
        <v>437</v>
      </c>
      <c r="B243" s="30" t="s">
        <v>35</v>
      </c>
      <c r="C243" s="30" t="s">
        <v>20</v>
      </c>
      <c r="D243" s="73" t="s">
        <v>539</v>
      </c>
      <c r="E243" s="58">
        <f t="shared" si="26"/>
        <v>7092195</v>
      </c>
      <c r="F243" s="21">
        <f>7062195+30000</f>
        <v>7092195</v>
      </c>
      <c r="G243" s="21">
        <v>5516677</v>
      </c>
      <c r="H243" s="21">
        <v>170549</v>
      </c>
      <c r="I243" s="21">
        <v>0</v>
      </c>
      <c r="J243" s="58">
        <f t="shared" si="27"/>
        <v>0</v>
      </c>
      <c r="K243" s="21">
        <v>0</v>
      </c>
      <c r="L243" s="21">
        <v>0</v>
      </c>
      <c r="M243" s="21">
        <v>0</v>
      </c>
      <c r="N243" s="21">
        <v>0</v>
      </c>
      <c r="O243" s="21">
        <v>0</v>
      </c>
      <c r="P243" s="20">
        <f t="shared" si="24"/>
        <v>7092195</v>
      </c>
      <c r="Q243" s="121"/>
    </row>
    <row r="244" spans="1:17" s="53" customFormat="1" ht="82.5">
      <c r="A244" s="3" t="s">
        <v>439</v>
      </c>
      <c r="B244" s="5" t="s">
        <v>226</v>
      </c>
      <c r="C244" s="4" t="s">
        <v>48</v>
      </c>
      <c r="D244" s="73" t="s">
        <v>478</v>
      </c>
      <c r="E244" s="58">
        <f t="shared" si="26"/>
        <v>1845400</v>
      </c>
      <c r="F244" s="21">
        <v>1845400</v>
      </c>
      <c r="G244" s="21">
        <v>0</v>
      </c>
      <c r="H244" s="21">
        <v>0</v>
      </c>
      <c r="I244" s="21">
        <v>0</v>
      </c>
      <c r="J244" s="58">
        <f t="shared" si="27"/>
        <v>0</v>
      </c>
      <c r="K244" s="21">
        <v>0</v>
      </c>
      <c r="L244" s="21">
        <v>0</v>
      </c>
      <c r="M244" s="21">
        <v>0</v>
      </c>
      <c r="N244" s="21">
        <v>0</v>
      </c>
      <c r="O244" s="21">
        <v>0</v>
      </c>
      <c r="P244" s="20">
        <f t="shared" si="24"/>
        <v>1845400</v>
      </c>
      <c r="Q244" s="121"/>
    </row>
    <row r="245" spans="1:16" s="11" customFormat="1" ht="210" customHeight="1">
      <c r="A245" s="22"/>
      <c r="B245" s="23"/>
      <c r="C245" s="24"/>
      <c r="D245" s="77" t="s">
        <v>503</v>
      </c>
      <c r="E245" s="59">
        <f t="shared" si="26"/>
        <v>1845400</v>
      </c>
      <c r="F245" s="26">
        <f>F244</f>
        <v>1845400</v>
      </c>
      <c r="G245" s="26"/>
      <c r="H245" s="26"/>
      <c r="I245" s="26"/>
      <c r="J245" s="59">
        <f t="shared" si="27"/>
        <v>0</v>
      </c>
      <c r="K245" s="26"/>
      <c r="L245" s="26"/>
      <c r="M245" s="26"/>
      <c r="N245" s="26"/>
      <c r="O245" s="26"/>
      <c r="P245" s="25">
        <f t="shared" si="24"/>
        <v>1845400</v>
      </c>
    </row>
    <row r="246" spans="1:17" s="53" customFormat="1" ht="82.5">
      <c r="A246" s="16" t="s">
        <v>438</v>
      </c>
      <c r="B246" s="17"/>
      <c r="C246" s="18"/>
      <c r="D246" s="91" t="s">
        <v>485</v>
      </c>
      <c r="E246" s="57">
        <f t="shared" si="26"/>
        <v>89246259.85000001</v>
      </c>
      <c r="F246" s="19">
        <f>F247+F249+F252+F254+F256</f>
        <v>89246259.85000001</v>
      </c>
      <c r="G246" s="19">
        <f>G247+G249+G252+G254+G256</f>
        <v>0</v>
      </c>
      <c r="H246" s="19">
        <f>H247+H249+H252+H254+H256</f>
        <v>0</v>
      </c>
      <c r="I246" s="19">
        <f>I247+I249+I252+I254+I256</f>
        <v>0</v>
      </c>
      <c r="J246" s="57">
        <f t="shared" si="27"/>
        <v>0</v>
      </c>
      <c r="K246" s="19">
        <f>K247+K249+K252+K254+K256</f>
        <v>0</v>
      </c>
      <c r="L246" s="19">
        <f>L247+L249+L252+L254+L256</f>
        <v>0</v>
      </c>
      <c r="M246" s="19">
        <f>M247+M249+M252+M254+M256</f>
        <v>0</v>
      </c>
      <c r="N246" s="19">
        <f>N247+N249+N252+N254+N256</f>
        <v>0</v>
      </c>
      <c r="O246" s="19">
        <f>O247+O249+O252+O254+O256</f>
        <v>0</v>
      </c>
      <c r="P246" s="19">
        <f t="shared" si="24"/>
        <v>89246259.85000001</v>
      </c>
      <c r="Q246" s="121"/>
    </row>
    <row r="247" spans="1:16" s="11" customFormat="1" ht="234">
      <c r="A247" s="22" t="s">
        <v>440</v>
      </c>
      <c r="B247" s="23" t="s">
        <v>227</v>
      </c>
      <c r="C247" s="24" t="s">
        <v>186</v>
      </c>
      <c r="D247" s="92" t="s">
        <v>481</v>
      </c>
      <c r="E247" s="59">
        <f t="shared" si="26"/>
        <v>3824159.9399999995</v>
      </c>
      <c r="F247" s="26">
        <f>8440000+115678.85-5028992.49+15712.02+213889.92+67871.64+132974.19-132974.19</f>
        <v>3824159.9399999995</v>
      </c>
      <c r="G247" s="26">
        <v>0</v>
      </c>
      <c r="H247" s="26">
        <v>0</v>
      </c>
      <c r="I247" s="26">
        <v>0</v>
      </c>
      <c r="J247" s="59">
        <f t="shared" si="27"/>
        <v>0</v>
      </c>
      <c r="K247" s="26">
        <v>0</v>
      </c>
      <c r="L247" s="26">
        <v>0</v>
      </c>
      <c r="M247" s="26">
        <v>0</v>
      </c>
      <c r="N247" s="26">
        <v>0</v>
      </c>
      <c r="O247" s="26">
        <v>0</v>
      </c>
      <c r="P247" s="25">
        <f t="shared" si="24"/>
        <v>3824159.9399999995</v>
      </c>
    </row>
    <row r="248" spans="1:16" s="11" customFormat="1" ht="123.75">
      <c r="A248" s="32"/>
      <c r="B248" s="33"/>
      <c r="C248" s="34"/>
      <c r="D248" s="92" t="s">
        <v>506</v>
      </c>
      <c r="E248" s="59">
        <f>F248+I248</f>
        <v>3824159.9399999995</v>
      </c>
      <c r="F248" s="26">
        <f>F247</f>
        <v>3824159.9399999995</v>
      </c>
      <c r="G248" s="26"/>
      <c r="H248" s="26"/>
      <c r="I248" s="26"/>
      <c r="J248" s="59">
        <f>K248+N248</f>
        <v>0</v>
      </c>
      <c r="K248" s="26"/>
      <c r="L248" s="26"/>
      <c r="M248" s="26"/>
      <c r="N248" s="26"/>
      <c r="O248" s="26"/>
      <c r="P248" s="25">
        <f t="shared" si="24"/>
        <v>3824159.9399999995</v>
      </c>
    </row>
    <row r="249" spans="1:16" s="11" customFormat="1" ht="317.25">
      <c r="A249" s="142" t="s">
        <v>441</v>
      </c>
      <c r="B249" s="144" t="s">
        <v>228</v>
      </c>
      <c r="C249" s="148" t="s">
        <v>186</v>
      </c>
      <c r="D249" s="106" t="s">
        <v>482</v>
      </c>
      <c r="E249" s="150">
        <f>F249+I249</f>
        <v>331337.62999999995</v>
      </c>
      <c r="F249" s="146">
        <f>671000+10062.99-379093.58+2497.97+20546.77+6323.48+12396.77-12396.77</f>
        <v>331337.62999999995</v>
      </c>
      <c r="G249" s="146">
        <v>0</v>
      </c>
      <c r="H249" s="146">
        <v>0</v>
      </c>
      <c r="I249" s="146">
        <v>0</v>
      </c>
      <c r="J249" s="150">
        <f>K249+N249</f>
        <v>0</v>
      </c>
      <c r="K249" s="146">
        <v>0</v>
      </c>
      <c r="L249" s="146">
        <v>0</v>
      </c>
      <c r="M249" s="146">
        <v>0</v>
      </c>
      <c r="N249" s="146">
        <v>0</v>
      </c>
      <c r="O249" s="146">
        <v>0</v>
      </c>
      <c r="P249" s="147">
        <f t="shared" si="24"/>
        <v>331337.62999999995</v>
      </c>
    </row>
    <row r="250" spans="1:16" s="11" customFormat="1" ht="372">
      <c r="A250" s="143"/>
      <c r="B250" s="145"/>
      <c r="C250" s="149"/>
      <c r="D250" s="109" t="s">
        <v>483</v>
      </c>
      <c r="E250" s="150"/>
      <c r="F250" s="146"/>
      <c r="G250" s="146"/>
      <c r="H250" s="146"/>
      <c r="I250" s="146"/>
      <c r="J250" s="150"/>
      <c r="K250" s="146"/>
      <c r="L250" s="146"/>
      <c r="M250" s="146"/>
      <c r="N250" s="146"/>
      <c r="O250" s="146"/>
      <c r="P250" s="147"/>
    </row>
    <row r="251" spans="1:16" s="11" customFormat="1" ht="123.75">
      <c r="A251" s="36"/>
      <c r="B251" s="37"/>
      <c r="C251" s="38"/>
      <c r="D251" s="92" t="s">
        <v>506</v>
      </c>
      <c r="E251" s="59">
        <f>F251+I251</f>
        <v>331337.62999999995</v>
      </c>
      <c r="F251" s="107">
        <f>F249</f>
        <v>331337.62999999995</v>
      </c>
      <c r="G251" s="107"/>
      <c r="H251" s="107"/>
      <c r="I251" s="107"/>
      <c r="J251" s="59">
        <f>K251+N251</f>
        <v>0</v>
      </c>
      <c r="K251" s="107"/>
      <c r="L251" s="107"/>
      <c r="M251" s="107"/>
      <c r="N251" s="107"/>
      <c r="O251" s="107"/>
      <c r="P251" s="108">
        <f>E251+J251</f>
        <v>331337.62999999995</v>
      </c>
    </row>
    <row r="252" spans="1:16" s="11" customFormat="1" ht="96">
      <c r="A252" s="22" t="s">
        <v>442</v>
      </c>
      <c r="B252" s="23" t="s">
        <v>229</v>
      </c>
      <c r="C252" s="24" t="s">
        <v>189</v>
      </c>
      <c r="D252" s="75" t="s">
        <v>230</v>
      </c>
      <c r="E252" s="59">
        <f aca="true" t="shared" si="28" ref="E252:E283">F252+I252</f>
        <v>395621.69</v>
      </c>
      <c r="F252" s="26">
        <f>716000+10858.39-366211.08+4628.64+23622.25+6723.49+11458.5-11458.5</f>
        <v>395621.69</v>
      </c>
      <c r="G252" s="26">
        <v>0</v>
      </c>
      <c r="H252" s="26">
        <v>0</v>
      </c>
      <c r="I252" s="26">
        <v>0</v>
      </c>
      <c r="J252" s="59">
        <f aca="true" t="shared" si="29" ref="J252:J289">K252+N252</f>
        <v>0</v>
      </c>
      <c r="K252" s="26">
        <v>0</v>
      </c>
      <c r="L252" s="26">
        <v>0</v>
      </c>
      <c r="M252" s="26">
        <v>0</v>
      </c>
      <c r="N252" s="26">
        <v>0</v>
      </c>
      <c r="O252" s="26">
        <v>0</v>
      </c>
      <c r="P252" s="25">
        <f t="shared" si="24"/>
        <v>395621.69</v>
      </c>
    </row>
    <row r="253" spans="1:16" s="11" customFormat="1" ht="123.75">
      <c r="A253" s="22"/>
      <c r="B253" s="23"/>
      <c r="C253" s="24"/>
      <c r="D253" s="92" t="s">
        <v>506</v>
      </c>
      <c r="E253" s="59">
        <f t="shared" si="28"/>
        <v>395621.69</v>
      </c>
      <c r="F253" s="26">
        <f>F252</f>
        <v>395621.69</v>
      </c>
      <c r="G253" s="26"/>
      <c r="H253" s="26"/>
      <c r="I253" s="26"/>
      <c r="J253" s="59">
        <f t="shared" si="29"/>
        <v>0</v>
      </c>
      <c r="K253" s="26"/>
      <c r="L253" s="26"/>
      <c r="M253" s="26"/>
      <c r="N253" s="26"/>
      <c r="O253" s="26"/>
      <c r="P253" s="25">
        <f t="shared" si="24"/>
        <v>395621.69</v>
      </c>
    </row>
    <row r="254" spans="1:16" s="11" customFormat="1" ht="27">
      <c r="A254" s="22" t="s">
        <v>444</v>
      </c>
      <c r="B254" s="23" t="s">
        <v>232</v>
      </c>
      <c r="C254" s="24" t="s">
        <v>189</v>
      </c>
      <c r="D254" s="75" t="s">
        <v>233</v>
      </c>
      <c r="E254" s="59">
        <f t="shared" si="28"/>
        <v>258713.27000000002</v>
      </c>
      <c r="F254" s="26">
        <f>510000+8169.96-277777.94+1567.67+11545.14+5208.44+11570.5-11570.5</f>
        <v>258713.27000000002</v>
      </c>
      <c r="G254" s="26">
        <v>0</v>
      </c>
      <c r="H254" s="26">
        <v>0</v>
      </c>
      <c r="I254" s="26">
        <v>0</v>
      </c>
      <c r="J254" s="59">
        <f t="shared" si="29"/>
        <v>0</v>
      </c>
      <c r="K254" s="26">
        <v>0</v>
      </c>
      <c r="L254" s="26">
        <v>0</v>
      </c>
      <c r="M254" s="26">
        <v>0</v>
      </c>
      <c r="N254" s="26">
        <v>0</v>
      </c>
      <c r="O254" s="26">
        <v>0</v>
      </c>
      <c r="P254" s="25">
        <f t="shared" si="24"/>
        <v>258713.27000000002</v>
      </c>
    </row>
    <row r="255" spans="1:16" s="11" customFormat="1" ht="123.75">
      <c r="A255" s="22"/>
      <c r="B255" s="23"/>
      <c r="C255" s="24"/>
      <c r="D255" s="92" t="s">
        <v>506</v>
      </c>
      <c r="E255" s="59">
        <f t="shared" si="28"/>
        <v>258713.27000000002</v>
      </c>
      <c r="F255" s="26">
        <f>F254</f>
        <v>258713.27000000002</v>
      </c>
      <c r="G255" s="26"/>
      <c r="H255" s="26"/>
      <c r="I255" s="26"/>
      <c r="J255" s="59">
        <f t="shared" si="29"/>
        <v>0</v>
      </c>
      <c r="K255" s="26"/>
      <c r="L255" s="26"/>
      <c r="M255" s="26"/>
      <c r="N255" s="26"/>
      <c r="O255" s="26"/>
      <c r="P255" s="25">
        <f t="shared" si="24"/>
        <v>258713.27000000002</v>
      </c>
    </row>
    <row r="256" spans="1:16" s="11" customFormat="1" ht="41.25">
      <c r="A256" s="22" t="s">
        <v>445</v>
      </c>
      <c r="B256" s="23" t="s">
        <v>234</v>
      </c>
      <c r="C256" s="24" t="s">
        <v>226</v>
      </c>
      <c r="D256" s="75" t="s">
        <v>235</v>
      </c>
      <c r="E256" s="59">
        <f t="shared" si="28"/>
        <v>84436427.32000001</v>
      </c>
      <c r="F256" s="26">
        <f>79171600-144770.19+8489138.19-24406.3-269604.08-2785530.3+161979.12-161979.12</f>
        <v>84436427.32000001</v>
      </c>
      <c r="G256" s="26">
        <v>0</v>
      </c>
      <c r="H256" s="26">
        <v>0</v>
      </c>
      <c r="I256" s="26">
        <v>0</v>
      </c>
      <c r="J256" s="59">
        <f t="shared" si="29"/>
        <v>0</v>
      </c>
      <c r="K256" s="26">
        <v>0</v>
      </c>
      <c r="L256" s="26">
        <v>0</v>
      </c>
      <c r="M256" s="26">
        <v>0</v>
      </c>
      <c r="N256" s="26">
        <v>0</v>
      </c>
      <c r="O256" s="26">
        <v>0</v>
      </c>
      <c r="P256" s="25">
        <f t="shared" si="24"/>
        <v>84436427.32000001</v>
      </c>
    </row>
    <row r="257" spans="1:16" s="11" customFormat="1" ht="123.75">
      <c r="A257" s="22"/>
      <c r="B257" s="23"/>
      <c r="C257" s="24"/>
      <c r="D257" s="92" t="s">
        <v>506</v>
      </c>
      <c r="E257" s="59">
        <f t="shared" si="28"/>
        <v>84436427.32000001</v>
      </c>
      <c r="F257" s="26">
        <f>F256</f>
        <v>84436427.32000001</v>
      </c>
      <c r="G257" s="26"/>
      <c r="H257" s="26"/>
      <c r="I257" s="26"/>
      <c r="J257" s="59">
        <f t="shared" si="29"/>
        <v>0</v>
      </c>
      <c r="K257" s="26"/>
      <c r="L257" s="26"/>
      <c r="M257" s="26"/>
      <c r="N257" s="26"/>
      <c r="O257" s="26"/>
      <c r="P257" s="25">
        <f t="shared" si="24"/>
        <v>84436427.32000001</v>
      </c>
    </row>
    <row r="258" spans="1:17" s="11" customFormat="1" ht="41.25">
      <c r="A258" s="16" t="s">
        <v>446</v>
      </c>
      <c r="B258" s="17"/>
      <c r="C258" s="18"/>
      <c r="D258" s="90" t="s">
        <v>236</v>
      </c>
      <c r="E258" s="57">
        <f>F258+I258</f>
        <v>80100</v>
      </c>
      <c r="F258" s="19">
        <f>F259+F261+F263</f>
        <v>80100</v>
      </c>
      <c r="G258" s="19">
        <f>G259+G261+G263</f>
        <v>0</v>
      </c>
      <c r="H258" s="19">
        <f>H259+H261+H263</f>
        <v>0</v>
      </c>
      <c r="I258" s="19">
        <f>I259+I261+I263</f>
        <v>0</v>
      </c>
      <c r="J258" s="57">
        <f>K258+N258</f>
        <v>0</v>
      </c>
      <c r="K258" s="19">
        <f>K259+K261+K263</f>
        <v>0</v>
      </c>
      <c r="L258" s="19">
        <f>L259+L261+L263</f>
        <v>0</v>
      </c>
      <c r="M258" s="19">
        <f>M259+M261+M263</f>
        <v>0</v>
      </c>
      <c r="N258" s="19">
        <f>N259+N261+N263</f>
        <v>0</v>
      </c>
      <c r="O258" s="19">
        <f>O259+O261+O263</f>
        <v>0</v>
      </c>
      <c r="P258" s="19">
        <f t="shared" si="24"/>
        <v>80100</v>
      </c>
      <c r="Q258" s="110"/>
    </row>
    <row r="259" spans="1:16" s="11" customFormat="1" ht="207">
      <c r="A259" s="22" t="s">
        <v>447</v>
      </c>
      <c r="B259" s="23" t="s">
        <v>237</v>
      </c>
      <c r="C259" s="24" t="s">
        <v>186</v>
      </c>
      <c r="D259" s="89" t="s">
        <v>487</v>
      </c>
      <c r="E259" s="59">
        <f t="shared" si="28"/>
        <v>8200</v>
      </c>
      <c r="F259" s="26">
        <v>8200</v>
      </c>
      <c r="G259" s="26">
        <v>0</v>
      </c>
      <c r="H259" s="26">
        <v>0</v>
      </c>
      <c r="I259" s="26">
        <v>0</v>
      </c>
      <c r="J259" s="59">
        <f t="shared" si="29"/>
        <v>0</v>
      </c>
      <c r="K259" s="26">
        <v>0</v>
      </c>
      <c r="L259" s="26">
        <v>0</v>
      </c>
      <c r="M259" s="26">
        <v>0</v>
      </c>
      <c r="N259" s="26">
        <v>0</v>
      </c>
      <c r="O259" s="26">
        <v>0</v>
      </c>
      <c r="P259" s="25">
        <f t="shared" si="24"/>
        <v>8200</v>
      </c>
    </row>
    <row r="260" spans="1:16" s="11" customFormat="1" ht="69">
      <c r="A260" s="22"/>
      <c r="B260" s="23"/>
      <c r="C260" s="24"/>
      <c r="D260" s="11" t="s">
        <v>505</v>
      </c>
      <c r="E260" s="59">
        <f t="shared" si="28"/>
        <v>8200</v>
      </c>
      <c r="F260" s="26">
        <f>F259</f>
        <v>8200</v>
      </c>
      <c r="G260" s="26"/>
      <c r="H260" s="26"/>
      <c r="I260" s="26"/>
      <c r="J260" s="59">
        <f t="shared" si="29"/>
        <v>0</v>
      </c>
      <c r="K260" s="26"/>
      <c r="L260" s="26"/>
      <c r="M260" s="26"/>
      <c r="N260" s="26"/>
      <c r="O260" s="26"/>
      <c r="P260" s="25">
        <f t="shared" si="24"/>
        <v>8200</v>
      </c>
    </row>
    <row r="261" spans="1:16" s="11" customFormat="1" ht="41.25">
      <c r="A261" s="22" t="s">
        <v>448</v>
      </c>
      <c r="B261" s="23" t="s">
        <v>238</v>
      </c>
      <c r="C261" s="24" t="s">
        <v>189</v>
      </c>
      <c r="D261" s="89" t="s">
        <v>239</v>
      </c>
      <c r="E261" s="59">
        <f t="shared" si="28"/>
        <v>1800</v>
      </c>
      <c r="F261" s="26">
        <v>1800</v>
      </c>
      <c r="G261" s="26">
        <v>0</v>
      </c>
      <c r="H261" s="26">
        <v>0</v>
      </c>
      <c r="I261" s="26">
        <v>0</v>
      </c>
      <c r="J261" s="59">
        <f t="shared" si="29"/>
        <v>0</v>
      </c>
      <c r="K261" s="26">
        <v>0</v>
      </c>
      <c r="L261" s="26">
        <v>0</v>
      </c>
      <c r="M261" s="26">
        <v>0</v>
      </c>
      <c r="N261" s="26">
        <v>0</v>
      </c>
      <c r="O261" s="26">
        <v>0</v>
      </c>
      <c r="P261" s="25">
        <f t="shared" si="24"/>
        <v>1800</v>
      </c>
    </row>
    <row r="262" spans="1:16" s="11" customFormat="1" ht="69">
      <c r="A262" s="22"/>
      <c r="B262" s="23"/>
      <c r="C262" s="24"/>
      <c r="D262" s="11" t="s">
        <v>505</v>
      </c>
      <c r="E262" s="59">
        <f t="shared" si="28"/>
        <v>1800</v>
      </c>
      <c r="F262" s="26">
        <f>F261</f>
        <v>1800</v>
      </c>
      <c r="G262" s="26"/>
      <c r="H262" s="26"/>
      <c r="I262" s="26"/>
      <c r="J262" s="59">
        <f t="shared" si="29"/>
        <v>0</v>
      </c>
      <c r="K262" s="26"/>
      <c r="L262" s="26"/>
      <c r="M262" s="26"/>
      <c r="N262" s="26"/>
      <c r="O262" s="26"/>
      <c r="P262" s="25">
        <f t="shared" si="24"/>
        <v>1800</v>
      </c>
    </row>
    <row r="263" spans="1:16" s="11" customFormat="1" ht="54.75">
      <c r="A263" s="22" t="s">
        <v>449</v>
      </c>
      <c r="B263" s="23" t="s">
        <v>240</v>
      </c>
      <c r="C263" s="24" t="s">
        <v>226</v>
      </c>
      <c r="D263" s="89" t="s">
        <v>241</v>
      </c>
      <c r="E263" s="59">
        <f t="shared" si="28"/>
        <v>70100</v>
      </c>
      <c r="F263" s="26">
        <v>70100</v>
      </c>
      <c r="G263" s="26">
        <v>0</v>
      </c>
      <c r="H263" s="26">
        <v>0</v>
      </c>
      <c r="I263" s="26">
        <v>0</v>
      </c>
      <c r="J263" s="59">
        <f t="shared" si="29"/>
        <v>0</v>
      </c>
      <c r="K263" s="26">
        <v>0</v>
      </c>
      <c r="L263" s="26">
        <v>0</v>
      </c>
      <c r="M263" s="26">
        <v>0</v>
      </c>
      <c r="N263" s="26">
        <v>0</v>
      </c>
      <c r="O263" s="26">
        <v>0</v>
      </c>
      <c r="P263" s="25">
        <f t="shared" si="24"/>
        <v>70100</v>
      </c>
    </row>
    <row r="264" spans="1:16" s="11" customFormat="1" ht="69">
      <c r="A264" s="22"/>
      <c r="B264" s="23"/>
      <c r="C264" s="24"/>
      <c r="D264" s="11" t="s">
        <v>505</v>
      </c>
      <c r="E264" s="59">
        <f t="shared" si="28"/>
        <v>70100</v>
      </c>
      <c r="F264" s="26">
        <f>F263</f>
        <v>70100</v>
      </c>
      <c r="G264" s="26"/>
      <c r="H264" s="26"/>
      <c r="I264" s="26"/>
      <c r="J264" s="59">
        <f t="shared" si="29"/>
        <v>0</v>
      </c>
      <c r="K264" s="26"/>
      <c r="L264" s="26"/>
      <c r="M264" s="26"/>
      <c r="N264" s="26"/>
      <c r="O264" s="26"/>
      <c r="P264" s="25">
        <f t="shared" si="24"/>
        <v>70100</v>
      </c>
    </row>
    <row r="265" spans="1:17" s="11" customFormat="1" ht="54.75">
      <c r="A265" s="16" t="s">
        <v>450</v>
      </c>
      <c r="B265" s="17"/>
      <c r="C265" s="18"/>
      <c r="D265" s="90" t="s">
        <v>242</v>
      </c>
      <c r="E265" s="57">
        <f>F265+I265</f>
        <v>81460900</v>
      </c>
      <c r="F265" s="19">
        <f>F266+F268+F270+F272+F274+F276+F278+F280+F282</f>
        <v>81460900</v>
      </c>
      <c r="G265" s="19">
        <f>G266+G268+G270+G272+G274+G276+G278+G280+G282</f>
        <v>0</v>
      </c>
      <c r="H265" s="19">
        <f>H266+H268+H270+H272+H274+H276+H278+H280+H282</f>
        <v>0</v>
      </c>
      <c r="I265" s="19">
        <f>I266+I268+I270+I272+I274+I276+I278+I280+I282</f>
        <v>0</v>
      </c>
      <c r="J265" s="57">
        <f>K265+N265</f>
        <v>0</v>
      </c>
      <c r="K265" s="19">
        <f>K266+K268+K270+K272+K274+K276+K278+K280+K282</f>
        <v>0</v>
      </c>
      <c r="L265" s="19">
        <f>L266+L268+L270+L272+L274+L276+L278+L280+L282</f>
        <v>0</v>
      </c>
      <c r="M265" s="19">
        <f>M266+M268+M270+M272+M274+M276+M278+M280+M282</f>
        <v>0</v>
      </c>
      <c r="N265" s="19">
        <f>N266+N268+N270+N272+N274+N276+N278+N280+N282</f>
        <v>0</v>
      </c>
      <c r="O265" s="19">
        <f>O266+O268+O270+O272+O274+O276+O278+O280+O282</f>
        <v>0</v>
      </c>
      <c r="P265" s="19">
        <f t="shared" si="24"/>
        <v>81460900</v>
      </c>
      <c r="Q265" s="110"/>
    </row>
    <row r="266" spans="1:16" s="11" customFormat="1" ht="27">
      <c r="A266" s="22" t="s">
        <v>451</v>
      </c>
      <c r="B266" s="23" t="s">
        <v>243</v>
      </c>
      <c r="C266" s="24" t="s">
        <v>57</v>
      </c>
      <c r="D266" s="89" t="s">
        <v>244</v>
      </c>
      <c r="E266" s="59">
        <f t="shared" si="28"/>
        <v>1288100</v>
      </c>
      <c r="F266" s="26">
        <v>1288100</v>
      </c>
      <c r="G266" s="26">
        <v>0</v>
      </c>
      <c r="H266" s="26">
        <v>0</v>
      </c>
      <c r="I266" s="26">
        <v>0</v>
      </c>
      <c r="J266" s="59">
        <f t="shared" si="29"/>
        <v>0</v>
      </c>
      <c r="K266" s="26">
        <v>0</v>
      </c>
      <c r="L266" s="26">
        <v>0</v>
      </c>
      <c r="M266" s="26">
        <v>0</v>
      </c>
      <c r="N266" s="26">
        <v>0</v>
      </c>
      <c r="O266" s="26">
        <v>0</v>
      </c>
      <c r="P266" s="25">
        <f t="shared" si="24"/>
        <v>1288100</v>
      </c>
    </row>
    <row r="267" spans="1:16" s="11" customFormat="1" ht="110.25" customHeight="1">
      <c r="A267" s="22"/>
      <c r="B267" s="23"/>
      <c r="C267" s="24"/>
      <c r="D267" s="11" t="s">
        <v>504</v>
      </c>
      <c r="E267" s="59">
        <f t="shared" si="28"/>
        <v>1288100</v>
      </c>
      <c r="F267" s="26">
        <f>F266</f>
        <v>1288100</v>
      </c>
      <c r="G267" s="26"/>
      <c r="H267" s="26"/>
      <c r="I267" s="26"/>
      <c r="J267" s="59">
        <f t="shared" si="29"/>
        <v>0</v>
      </c>
      <c r="K267" s="26"/>
      <c r="L267" s="26"/>
      <c r="M267" s="26"/>
      <c r="N267" s="26"/>
      <c r="O267" s="26"/>
      <c r="P267" s="25">
        <f t="shared" si="24"/>
        <v>1288100</v>
      </c>
    </row>
    <row r="268" spans="1:16" s="11" customFormat="1" ht="27">
      <c r="A268" s="22" t="s">
        <v>452</v>
      </c>
      <c r="B268" s="23" t="s">
        <v>245</v>
      </c>
      <c r="C268" s="24" t="s">
        <v>57</v>
      </c>
      <c r="D268" s="89" t="s">
        <v>534</v>
      </c>
      <c r="E268" s="59">
        <f t="shared" si="28"/>
        <v>528900</v>
      </c>
      <c r="F268" s="26">
        <v>528900</v>
      </c>
      <c r="G268" s="26">
        <v>0</v>
      </c>
      <c r="H268" s="26">
        <v>0</v>
      </c>
      <c r="I268" s="26">
        <v>0</v>
      </c>
      <c r="J268" s="59">
        <f t="shared" si="29"/>
        <v>0</v>
      </c>
      <c r="K268" s="26">
        <v>0</v>
      </c>
      <c r="L268" s="26">
        <v>0</v>
      </c>
      <c r="M268" s="26">
        <v>0</v>
      </c>
      <c r="N268" s="26">
        <v>0</v>
      </c>
      <c r="O268" s="26">
        <v>0</v>
      </c>
      <c r="P268" s="25">
        <f t="shared" si="24"/>
        <v>528900</v>
      </c>
    </row>
    <row r="269" spans="1:16" s="11" customFormat="1" ht="117" customHeight="1">
      <c r="A269" s="22"/>
      <c r="B269" s="23"/>
      <c r="C269" s="24"/>
      <c r="D269" s="11" t="s">
        <v>504</v>
      </c>
      <c r="E269" s="59">
        <f t="shared" si="28"/>
        <v>528900</v>
      </c>
      <c r="F269" s="26">
        <f>F268</f>
        <v>528900</v>
      </c>
      <c r="G269" s="26"/>
      <c r="H269" s="26"/>
      <c r="I269" s="26"/>
      <c r="J269" s="59">
        <f t="shared" si="29"/>
        <v>0</v>
      </c>
      <c r="K269" s="26"/>
      <c r="L269" s="26"/>
      <c r="M269" s="26"/>
      <c r="N269" s="26"/>
      <c r="O269" s="26"/>
      <c r="P269" s="25">
        <f t="shared" si="24"/>
        <v>528900</v>
      </c>
    </row>
    <row r="270" spans="1:16" s="11" customFormat="1" ht="13.5">
      <c r="A270" s="22" t="s">
        <v>453</v>
      </c>
      <c r="B270" s="23" t="s">
        <v>246</v>
      </c>
      <c r="C270" s="24" t="s">
        <v>57</v>
      </c>
      <c r="D270" s="89" t="s">
        <v>247</v>
      </c>
      <c r="E270" s="59">
        <f t="shared" si="28"/>
        <v>41404150</v>
      </c>
      <c r="F270" s="26">
        <v>41404150</v>
      </c>
      <c r="G270" s="26">
        <v>0</v>
      </c>
      <c r="H270" s="26">
        <v>0</v>
      </c>
      <c r="I270" s="26">
        <v>0</v>
      </c>
      <c r="J270" s="59">
        <f t="shared" si="29"/>
        <v>0</v>
      </c>
      <c r="K270" s="26">
        <v>0</v>
      </c>
      <c r="L270" s="26">
        <v>0</v>
      </c>
      <c r="M270" s="26">
        <v>0</v>
      </c>
      <c r="N270" s="26">
        <v>0</v>
      </c>
      <c r="O270" s="26">
        <v>0</v>
      </c>
      <c r="P270" s="25">
        <f t="shared" si="24"/>
        <v>41404150</v>
      </c>
    </row>
    <row r="271" spans="1:16" s="11" customFormat="1" ht="111.75" customHeight="1">
      <c r="A271" s="22"/>
      <c r="B271" s="23"/>
      <c r="C271" s="24"/>
      <c r="D271" s="11" t="s">
        <v>504</v>
      </c>
      <c r="E271" s="59">
        <f t="shared" si="28"/>
        <v>41404150</v>
      </c>
      <c r="F271" s="26">
        <f>F270</f>
        <v>41404150</v>
      </c>
      <c r="G271" s="26"/>
      <c r="H271" s="26"/>
      <c r="I271" s="26"/>
      <c r="J271" s="59">
        <f t="shared" si="29"/>
        <v>0</v>
      </c>
      <c r="K271" s="26"/>
      <c r="L271" s="26"/>
      <c r="M271" s="26"/>
      <c r="N271" s="26"/>
      <c r="O271" s="26"/>
      <c r="P271" s="25">
        <f t="shared" si="24"/>
        <v>41404150</v>
      </c>
    </row>
    <row r="272" spans="1:16" s="11" customFormat="1" ht="27">
      <c r="A272" s="22" t="s">
        <v>454</v>
      </c>
      <c r="B272" s="23" t="s">
        <v>248</v>
      </c>
      <c r="C272" s="24" t="s">
        <v>57</v>
      </c>
      <c r="D272" s="89" t="s">
        <v>249</v>
      </c>
      <c r="E272" s="59">
        <f t="shared" si="28"/>
        <v>5000100</v>
      </c>
      <c r="F272" s="26">
        <v>5000100</v>
      </c>
      <c r="G272" s="26">
        <v>0</v>
      </c>
      <c r="H272" s="26">
        <v>0</v>
      </c>
      <c r="I272" s="26">
        <v>0</v>
      </c>
      <c r="J272" s="59">
        <f t="shared" si="29"/>
        <v>0</v>
      </c>
      <c r="K272" s="26">
        <v>0</v>
      </c>
      <c r="L272" s="26">
        <v>0</v>
      </c>
      <c r="M272" s="26">
        <v>0</v>
      </c>
      <c r="N272" s="26">
        <v>0</v>
      </c>
      <c r="O272" s="26">
        <v>0</v>
      </c>
      <c r="P272" s="25">
        <f t="shared" si="24"/>
        <v>5000100</v>
      </c>
    </row>
    <row r="273" spans="1:16" s="11" customFormat="1" ht="96">
      <c r="A273" s="22"/>
      <c r="B273" s="23"/>
      <c r="C273" s="24"/>
      <c r="D273" s="11" t="s">
        <v>504</v>
      </c>
      <c r="E273" s="59">
        <f t="shared" si="28"/>
        <v>5000100</v>
      </c>
      <c r="F273" s="26">
        <f>F272</f>
        <v>5000100</v>
      </c>
      <c r="G273" s="26"/>
      <c r="H273" s="26"/>
      <c r="I273" s="26"/>
      <c r="J273" s="59">
        <f t="shared" si="29"/>
        <v>0</v>
      </c>
      <c r="K273" s="26"/>
      <c r="L273" s="26"/>
      <c r="M273" s="26"/>
      <c r="N273" s="26"/>
      <c r="O273" s="26"/>
      <c r="P273" s="25">
        <f t="shared" si="24"/>
        <v>5000100</v>
      </c>
    </row>
    <row r="274" spans="1:16" s="11" customFormat="1" ht="27">
      <c r="A274" s="22" t="s">
        <v>455</v>
      </c>
      <c r="B274" s="23" t="s">
        <v>250</v>
      </c>
      <c r="C274" s="24" t="s">
        <v>57</v>
      </c>
      <c r="D274" s="89" t="s">
        <v>251</v>
      </c>
      <c r="E274" s="59">
        <f t="shared" si="28"/>
        <v>12001500</v>
      </c>
      <c r="F274" s="26">
        <v>12001500</v>
      </c>
      <c r="G274" s="26">
        <v>0</v>
      </c>
      <c r="H274" s="26">
        <v>0</v>
      </c>
      <c r="I274" s="26">
        <v>0</v>
      </c>
      <c r="J274" s="59">
        <f t="shared" si="29"/>
        <v>0</v>
      </c>
      <c r="K274" s="26">
        <v>0</v>
      </c>
      <c r="L274" s="26">
        <v>0</v>
      </c>
      <c r="M274" s="26">
        <v>0</v>
      </c>
      <c r="N274" s="26">
        <v>0</v>
      </c>
      <c r="O274" s="26">
        <v>0</v>
      </c>
      <c r="P274" s="25">
        <f t="shared" si="24"/>
        <v>12001500</v>
      </c>
    </row>
    <row r="275" spans="1:16" s="11" customFormat="1" ht="96">
      <c r="A275" s="22"/>
      <c r="B275" s="23"/>
      <c r="C275" s="24"/>
      <c r="D275" s="11" t="s">
        <v>504</v>
      </c>
      <c r="E275" s="59">
        <f t="shared" si="28"/>
        <v>12001500</v>
      </c>
      <c r="F275" s="26">
        <f>F274</f>
        <v>12001500</v>
      </c>
      <c r="G275" s="26"/>
      <c r="H275" s="26"/>
      <c r="I275" s="26"/>
      <c r="J275" s="59">
        <f t="shared" si="29"/>
        <v>0</v>
      </c>
      <c r="K275" s="26"/>
      <c r="L275" s="26"/>
      <c r="M275" s="26"/>
      <c r="N275" s="26"/>
      <c r="O275" s="26"/>
      <c r="P275" s="25">
        <f t="shared" si="24"/>
        <v>12001500</v>
      </c>
    </row>
    <row r="276" spans="1:16" s="11" customFormat="1" ht="27">
      <c r="A276" s="22" t="s">
        <v>456</v>
      </c>
      <c r="B276" s="23" t="s">
        <v>252</v>
      </c>
      <c r="C276" s="24" t="s">
        <v>57</v>
      </c>
      <c r="D276" s="89" t="s">
        <v>253</v>
      </c>
      <c r="E276" s="59">
        <f t="shared" si="28"/>
        <v>501000</v>
      </c>
      <c r="F276" s="26">
        <v>501000</v>
      </c>
      <c r="G276" s="26">
        <v>0</v>
      </c>
      <c r="H276" s="26">
        <v>0</v>
      </c>
      <c r="I276" s="26">
        <v>0</v>
      </c>
      <c r="J276" s="59">
        <f t="shared" si="29"/>
        <v>0</v>
      </c>
      <c r="K276" s="26">
        <v>0</v>
      </c>
      <c r="L276" s="26">
        <v>0</v>
      </c>
      <c r="M276" s="26">
        <v>0</v>
      </c>
      <c r="N276" s="26">
        <v>0</v>
      </c>
      <c r="O276" s="26">
        <v>0</v>
      </c>
      <c r="P276" s="25">
        <f t="shared" si="24"/>
        <v>501000</v>
      </c>
    </row>
    <row r="277" spans="1:16" s="11" customFormat="1" ht="96">
      <c r="A277" s="22"/>
      <c r="B277" s="23"/>
      <c r="C277" s="24"/>
      <c r="D277" s="11" t="s">
        <v>504</v>
      </c>
      <c r="E277" s="59">
        <f t="shared" si="28"/>
        <v>501000</v>
      </c>
      <c r="F277" s="26">
        <f>F276</f>
        <v>501000</v>
      </c>
      <c r="G277" s="26"/>
      <c r="H277" s="26"/>
      <c r="I277" s="26"/>
      <c r="J277" s="59">
        <f t="shared" si="29"/>
        <v>0</v>
      </c>
      <c r="K277" s="26"/>
      <c r="L277" s="26"/>
      <c r="M277" s="26"/>
      <c r="N277" s="26"/>
      <c r="O277" s="26"/>
      <c r="P277" s="25">
        <f t="shared" si="24"/>
        <v>501000</v>
      </c>
    </row>
    <row r="278" spans="1:16" s="11" customFormat="1" ht="13.5">
      <c r="A278" s="22" t="s">
        <v>457</v>
      </c>
      <c r="B278" s="23" t="s">
        <v>254</v>
      </c>
      <c r="C278" s="24" t="s">
        <v>57</v>
      </c>
      <c r="D278" s="89" t="s">
        <v>255</v>
      </c>
      <c r="E278" s="59">
        <f t="shared" si="28"/>
        <v>220100</v>
      </c>
      <c r="F278" s="26">
        <v>220100</v>
      </c>
      <c r="G278" s="26">
        <v>0</v>
      </c>
      <c r="H278" s="26">
        <v>0</v>
      </c>
      <c r="I278" s="26">
        <v>0</v>
      </c>
      <c r="J278" s="59">
        <f t="shared" si="29"/>
        <v>0</v>
      </c>
      <c r="K278" s="26">
        <v>0</v>
      </c>
      <c r="L278" s="26">
        <v>0</v>
      </c>
      <c r="M278" s="26">
        <v>0</v>
      </c>
      <c r="N278" s="26">
        <v>0</v>
      </c>
      <c r="O278" s="26">
        <v>0</v>
      </c>
      <c r="P278" s="25">
        <f t="shared" si="24"/>
        <v>220100</v>
      </c>
    </row>
    <row r="279" spans="1:16" s="11" customFormat="1" ht="96">
      <c r="A279" s="22"/>
      <c r="B279" s="23"/>
      <c r="C279" s="24"/>
      <c r="D279" s="11" t="s">
        <v>504</v>
      </c>
      <c r="E279" s="59">
        <f t="shared" si="28"/>
        <v>220100</v>
      </c>
      <c r="F279" s="26">
        <f>F278</f>
        <v>220100</v>
      </c>
      <c r="G279" s="26"/>
      <c r="H279" s="26"/>
      <c r="I279" s="26"/>
      <c r="J279" s="59">
        <f t="shared" si="29"/>
        <v>0</v>
      </c>
      <c r="K279" s="26"/>
      <c r="L279" s="26"/>
      <c r="M279" s="26"/>
      <c r="N279" s="26"/>
      <c r="O279" s="26"/>
      <c r="P279" s="25">
        <f t="shared" si="24"/>
        <v>220100</v>
      </c>
    </row>
    <row r="280" spans="1:16" s="11" customFormat="1" ht="27">
      <c r="A280" s="22" t="s">
        <v>458</v>
      </c>
      <c r="B280" s="23" t="s">
        <v>256</v>
      </c>
      <c r="C280" s="24" t="s">
        <v>57</v>
      </c>
      <c r="D280" s="89" t="s">
        <v>257</v>
      </c>
      <c r="E280" s="59">
        <f t="shared" si="28"/>
        <v>7500200</v>
      </c>
      <c r="F280" s="26">
        <v>7500200</v>
      </c>
      <c r="G280" s="26">
        <v>0</v>
      </c>
      <c r="H280" s="26">
        <v>0</v>
      </c>
      <c r="I280" s="26">
        <v>0</v>
      </c>
      <c r="J280" s="59">
        <f t="shared" si="29"/>
        <v>0</v>
      </c>
      <c r="K280" s="26">
        <v>0</v>
      </c>
      <c r="L280" s="26">
        <v>0</v>
      </c>
      <c r="M280" s="26">
        <v>0</v>
      </c>
      <c r="N280" s="26">
        <v>0</v>
      </c>
      <c r="O280" s="26">
        <v>0</v>
      </c>
      <c r="P280" s="25">
        <f t="shared" si="24"/>
        <v>7500200</v>
      </c>
    </row>
    <row r="281" spans="1:16" s="11" customFormat="1" ht="96">
      <c r="A281" s="22"/>
      <c r="B281" s="23"/>
      <c r="C281" s="24"/>
      <c r="D281" s="11" t="s">
        <v>504</v>
      </c>
      <c r="E281" s="59">
        <f t="shared" si="28"/>
        <v>7500200</v>
      </c>
      <c r="F281" s="26">
        <f>F280</f>
        <v>7500200</v>
      </c>
      <c r="G281" s="26"/>
      <c r="H281" s="26"/>
      <c r="I281" s="26"/>
      <c r="J281" s="59">
        <f t="shared" si="29"/>
        <v>0</v>
      </c>
      <c r="K281" s="26"/>
      <c r="L281" s="26"/>
      <c r="M281" s="26"/>
      <c r="N281" s="26"/>
      <c r="O281" s="26"/>
      <c r="P281" s="25">
        <f t="shared" si="24"/>
        <v>7500200</v>
      </c>
    </row>
    <row r="282" spans="1:16" s="11" customFormat="1" ht="27">
      <c r="A282" s="22" t="s">
        <v>459</v>
      </c>
      <c r="B282" s="23" t="s">
        <v>258</v>
      </c>
      <c r="C282" s="24" t="s">
        <v>49</v>
      </c>
      <c r="D282" s="89" t="s">
        <v>259</v>
      </c>
      <c r="E282" s="59">
        <f t="shared" si="28"/>
        <v>13016850</v>
      </c>
      <c r="F282" s="26">
        <v>13016850</v>
      </c>
      <c r="G282" s="26">
        <v>0</v>
      </c>
      <c r="H282" s="26">
        <v>0</v>
      </c>
      <c r="I282" s="26">
        <v>0</v>
      </c>
      <c r="J282" s="59">
        <f t="shared" si="29"/>
        <v>0</v>
      </c>
      <c r="K282" s="26">
        <v>0</v>
      </c>
      <c r="L282" s="26">
        <v>0</v>
      </c>
      <c r="M282" s="26">
        <v>0</v>
      </c>
      <c r="N282" s="26">
        <v>0</v>
      </c>
      <c r="O282" s="26">
        <v>0</v>
      </c>
      <c r="P282" s="25">
        <f t="shared" si="24"/>
        <v>13016850</v>
      </c>
    </row>
    <row r="283" spans="1:16" s="11" customFormat="1" ht="96">
      <c r="A283" s="22"/>
      <c r="B283" s="23"/>
      <c r="C283" s="24"/>
      <c r="D283" s="11" t="s">
        <v>504</v>
      </c>
      <c r="E283" s="59">
        <f t="shared" si="28"/>
        <v>13016850</v>
      </c>
      <c r="F283" s="26">
        <f>F282</f>
        <v>13016850</v>
      </c>
      <c r="G283" s="26"/>
      <c r="H283" s="26"/>
      <c r="I283" s="26"/>
      <c r="J283" s="59">
        <f t="shared" si="29"/>
        <v>0</v>
      </c>
      <c r="K283" s="26"/>
      <c r="L283" s="26"/>
      <c r="M283" s="26"/>
      <c r="N283" s="26"/>
      <c r="O283" s="26"/>
      <c r="P283" s="25">
        <f t="shared" si="24"/>
        <v>13016850</v>
      </c>
    </row>
    <row r="284" spans="1:16" s="11" customFormat="1" ht="41.25">
      <c r="A284" s="3" t="s">
        <v>460</v>
      </c>
      <c r="B284" s="5" t="s">
        <v>260</v>
      </c>
      <c r="C284" s="4" t="s">
        <v>49</v>
      </c>
      <c r="D284" s="73" t="s">
        <v>535</v>
      </c>
      <c r="E284" s="58">
        <f aca="true" t="shared" si="30" ref="E284:E289">F284+I284</f>
        <v>4008000</v>
      </c>
      <c r="F284" s="21">
        <v>4008000</v>
      </c>
      <c r="G284" s="21">
        <v>0</v>
      </c>
      <c r="H284" s="21">
        <v>0</v>
      </c>
      <c r="I284" s="21">
        <v>0</v>
      </c>
      <c r="J284" s="58">
        <f t="shared" si="29"/>
        <v>0</v>
      </c>
      <c r="K284" s="21">
        <v>0</v>
      </c>
      <c r="L284" s="21">
        <v>0</v>
      </c>
      <c r="M284" s="21">
        <v>0</v>
      </c>
      <c r="N284" s="21">
        <v>0</v>
      </c>
      <c r="O284" s="21">
        <v>0</v>
      </c>
      <c r="P284" s="20">
        <f t="shared" si="24"/>
        <v>4008000</v>
      </c>
    </row>
    <row r="285" spans="1:16" s="11" customFormat="1" ht="96">
      <c r="A285" s="22"/>
      <c r="B285" s="23"/>
      <c r="C285" s="24"/>
      <c r="D285" s="11" t="s">
        <v>504</v>
      </c>
      <c r="E285" s="59">
        <f t="shared" si="30"/>
        <v>4008000</v>
      </c>
      <c r="F285" s="26">
        <f>F284</f>
        <v>4008000</v>
      </c>
      <c r="G285" s="26"/>
      <c r="H285" s="26"/>
      <c r="I285" s="26"/>
      <c r="J285" s="59">
        <f t="shared" si="29"/>
        <v>0</v>
      </c>
      <c r="K285" s="26"/>
      <c r="L285" s="26"/>
      <c r="M285" s="26"/>
      <c r="N285" s="26"/>
      <c r="O285" s="26"/>
      <c r="P285" s="25">
        <f t="shared" si="24"/>
        <v>4008000</v>
      </c>
    </row>
    <row r="286" spans="1:17" s="11" customFormat="1" ht="48.75" customHeight="1">
      <c r="A286" s="16" t="s">
        <v>461</v>
      </c>
      <c r="B286" s="17"/>
      <c r="C286" s="18"/>
      <c r="D286" s="74" t="s">
        <v>261</v>
      </c>
      <c r="E286" s="57">
        <f t="shared" si="30"/>
        <v>5778500</v>
      </c>
      <c r="F286" s="19">
        <f>F287</f>
        <v>5778500</v>
      </c>
      <c r="G286" s="19">
        <f>G287</f>
        <v>4270080</v>
      </c>
      <c r="H286" s="19">
        <f>H287</f>
        <v>367000</v>
      </c>
      <c r="I286" s="19">
        <f>I287</f>
        <v>0</v>
      </c>
      <c r="J286" s="57">
        <f t="shared" si="29"/>
        <v>55000</v>
      </c>
      <c r="K286" s="19">
        <f>K287</f>
        <v>55000</v>
      </c>
      <c r="L286" s="19">
        <f>L287</f>
        <v>38900</v>
      </c>
      <c r="M286" s="19">
        <f>M287</f>
        <v>0</v>
      </c>
      <c r="N286" s="19">
        <f>N287</f>
        <v>0</v>
      </c>
      <c r="O286" s="19">
        <f>O287</f>
        <v>0</v>
      </c>
      <c r="P286" s="19">
        <f t="shared" si="24"/>
        <v>5833500</v>
      </c>
      <c r="Q286" s="110"/>
    </row>
    <row r="287" spans="1:16" s="11" customFormat="1" ht="61.5" customHeight="1">
      <c r="A287" s="22" t="s">
        <v>462</v>
      </c>
      <c r="B287" s="23" t="s">
        <v>262</v>
      </c>
      <c r="C287" s="24" t="s">
        <v>53</v>
      </c>
      <c r="D287" s="75" t="s">
        <v>263</v>
      </c>
      <c r="E287" s="59">
        <f t="shared" si="30"/>
        <v>5778500</v>
      </c>
      <c r="F287" s="26">
        <v>5778500</v>
      </c>
      <c r="G287" s="26">
        <v>4270080</v>
      </c>
      <c r="H287" s="26">
        <v>367000</v>
      </c>
      <c r="I287" s="26">
        <v>0</v>
      </c>
      <c r="J287" s="59">
        <f t="shared" si="29"/>
        <v>55000</v>
      </c>
      <c r="K287" s="26">
        <v>55000</v>
      </c>
      <c r="L287" s="26">
        <v>38900</v>
      </c>
      <c r="M287" s="26">
        <v>0</v>
      </c>
      <c r="N287" s="26">
        <v>0</v>
      </c>
      <c r="O287" s="26">
        <v>0</v>
      </c>
      <c r="P287" s="25">
        <f t="shared" si="24"/>
        <v>5833500</v>
      </c>
    </row>
    <row r="288" spans="1:17" s="11" customFormat="1" ht="69">
      <c r="A288" s="16" t="s">
        <v>463</v>
      </c>
      <c r="B288" s="17"/>
      <c r="C288" s="18"/>
      <c r="D288" s="74" t="s">
        <v>264</v>
      </c>
      <c r="E288" s="57">
        <f t="shared" si="30"/>
        <v>322700</v>
      </c>
      <c r="F288" s="19">
        <f>F289</f>
        <v>322700</v>
      </c>
      <c r="G288" s="19">
        <f>G289</f>
        <v>0</v>
      </c>
      <c r="H288" s="19">
        <f>H289</f>
        <v>0</v>
      </c>
      <c r="I288" s="19">
        <f>I289</f>
        <v>0</v>
      </c>
      <c r="J288" s="57">
        <f t="shared" si="29"/>
        <v>0</v>
      </c>
      <c r="K288" s="19">
        <f>K289</f>
        <v>0</v>
      </c>
      <c r="L288" s="19">
        <f>L289</f>
        <v>0</v>
      </c>
      <c r="M288" s="19">
        <f>M289</f>
        <v>0</v>
      </c>
      <c r="N288" s="19">
        <f>N289</f>
        <v>0</v>
      </c>
      <c r="O288" s="19">
        <f>O289</f>
        <v>0</v>
      </c>
      <c r="P288" s="19">
        <f t="shared" si="24"/>
        <v>322700</v>
      </c>
      <c r="Q288" s="110"/>
    </row>
    <row r="289" spans="1:16" s="11" customFormat="1" ht="84.75" customHeight="1">
      <c r="A289" s="22" t="s">
        <v>464</v>
      </c>
      <c r="B289" s="23" t="s">
        <v>265</v>
      </c>
      <c r="C289" s="24" t="s">
        <v>49</v>
      </c>
      <c r="D289" s="75" t="s">
        <v>266</v>
      </c>
      <c r="E289" s="59">
        <f t="shared" si="30"/>
        <v>322700</v>
      </c>
      <c r="F289" s="26">
        <v>322700</v>
      </c>
      <c r="G289" s="26">
        <v>0</v>
      </c>
      <c r="H289" s="26">
        <v>0</v>
      </c>
      <c r="I289" s="26">
        <v>0</v>
      </c>
      <c r="J289" s="59">
        <f t="shared" si="29"/>
        <v>0</v>
      </c>
      <c r="K289" s="26">
        <v>0</v>
      </c>
      <c r="L289" s="26">
        <v>0</v>
      </c>
      <c r="M289" s="26">
        <v>0</v>
      </c>
      <c r="N289" s="26">
        <v>0</v>
      </c>
      <c r="O289" s="26">
        <v>0</v>
      </c>
      <c r="P289" s="25">
        <f t="shared" si="24"/>
        <v>322700</v>
      </c>
    </row>
    <row r="290" spans="1:17" s="11" customFormat="1" ht="96" customHeight="1">
      <c r="A290" s="3" t="s">
        <v>465</v>
      </c>
      <c r="B290" s="5" t="s">
        <v>267</v>
      </c>
      <c r="C290" s="4" t="s">
        <v>226</v>
      </c>
      <c r="D290" s="73" t="s">
        <v>268</v>
      </c>
      <c r="E290" s="58">
        <f aca="true" t="shared" si="31" ref="E290:E299">F290+I290</f>
        <v>609600</v>
      </c>
      <c r="F290" s="21">
        <v>609600</v>
      </c>
      <c r="G290" s="21">
        <v>0</v>
      </c>
      <c r="H290" s="21">
        <v>0</v>
      </c>
      <c r="I290" s="21">
        <v>0</v>
      </c>
      <c r="J290" s="58">
        <f aca="true" t="shared" si="32" ref="J290:J299">K290+N290</f>
        <v>0</v>
      </c>
      <c r="K290" s="21">
        <v>0</v>
      </c>
      <c r="L290" s="21">
        <v>0</v>
      </c>
      <c r="M290" s="21">
        <v>0</v>
      </c>
      <c r="N290" s="21">
        <v>0</v>
      </c>
      <c r="O290" s="21">
        <v>0</v>
      </c>
      <c r="P290" s="20">
        <f t="shared" si="24"/>
        <v>609600</v>
      </c>
      <c r="Q290" s="110"/>
    </row>
    <row r="291" spans="1:17" s="11" customFormat="1" ht="27">
      <c r="A291" s="16" t="s">
        <v>466</v>
      </c>
      <c r="B291" s="17"/>
      <c r="C291" s="18"/>
      <c r="D291" s="74" t="s">
        <v>211</v>
      </c>
      <c r="E291" s="57">
        <f t="shared" si="31"/>
        <v>55000</v>
      </c>
      <c r="F291" s="19">
        <f>F292</f>
        <v>55000</v>
      </c>
      <c r="G291" s="19">
        <f>G292</f>
        <v>0</v>
      </c>
      <c r="H291" s="19">
        <f>H292</f>
        <v>0</v>
      </c>
      <c r="I291" s="19">
        <f>I292</f>
        <v>0</v>
      </c>
      <c r="J291" s="57">
        <f t="shared" si="32"/>
        <v>0</v>
      </c>
      <c r="K291" s="19">
        <f>K292</f>
        <v>0</v>
      </c>
      <c r="L291" s="19">
        <f>L292</f>
        <v>0</v>
      </c>
      <c r="M291" s="19">
        <f>M292</f>
        <v>0</v>
      </c>
      <c r="N291" s="19">
        <f>N292</f>
        <v>0</v>
      </c>
      <c r="O291" s="19">
        <f>O292</f>
        <v>0</v>
      </c>
      <c r="P291" s="19">
        <f t="shared" si="24"/>
        <v>55000</v>
      </c>
      <c r="Q291" s="110"/>
    </row>
    <row r="292" spans="1:16" s="11" customFormat="1" ht="41.25">
      <c r="A292" s="22" t="s">
        <v>467</v>
      </c>
      <c r="B292" s="23" t="s">
        <v>213</v>
      </c>
      <c r="C292" s="24" t="s">
        <v>186</v>
      </c>
      <c r="D292" s="75" t="s">
        <v>214</v>
      </c>
      <c r="E292" s="59">
        <f t="shared" si="31"/>
        <v>55000</v>
      </c>
      <c r="F292" s="26">
        <v>55000</v>
      </c>
      <c r="G292" s="26">
        <v>0</v>
      </c>
      <c r="H292" s="26">
        <v>0</v>
      </c>
      <c r="I292" s="26">
        <v>0</v>
      </c>
      <c r="J292" s="59">
        <f t="shared" si="32"/>
        <v>0</v>
      </c>
      <c r="K292" s="26">
        <v>0</v>
      </c>
      <c r="L292" s="26">
        <v>0</v>
      </c>
      <c r="M292" s="26">
        <v>0</v>
      </c>
      <c r="N292" s="26">
        <v>0</v>
      </c>
      <c r="O292" s="26">
        <v>0</v>
      </c>
      <c r="P292" s="25">
        <f t="shared" si="24"/>
        <v>55000</v>
      </c>
    </row>
    <row r="293" spans="1:17" s="11" customFormat="1" ht="27">
      <c r="A293" s="3" t="s">
        <v>468</v>
      </c>
      <c r="B293" s="5" t="s">
        <v>219</v>
      </c>
      <c r="C293" s="4" t="s">
        <v>61</v>
      </c>
      <c r="D293" s="73" t="s">
        <v>220</v>
      </c>
      <c r="E293" s="58">
        <f t="shared" si="31"/>
        <v>15800</v>
      </c>
      <c r="F293" s="21">
        <v>15800</v>
      </c>
      <c r="G293" s="21">
        <v>0</v>
      </c>
      <c r="H293" s="21">
        <v>0</v>
      </c>
      <c r="I293" s="21">
        <v>0</v>
      </c>
      <c r="J293" s="58">
        <f t="shared" si="32"/>
        <v>0</v>
      </c>
      <c r="K293" s="21">
        <v>0</v>
      </c>
      <c r="L293" s="21">
        <v>0</v>
      </c>
      <c r="M293" s="21">
        <v>0</v>
      </c>
      <c r="N293" s="21">
        <v>0</v>
      </c>
      <c r="O293" s="21">
        <v>0</v>
      </c>
      <c r="P293" s="20">
        <f t="shared" si="24"/>
        <v>15800</v>
      </c>
      <c r="Q293" s="110"/>
    </row>
    <row r="294" spans="1:17" s="100" customFormat="1" ht="28.5" customHeight="1">
      <c r="A294" s="66" t="s">
        <v>269</v>
      </c>
      <c r="B294" s="67"/>
      <c r="C294" s="68"/>
      <c r="D294" s="72" t="s">
        <v>270</v>
      </c>
      <c r="E294" s="69">
        <f t="shared" si="31"/>
        <v>6743360</v>
      </c>
      <c r="F294" s="70">
        <f>F295+F302+F306+F310</f>
        <v>6743360</v>
      </c>
      <c r="G294" s="70">
        <f>G295+G302+G306+G310</f>
        <v>4214270</v>
      </c>
      <c r="H294" s="70">
        <f>H295+H302+H306+H310</f>
        <v>497707</v>
      </c>
      <c r="I294" s="70">
        <f>I295+I302+I306+I310</f>
        <v>0</v>
      </c>
      <c r="J294" s="69">
        <f t="shared" si="32"/>
        <v>500000</v>
      </c>
      <c r="K294" s="70">
        <v>0</v>
      </c>
      <c r="L294" s="70">
        <v>0</v>
      </c>
      <c r="M294" s="70">
        <v>0</v>
      </c>
      <c r="N294" s="70">
        <f>N295</f>
        <v>500000</v>
      </c>
      <c r="O294" s="70">
        <v>500000</v>
      </c>
      <c r="P294" s="70">
        <f>E294+J294</f>
        <v>7243360</v>
      </c>
      <c r="Q294" s="120"/>
    </row>
    <row r="295" spans="1:16" s="101" customFormat="1" ht="13.5">
      <c r="A295" s="27" t="s">
        <v>271</v>
      </c>
      <c r="B295" s="28"/>
      <c r="C295" s="29"/>
      <c r="D295" s="78" t="s">
        <v>472</v>
      </c>
      <c r="E295" s="58">
        <f t="shared" si="31"/>
        <v>4590460</v>
      </c>
      <c r="F295" s="20">
        <f>F296+F298+F301</f>
        <v>4590460</v>
      </c>
      <c r="G295" s="20">
        <f>G296+G298+G301</f>
        <v>2619889</v>
      </c>
      <c r="H295" s="20">
        <f>H296+H298+H301</f>
        <v>395230</v>
      </c>
      <c r="I295" s="20">
        <f>I296+I298+I301</f>
        <v>0</v>
      </c>
      <c r="J295" s="58">
        <f>K295+N295</f>
        <v>500000</v>
      </c>
      <c r="K295" s="20">
        <v>0</v>
      </c>
      <c r="L295" s="20">
        <v>0</v>
      </c>
      <c r="M295" s="20">
        <v>0</v>
      </c>
      <c r="N295" s="20">
        <f>N297</f>
        <v>500000</v>
      </c>
      <c r="O295" s="20">
        <f>O297</f>
        <v>500000</v>
      </c>
      <c r="P295" s="20">
        <f>E295+J295</f>
        <v>5090460</v>
      </c>
    </row>
    <row r="296" spans="1:17" s="11" customFormat="1" ht="27">
      <c r="A296" s="3" t="s">
        <v>272</v>
      </c>
      <c r="B296" s="30" t="s">
        <v>35</v>
      </c>
      <c r="C296" s="30" t="s">
        <v>20</v>
      </c>
      <c r="D296" s="73" t="s">
        <v>539</v>
      </c>
      <c r="E296" s="58">
        <f t="shared" si="31"/>
        <v>823560</v>
      </c>
      <c r="F296" s="21">
        <v>823560</v>
      </c>
      <c r="G296" s="21">
        <v>581199</v>
      </c>
      <c r="H296" s="21">
        <v>51630</v>
      </c>
      <c r="I296" s="21">
        <v>0</v>
      </c>
      <c r="J296" s="58">
        <f t="shared" si="32"/>
        <v>0</v>
      </c>
      <c r="K296" s="21">
        <v>0</v>
      </c>
      <c r="L296" s="21">
        <v>0</v>
      </c>
      <c r="M296" s="21">
        <v>0</v>
      </c>
      <c r="N296" s="21">
        <v>0</v>
      </c>
      <c r="O296" s="21">
        <v>0</v>
      </c>
      <c r="P296" s="20">
        <f t="shared" si="24"/>
        <v>823560</v>
      </c>
      <c r="Q296" s="110"/>
    </row>
    <row r="297" spans="1:17" s="11" customFormat="1" ht="88.5" customHeight="1">
      <c r="A297" s="3">
        <v>2011060</v>
      </c>
      <c r="B297" s="5" t="s">
        <v>226</v>
      </c>
      <c r="C297" s="4" t="s">
        <v>48</v>
      </c>
      <c r="D297" s="73" t="s">
        <v>478</v>
      </c>
      <c r="E297" s="58">
        <f t="shared" si="31"/>
        <v>0</v>
      </c>
      <c r="F297" s="21"/>
      <c r="G297" s="21"/>
      <c r="H297" s="21"/>
      <c r="I297" s="21"/>
      <c r="J297" s="58">
        <f t="shared" si="32"/>
        <v>500000</v>
      </c>
      <c r="K297" s="21"/>
      <c r="L297" s="21"/>
      <c r="M297" s="21"/>
      <c r="N297" s="21">
        <v>500000</v>
      </c>
      <c r="O297" s="21">
        <v>500000</v>
      </c>
      <c r="P297" s="20">
        <f t="shared" si="24"/>
        <v>500000</v>
      </c>
      <c r="Q297" s="110"/>
    </row>
    <row r="298" spans="1:17" s="11" customFormat="1" ht="27">
      <c r="A298" s="16" t="s">
        <v>273</v>
      </c>
      <c r="B298" s="17"/>
      <c r="C298" s="18"/>
      <c r="D298" s="74" t="s">
        <v>274</v>
      </c>
      <c r="E298" s="57">
        <f t="shared" si="31"/>
        <v>3721900</v>
      </c>
      <c r="F298" s="19">
        <f>F299+F300</f>
        <v>3721900</v>
      </c>
      <c r="G298" s="19">
        <f>G299+G300</f>
        <v>2038690</v>
      </c>
      <c r="H298" s="19">
        <f>H299+H300</f>
        <v>343600</v>
      </c>
      <c r="I298" s="19">
        <f>I299+I300</f>
        <v>0</v>
      </c>
      <c r="J298" s="57">
        <f t="shared" si="32"/>
        <v>0</v>
      </c>
      <c r="K298" s="19">
        <f>K299+K300</f>
        <v>0</v>
      </c>
      <c r="L298" s="19">
        <f>L299+L300</f>
        <v>0</v>
      </c>
      <c r="M298" s="19">
        <f>M299+M300</f>
        <v>0</v>
      </c>
      <c r="N298" s="19">
        <f>N299+N300</f>
        <v>0</v>
      </c>
      <c r="O298" s="19">
        <f>O299+O300</f>
        <v>0</v>
      </c>
      <c r="P298" s="19">
        <f t="shared" si="24"/>
        <v>3721900</v>
      </c>
      <c r="Q298" s="110"/>
    </row>
    <row r="299" spans="1:16" s="11" customFormat="1" ht="41.25">
      <c r="A299" s="22" t="s">
        <v>275</v>
      </c>
      <c r="B299" s="23" t="s">
        <v>276</v>
      </c>
      <c r="C299" s="24" t="s">
        <v>57</v>
      </c>
      <c r="D299" s="75" t="s">
        <v>277</v>
      </c>
      <c r="E299" s="59">
        <f t="shared" si="31"/>
        <v>3624100</v>
      </c>
      <c r="F299" s="26">
        <v>3624100</v>
      </c>
      <c r="G299" s="26">
        <v>2038690</v>
      </c>
      <c r="H299" s="26">
        <v>343600</v>
      </c>
      <c r="I299" s="26">
        <v>0</v>
      </c>
      <c r="J299" s="59">
        <f t="shared" si="32"/>
        <v>0</v>
      </c>
      <c r="K299" s="26">
        <v>0</v>
      </c>
      <c r="L299" s="26">
        <v>0</v>
      </c>
      <c r="M299" s="26">
        <v>0</v>
      </c>
      <c r="N299" s="26">
        <v>0</v>
      </c>
      <c r="O299" s="26">
        <v>0</v>
      </c>
      <c r="P299" s="25">
        <f t="shared" si="24"/>
        <v>3624100</v>
      </c>
    </row>
    <row r="300" spans="1:16" s="11" customFormat="1" ht="27">
      <c r="A300" s="22" t="s">
        <v>278</v>
      </c>
      <c r="B300" s="23" t="s">
        <v>279</v>
      </c>
      <c r="C300" s="24" t="s">
        <v>57</v>
      </c>
      <c r="D300" s="75" t="s">
        <v>280</v>
      </c>
      <c r="E300" s="59">
        <f aca="true" t="shared" si="33" ref="E300:E309">F300+I300</f>
        <v>97800</v>
      </c>
      <c r="F300" s="26">
        <v>97800</v>
      </c>
      <c r="G300" s="26">
        <v>0</v>
      </c>
      <c r="H300" s="26">
        <v>0</v>
      </c>
      <c r="I300" s="26">
        <v>0</v>
      </c>
      <c r="J300" s="59">
        <f aca="true" t="shared" si="34" ref="J300:J319">K300+N300</f>
        <v>0</v>
      </c>
      <c r="K300" s="26">
        <v>0</v>
      </c>
      <c r="L300" s="26">
        <v>0</v>
      </c>
      <c r="M300" s="26">
        <v>0</v>
      </c>
      <c r="N300" s="26">
        <v>0</v>
      </c>
      <c r="O300" s="26">
        <v>0</v>
      </c>
      <c r="P300" s="25">
        <f t="shared" si="24"/>
        <v>97800</v>
      </c>
    </row>
    <row r="301" spans="1:17" s="53" customFormat="1" ht="13.5">
      <c r="A301" s="3" t="s">
        <v>281</v>
      </c>
      <c r="B301" s="5" t="s">
        <v>84</v>
      </c>
      <c r="C301" s="4" t="s">
        <v>57</v>
      </c>
      <c r="D301" s="73" t="s">
        <v>33</v>
      </c>
      <c r="E301" s="58">
        <f t="shared" si="33"/>
        <v>45000</v>
      </c>
      <c r="F301" s="21">
        <v>45000</v>
      </c>
      <c r="G301" s="21">
        <v>0</v>
      </c>
      <c r="H301" s="21">
        <v>0</v>
      </c>
      <c r="I301" s="21">
        <v>0</v>
      </c>
      <c r="J301" s="58">
        <f t="shared" si="34"/>
        <v>0</v>
      </c>
      <c r="K301" s="21">
        <v>0</v>
      </c>
      <c r="L301" s="21">
        <v>0</v>
      </c>
      <c r="M301" s="21">
        <v>0</v>
      </c>
      <c r="N301" s="21">
        <v>0</v>
      </c>
      <c r="O301" s="21">
        <v>0</v>
      </c>
      <c r="P301" s="20">
        <f t="shared" si="24"/>
        <v>45000</v>
      </c>
      <c r="Q301" s="121"/>
    </row>
    <row r="302" spans="1:17" s="102" customFormat="1" ht="27">
      <c r="A302" s="27" t="s">
        <v>271</v>
      </c>
      <c r="B302" s="28"/>
      <c r="C302" s="29"/>
      <c r="D302" s="78" t="s">
        <v>473</v>
      </c>
      <c r="E302" s="58">
        <f t="shared" si="33"/>
        <v>711979</v>
      </c>
      <c r="F302" s="20">
        <f>F303+F304</f>
        <v>711979</v>
      </c>
      <c r="G302" s="20">
        <f>G303+G304</f>
        <v>535041</v>
      </c>
      <c r="H302" s="20">
        <f>H303+H304</f>
        <v>20251</v>
      </c>
      <c r="I302" s="20">
        <f>I303+I304</f>
        <v>0</v>
      </c>
      <c r="J302" s="58">
        <f t="shared" si="34"/>
        <v>0</v>
      </c>
      <c r="K302" s="20">
        <f>K303+K304</f>
        <v>0</v>
      </c>
      <c r="L302" s="20">
        <f>L303+L304</f>
        <v>0</v>
      </c>
      <c r="M302" s="20">
        <f>M303+M304</f>
        <v>0</v>
      </c>
      <c r="N302" s="20">
        <f>N303+N304</f>
        <v>0</v>
      </c>
      <c r="O302" s="20">
        <f>O303+O304</f>
        <v>0</v>
      </c>
      <c r="P302" s="20">
        <f t="shared" si="24"/>
        <v>711979</v>
      </c>
      <c r="Q302" s="123"/>
    </row>
    <row r="303" spans="1:17" s="53" customFormat="1" ht="27">
      <c r="A303" s="3" t="s">
        <v>272</v>
      </c>
      <c r="B303" s="30" t="s">
        <v>35</v>
      </c>
      <c r="C303" s="30" t="s">
        <v>20</v>
      </c>
      <c r="D303" s="73" t="s">
        <v>539</v>
      </c>
      <c r="E303" s="58">
        <f t="shared" si="33"/>
        <v>693079</v>
      </c>
      <c r="F303" s="21">
        <v>693079</v>
      </c>
      <c r="G303" s="21">
        <v>535041</v>
      </c>
      <c r="H303" s="21">
        <v>20251</v>
      </c>
      <c r="I303" s="21">
        <v>0</v>
      </c>
      <c r="J303" s="58">
        <f t="shared" si="34"/>
        <v>0</v>
      </c>
      <c r="K303" s="21">
        <v>0</v>
      </c>
      <c r="L303" s="21">
        <v>0</v>
      </c>
      <c r="M303" s="21">
        <v>0</v>
      </c>
      <c r="N303" s="21">
        <v>0</v>
      </c>
      <c r="O303" s="21">
        <v>0</v>
      </c>
      <c r="P303" s="20">
        <f aca="true" t="shared" si="35" ref="P303:P319">E303+J303</f>
        <v>693079</v>
      </c>
      <c r="Q303" s="121"/>
    </row>
    <row r="304" spans="1:17" s="53" customFormat="1" ht="27">
      <c r="A304" s="16" t="s">
        <v>273</v>
      </c>
      <c r="B304" s="17"/>
      <c r="C304" s="18"/>
      <c r="D304" s="74" t="s">
        <v>274</v>
      </c>
      <c r="E304" s="57">
        <f t="shared" si="33"/>
        <v>18900</v>
      </c>
      <c r="F304" s="19">
        <f>F305</f>
        <v>18900</v>
      </c>
      <c r="G304" s="19">
        <f>G305</f>
        <v>0</v>
      </c>
      <c r="H304" s="19">
        <f>H305</f>
        <v>0</v>
      </c>
      <c r="I304" s="19">
        <f>I305</f>
        <v>0</v>
      </c>
      <c r="J304" s="57">
        <f t="shared" si="34"/>
        <v>0</v>
      </c>
      <c r="K304" s="19">
        <f>K305</f>
        <v>0</v>
      </c>
      <c r="L304" s="19">
        <f>L305</f>
        <v>0</v>
      </c>
      <c r="M304" s="19">
        <f>M305</f>
        <v>0</v>
      </c>
      <c r="N304" s="19">
        <f>N305</f>
        <v>0</v>
      </c>
      <c r="O304" s="19">
        <v>0</v>
      </c>
      <c r="P304" s="19">
        <f t="shared" si="35"/>
        <v>18900</v>
      </c>
      <c r="Q304" s="121"/>
    </row>
    <row r="305" spans="1:16" s="11" customFormat="1" ht="27">
      <c r="A305" s="22" t="s">
        <v>278</v>
      </c>
      <c r="B305" s="23" t="s">
        <v>279</v>
      </c>
      <c r="C305" s="24" t="s">
        <v>57</v>
      </c>
      <c r="D305" s="75" t="s">
        <v>280</v>
      </c>
      <c r="E305" s="59">
        <f t="shared" si="33"/>
        <v>18900</v>
      </c>
      <c r="F305" s="26">
        <v>18900</v>
      </c>
      <c r="G305" s="26">
        <v>0</v>
      </c>
      <c r="H305" s="26">
        <v>0</v>
      </c>
      <c r="I305" s="26">
        <v>0</v>
      </c>
      <c r="J305" s="59">
        <f t="shared" si="34"/>
        <v>0</v>
      </c>
      <c r="K305" s="26">
        <v>0</v>
      </c>
      <c r="L305" s="26">
        <v>0</v>
      </c>
      <c r="M305" s="26">
        <v>0</v>
      </c>
      <c r="N305" s="26">
        <v>0</v>
      </c>
      <c r="O305" s="26">
        <v>0</v>
      </c>
      <c r="P305" s="25">
        <f t="shared" si="35"/>
        <v>18900</v>
      </c>
    </row>
    <row r="306" spans="1:17" s="102" customFormat="1" ht="27">
      <c r="A306" s="27" t="s">
        <v>271</v>
      </c>
      <c r="B306" s="28"/>
      <c r="C306" s="29"/>
      <c r="D306" s="78" t="s">
        <v>474</v>
      </c>
      <c r="E306" s="58">
        <f t="shared" si="33"/>
        <v>729412</v>
      </c>
      <c r="F306" s="20">
        <f>F307+F308</f>
        <v>729412</v>
      </c>
      <c r="G306" s="20">
        <f>G307+G308</f>
        <v>526325</v>
      </c>
      <c r="H306" s="20">
        <f>H307+H308</f>
        <v>50295</v>
      </c>
      <c r="I306" s="20">
        <f>I307+I308</f>
        <v>0</v>
      </c>
      <c r="J306" s="58">
        <f t="shared" si="34"/>
        <v>0</v>
      </c>
      <c r="K306" s="20">
        <f>K307+K308</f>
        <v>0</v>
      </c>
      <c r="L306" s="20">
        <f>L307+L308</f>
        <v>0</v>
      </c>
      <c r="M306" s="20">
        <f>M307+M308</f>
        <v>0</v>
      </c>
      <c r="N306" s="20">
        <f>N307+N308</f>
        <v>0</v>
      </c>
      <c r="O306" s="20">
        <f>O307+O308</f>
        <v>0</v>
      </c>
      <c r="P306" s="20">
        <f t="shared" si="35"/>
        <v>729412</v>
      </c>
      <c r="Q306" s="123"/>
    </row>
    <row r="307" spans="1:17" s="53" customFormat="1" ht="27">
      <c r="A307" s="3" t="s">
        <v>272</v>
      </c>
      <c r="B307" s="30" t="s">
        <v>35</v>
      </c>
      <c r="C307" s="30" t="s">
        <v>20</v>
      </c>
      <c r="D307" s="73" t="s">
        <v>539</v>
      </c>
      <c r="E307" s="58">
        <f t="shared" si="33"/>
        <v>719412</v>
      </c>
      <c r="F307" s="21">
        <v>719412</v>
      </c>
      <c r="G307" s="21">
        <v>526325</v>
      </c>
      <c r="H307" s="21">
        <v>50295</v>
      </c>
      <c r="I307" s="21">
        <v>0</v>
      </c>
      <c r="J307" s="58">
        <f t="shared" si="34"/>
        <v>0</v>
      </c>
      <c r="K307" s="21">
        <v>0</v>
      </c>
      <c r="L307" s="21">
        <v>0</v>
      </c>
      <c r="M307" s="21">
        <v>0</v>
      </c>
      <c r="N307" s="21">
        <v>0</v>
      </c>
      <c r="O307" s="21">
        <v>0</v>
      </c>
      <c r="P307" s="20">
        <f t="shared" si="35"/>
        <v>719412</v>
      </c>
      <c r="Q307" s="121"/>
    </row>
    <row r="308" spans="1:16" s="53" customFormat="1" ht="27">
      <c r="A308" s="16" t="s">
        <v>273</v>
      </c>
      <c r="B308" s="17"/>
      <c r="C308" s="18"/>
      <c r="D308" s="74" t="s">
        <v>274</v>
      </c>
      <c r="E308" s="57">
        <f t="shared" si="33"/>
        <v>10000</v>
      </c>
      <c r="F308" s="19">
        <f>F309</f>
        <v>10000</v>
      </c>
      <c r="G308" s="19">
        <f>G309</f>
        <v>0</v>
      </c>
      <c r="H308" s="19">
        <f>H309</f>
        <v>0</v>
      </c>
      <c r="I308" s="19">
        <f>I309</f>
        <v>0</v>
      </c>
      <c r="J308" s="57">
        <f t="shared" si="34"/>
        <v>0</v>
      </c>
      <c r="K308" s="19">
        <f>K309</f>
        <v>0</v>
      </c>
      <c r="L308" s="19">
        <f>L309</f>
        <v>0</v>
      </c>
      <c r="M308" s="19">
        <f>M309</f>
        <v>0</v>
      </c>
      <c r="N308" s="19">
        <f>N309</f>
        <v>0</v>
      </c>
      <c r="O308" s="19">
        <f>O309</f>
        <v>0</v>
      </c>
      <c r="P308" s="19">
        <f t="shared" si="35"/>
        <v>10000</v>
      </c>
    </row>
    <row r="309" spans="1:16" s="11" customFormat="1" ht="27">
      <c r="A309" s="22" t="s">
        <v>278</v>
      </c>
      <c r="B309" s="23" t="s">
        <v>279</v>
      </c>
      <c r="C309" s="24" t="s">
        <v>57</v>
      </c>
      <c r="D309" s="75" t="s">
        <v>280</v>
      </c>
      <c r="E309" s="59">
        <f t="shared" si="33"/>
        <v>10000</v>
      </c>
      <c r="F309" s="26">
        <v>10000</v>
      </c>
      <c r="G309" s="26">
        <v>0</v>
      </c>
      <c r="H309" s="26">
        <v>0</v>
      </c>
      <c r="I309" s="26">
        <v>0</v>
      </c>
      <c r="J309" s="59">
        <f t="shared" si="34"/>
        <v>0</v>
      </c>
      <c r="K309" s="26">
        <v>0</v>
      </c>
      <c r="L309" s="26">
        <v>0</v>
      </c>
      <c r="M309" s="26">
        <v>0</v>
      </c>
      <c r="N309" s="26">
        <v>0</v>
      </c>
      <c r="O309" s="26">
        <v>0</v>
      </c>
      <c r="P309" s="25">
        <f t="shared" si="35"/>
        <v>10000</v>
      </c>
    </row>
    <row r="310" spans="1:17" s="101" customFormat="1" ht="27">
      <c r="A310" s="27" t="s">
        <v>271</v>
      </c>
      <c r="B310" s="28"/>
      <c r="C310" s="29"/>
      <c r="D310" s="78" t="s">
        <v>475</v>
      </c>
      <c r="E310" s="58">
        <f aca="true" t="shared" si="36" ref="E310:E319">F310+I310</f>
        <v>711509</v>
      </c>
      <c r="F310" s="20">
        <f>F311+F312</f>
        <v>711509</v>
      </c>
      <c r="G310" s="20">
        <f>G311+G312</f>
        <v>533015</v>
      </c>
      <c r="H310" s="20">
        <f>H311+H312</f>
        <v>31931</v>
      </c>
      <c r="I310" s="20">
        <f>I311+I312</f>
        <v>0</v>
      </c>
      <c r="J310" s="58">
        <f t="shared" si="34"/>
        <v>0</v>
      </c>
      <c r="K310" s="20">
        <v>0</v>
      </c>
      <c r="L310" s="20">
        <v>0</v>
      </c>
      <c r="M310" s="20">
        <v>0</v>
      </c>
      <c r="N310" s="20">
        <v>0</v>
      </c>
      <c r="O310" s="20">
        <v>0</v>
      </c>
      <c r="P310" s="20">
        <f t="shared" si="35"/>
        <v>711509</v>
      </c>
      <c r="Q310" s="124"/>
    </row>
    <row r="311" spans="1:17" s="11" customFormat="1" ht="27">
      <c r="A311" s="3" t="s">
        <v>272</v>
      </c>
      <c r="B311" s="30" t="s">
        <v>35</v>
      </c>
      <c r="C311" s="30" t="s">
        <v>20</v>
      </c>
      <c r="D311" s="73" t="s">
        <v>539</v>
      </c>
      <c r="E311" s="58">
        <f t="shared" si="36"/>
        <v>696509</v>
      </c>
      <c r="F311" s="21">
        <v>696509</v>
      </c>
      <c r="G311" s="21">
        <v>533015</v>
      </c>
      <c r="H311" s="21">
        <v>31931</v>
      </c>
      <c r="I311" s="21">
        <v>0</v>
      </c>
      <c r="J311" s="58">
        <f t="shared" si="34"/>
        <v>0</v>
      </c>
      <c r="K311" s="21">
        <v>0</v>
      </c>
      <c r="L311" s="21">
        <v>0</v>
      </c>
      <c r="M311" s="21">
        <v>0</v>
      </c>
      <c r="N311" s="21">
        <v>0</v>
      </c>
      <c r="O311" s="21">
        <v>0</v>
      </c>
      <c r="P311" s="20">
        <f t="shared" si="35"/>
        <v>696509</v>
      </c>
      <c r="Q311" s="110"/>
    </row>
    <row r="312" spans="1:16" s="11" customFormat="1" ht="27">
      <c r="A312" s="16" t="s">
        <v>273</v>
      </c>
      <c r="B312" s="17"/>
      <c r="C312" s="18"/>
      <c r="D312" s="74" t="s">
        <v>274</v>
      </c>
      <c r="E312" s="57">
        <f t="shared" si="36"/>
        <v>15000</v>
      </c>
      <c r="F312" s="19">
        <f>F313</f>
        <v>15000</v>
      </c>
      <c r="G312" s="19">
        <f>G313</f>
        <v>0</v>
      </c>
      <c r="H312" s="19">
        <f>H313</f>
        <v>0</v>
      </c>
      <c r="I312" s="19">
        <f>I313</f>
        <v>0</v>
      </c>
      <c r="J312" s="57">
        <f t="shared" si="34"/>
        <v>0</v>
      </c>
      <c r="K312" s="19">
        <f>K313</f>
        <v>0</v>
      </c>
      <c r="L312" s="19">
        <f>L313</f>
        <v>0</v>
      </c>
      <c r="M312" s="19">
        <f>M313</f>
        <v>0</v>
      </c>
      <c r="N312" s="19">
        <f>N313</f>
        <v>0</v>
      </c>
      <c r="O312" s="19">
        <f>O313</f>
        <v>0</v>
      </c>
      <c r="P312" s="19">
        <f t="shared" si="35"/>
        <v>15000</v>
      </c>
    </row>
    <row r="313" spans="1:16" s="11" customFormat="1" ht="27">
      <c r="A313" s="22" t="s">
        <v>278</v>
      </c>
      <c r="B313" s="23" t="s">
        <v>279</v>
      </c>
      <c r="C313" s="24" t="s">
        <v>57</v>
      </c>
      <c r="D313" s="75" t="s">
        <v>280</v>
      </c>
      <c r="E313" s="59">
        <f t="shared" si="36"/>
        <v>15000</v>
      </c>
      <c r="F313" s="26">
        <v>15000</v>
      </c>
      <c r="G313" s="26">
        <v>0</v>
      </c>
      <c r="H313" s="26">
        <v>0</v>
      </c>
      <c r="I313" s="26">
        <v>0</v>
      </c>
      <c r="J313" s="59">
        <f t="shared" si="34"/>
        <v>0</v>
      </c>
      <c r="K313" s="26">
        <v>0</v>
      </c>
      <c r="L313" s="26">
        <v>0</v>
      </c>
      <c r="M313" s="26">
        <v>0</v>
      </c>
      <c r="N313" s="26">
        <v>0</v>
      </c>
      <c r="O313" s="26">
        <v>0</v>
      </c>
      <c r="P313" s="25">
        <f t="shared" si="35"/>
        <v>15000</v>
      </c>
    </row>
    <row r="314" spans="1:17" s="100" customFormat="1" ht="24" customHeight="1">
      <c r="A314" s="66" t="s">
        <v>282</v>
      </c>
      <c r="B314" s="67"/>
      <c r="C314" s="68"/>
      <c r="D314" s="72" t="s">
        <v>283</v>
      </c>
      <c r="E314" s="69">
        <f t="shared" si="36"/>
        <v>1040631</v>
      </c>
      <c r="F314" s="70">
        <f>F315</f>
        <v>1040631</v>
      </c>
      <c r="G314" s="70">
        <f aca="true" t="shared" si="37" ref="G314:I315">G315</f>
        <v>656958</v>
      </c>
      <c r="H314" s="70">
        <f t="shared" si="37"/>
        <v>207301</v>
      </c>
      <c r="I314" s="70">
        <f t="shared" si="37"/>
        <v>0</v>
      </c>
      <c r="J314" s="69">
        <f t="shared" si="34"/>
        <v>10000</v>
      </c>
      <c r="K314" s="70">
        <f aca="true" t="shared" si="38" ref="K314:O315">K315</f>
        <v>10000</v>
      </c>
      <c r="L314" s="70">
        <f t="shared" si="38"/>
        <v>0</v>
      </c>
      <c r="M314" s="70">
        <f t="shared" si="38"/>
        <v>0</v>
      </c>
      <c r="N314" s="70">
        <f t="shared" si="38"/>
        <v>0</v>
      </c>
      <c r="O314" s="70">
        <f t="shared" si="38"/>
        <v>0</v>
      </c>
      <c r="P314" s="70">
        <f t="shared" si="35"/>
        <v>1050631</v>
      </c>
      <c r="Q314" s="120"/>
    </row>
    <row r="315" spans="1:16" s="101" customFormat="1" ht="13.5">
      <c r="A315" s="27" t="s">
        <v>284</v>
      </c>
      <c r="B315" s="28"/>
      <c r="C315" s="29"/>
      <c r="D315" s="98" t="s">
        <v>476</v>
      </c>
      <c r="E315" s="58">
        <f t="shared" si="36"/>
        <v>1040631</v>
      </c>
      <c r="F315" s="20">
        <f>F316</f>
        <v>1040631</v>
      </c>
      <c r="G315" s="20">
        <f t="shared" si="37"/>
        <v>656958</v>
      </c>
      <c r="H315" s="20">
        <f t="shared" si="37"/>
        <v>207301</v>
      </c>
      <c r="I315" s="20">
        <f t="shared" si="37"/>
        <v>0</v>
      </c>
      <c r="J315" s="58">
        <f t="shared" si="34"/>
        <v>10000</v>
      </c>
      <c r="K315" s="20">
        <f t="shared" si="38"/>
        <v>10000</v>
      </c>
      <c r="L315" s="20">
        <f t="shared" si="38"/>
        <v>0</v>
      </c>
      <c r="M315" s="20">
        <f t="shared" si="38"/>
        <v>0</v>
      </c>
      <c r="N315" s="20">
        <f t="shared" si="38"/>
        <v>0</v>
      </c>
      <c r="O315" s="20">
        <f t="shared" si="38"/>
        <v>0</v>
      </c>
      <c r="P315" s="20">
        <f t="shared" si="35"/>
        <v>1050631</v>
      </c>
    </row>
    <row r="316" spans="1:17" s="11" customFormat="1" ht="27">
      <c r="A316" s="3" t="s">
        <v>285</v>
      </c>
      <c r="B316" s="30" t="s">
        <v>35</v>
      </c>
      <c r="C316" s="30" t="s">
        <v>20</v>
      </c>
      <c r="D316" s="73" t="s">
        <v>539</v>
      </c>
      <c r="E316" s="58">
        <f t="shared" si="36"/>
        <v>1040631</v>
      </c>
      <c r="F316" s="21">
        <v>1040631</v>
      </c>
      <c r="G316" s="21">
        <v>656958</v>
      </c>
      <c r="H316" s="21">
        <v>207301</v>
      </c>
      <c r="I316" s="21">
        <v>0</v>
      </c>
      <c r="J316" s="58">
        <f t="shared" si="34"/>
        <v>10000</v>
      </c>
      <c r="K316" s="21">
        <v>10000</v>
      </c>
      <c r="L316" s="21">
        <v>0</v>
      </c>
      <c r="M316" s="21">
        <v>0</v>
      </c>
      <c r="N316" s="21">
        <v>0</v>
      </c>
      <c r="O316" s="21">
        <v>0</v>
      </c>
      <c r="P316" s="20">
        <f t="shared" si="35"/>
        <v>1050631</v>
      </c>
      <c r="Q316" s="110"/>
    </row>
    <row r="317" spans="1:17" s="100" customFormat="1" ht="28.5" customHeight="1">
      <c r="A317" s="66" t="s">
        <v>286</v>
      </c>
      <c r="B317" s="67"/>
      <c r="C317" s="68"/>
      <c r="D317" s="72" t="s">
        <v>287</v>
      </c>
      <c r="E317" s="69">
        <f t="shared" si="36"/>
        <v>534614</v>
      </c>
      <c r="F317" s="70">
        <f>F318</f>
        <v>534614</v>
      </c>
      <c r="G317" s="70">
        <f>G318</f>
        <v>223244</v>
      </c>
      <c r="H317" s="70">
        <f>H318</f>
        <v>24800</v>
      </c>
      <c r="I317" s="70">
        <f>I318</f>
        <v>0</v>
      </c>
      <c r="J317" s="69">
        <f t="shared" si="34"/>
        <v>0</v>
      </c>
      <c r="K317" s="70">
        <f>K318</f>
        <v>0</v>
      </c>
      <c r="L317" s="70">
        <f>L318</f>
        <v>0</v>
      </c>
      <c r="M317" s="70">
        <f>M318</f>
        <v>0</v>
      </c>
      <c r="N317" s="70">
        <f>N318</f>
        <v>0</v>
      </c>
      <c r="O317" s="70">
        <f>O318</f>
        <v>0</v>
      </c>
      <c r="P317" s="70">
        <f t="shared" si="35"/>
        <v>534614</v>
      </c>
      <c r="Q317" s="120"/>
    </row>
    <row r="318" spans="1:16" s="101" customFormat="1" ht="13.5">
      <c r="A318" s="27" t="s">
        <v>288</v>
      </c>
      <c r="B318" s="28"/>
      <c r="C318" s="29"/>
      <c r="D318" s="78" t="s">
        <v>289</v>
      </c>
      <c r="E318" s="58">
        <f t="shared" si="36"/>
        <v>534614</v>
      </c>
      <c r="F318" s="20">
        <f>F319+F320</f>
        <v>534614</v>
      </c>
      <c r="G318" s="20">
        <f>G319+G320</f>
        <v>223244</v>
      </c>
      <c r="H318" s="20">
        <f>H319+H320</f>
        <v>24800</v>
      </c>
      <c r="I318" s="20">
        <f>I319+I320</f>
        <v>0</v>
      </c>
      <c r="J318" s="58">
        <f t="shared" si="34"/>
        <v>0</v>
      </c>
      <c r="K318" s="20">
        <f>K319+K320</f>
        <v>0</v>
      </c>
      <c r="L318" s="20">
        <f>L319+L320</f>
        <v>0</v>
      </c>
      <c r="M318" s="20">
        <f>M319+M320</f>
        <v>0</v>
      </c>
      <c r="N318" s="20">
        <f>N319+N320</f>
        <v>0</v>
      </c>
      <c r="O318" s="20">
        <f>O319+O320</f>
        <v>0</v>
      </c>
      <c r="P318" s="20">
        <f t="shared" si="35"/>
        <v>534614</v>
      </c>
    </row>
    <row r="319" spans="1:17" s="11" customFormat="1" ht="27">
      <c r="A319" s="3" t="s">
        <v>290</v>
      </c>
      <c r="B319" s="30" t="s">
        <v>35</v>
      </c>
      <c r="C319" s="30" t="s">
        <v>20</v>
      </c>
      <c r="D319" s="73" t="s">
        <v>539</v>
      </c>
      <c r="E319" s="58">
        <f t="shared" si="36"/>
        <v>387698</v>
      </c>
      <c r="F319" s="21">
        <v>387698</v>
      </c>
      <c r="G319" s="21">
        <v>223244</v>
      </c>
      <c r="H319" s="21">
        <v>24800</v>
      </c>
      <c r="I319" s="21">
        <v>0</v>
      </c>
      <c r="J319" s="58">
        <f t="shared" si="34"/>
        <v>0</v>
      </c>
      <c r="K319" s="21">
        <v>0</v>
      </c>
      <c r="L319" s="21">
        <v>0</v>
      </c>
      <c r="M319" s="21">
        <v>0</v>
      </c>
      <c r="N319" s="21">
        <v>0</v>
      </c>
      <c r="O319" s="21">
        <v>0</v>
      </c>
      <c r="P319" s="20">
        <f t="shared" si="35"/>
        <v>387698</v>
      </c>
      <c r="Q319" s="110"/>
    </row>
    <row r="320" spans="1:17" s="11" customFormat="1" ht="13.5">
      <c r="A320" s="17" t="s">
        <v>513</v>
      </c>
      <c r="B320" s="17" t="s">
        <v>32</v>
      </c>
      <c r="C320" s="17" t="s">
        <v>31</v>
      </c>
      <c r="D320" s="76" t="s">
        <v>511</v>
      </c>
      <c r="E320" s="57">
        <f>F320+I320</f>
        <v>146916</v>
      </c>
      <c r="F320" s="19">
        <f>SUM(F322+F321)</f>
        <v>146916</v>
      </c>
      <c r="G320" s="19">
        <f>SUM(G322+G321)</f>
        <v>0</v>
      </c>
      <c r="H320" s="19">
        <f>SUM(H322+H321)</f>
        <v>0</v>
      </c>
      <c r="I320" s="19">
        <f>SUM(I322+I321)</f>
        <v>0</v>
      </c>
      <c r="J320" s="57">
        <f>K320+N320</f>
        <v>0</v>
      </c>
      <c r="K320" s="19">
        <f>SUM(K322+K321)</f>
        <v>0</v>
      </c>
      <c r="L320" s="19">
        <f>SUM(L322+L321)</f>
        <v>0</v>
      </c>
      <c r="M320" s="19">
        <f>SUM(M322+M321)</f>
        <v>0</v>
      </c>
      <c r="N320" s="19">
        <f>SUM(N322+N321)</f>
        <v>0</v>
      </c>
      <c r="O320" s="19">
        <f>SUM(O322+O321)</f>
        <v>0</v>
      </c>
      <c r="P320" s="19">
        <f>E320+J320</f>
        <v>146916</v>
      </c>
      <c r="Q320" s="110"/>
    </row>
    <row r="321" spans="1:16" s="47" customFormat="1" ht="32.25" customHeight="1">
      <c r="A321" s="42"/>
      <c r="B321" s="43"/>
      <c r="C321" s="44"/>
      <c r="D321" s="115" t="s">
        <v>495</v>
      </c>
      <c r="E321" s="61">
        <f aca="true" t="shared" si="39" ref="E321:E329">F321+I321</f>
        <v>46916</v>
      </c>
      <c r="F321" s="46">
        <f>46916+50000-50000</f>
        <v>46916</v>
      </c>
      <c r="G321" s="46">
        <v>0</v>
      </c>
      <c r="H321" s="46">
        <v>0</v>
      </c>
      <c r="I321" s="46">
        <v>0</v>
      </c>
      <c r="J321" s="61">
        <f aca="true" t="shared" si="40" ref="J321:J329">K321+N321</f>
        <v>0</v>
      </c>
      <c r="K321" s="46">
        <v>0</v>
      </c>
      <c r="L321" s="46">
        <v>0</v>
      </c>
      <c r="M321" s="46">
        <v>0</v>
      </c>
      <c r="N321" s="46">
        <v>0</v>
      </c>
      <c r="O321" s="46">
        <v>0</v>
      </c>
      <c r="P321" s="45">
        <f>E321+J321</f>
        <v>46916</v>
      </c>
    </row>
    <row r="322" spans="1:16" s="47" customFormat="1" ht="77.25" customHeight="1">
      <c r="A322" s="42"/>
      <c r="B322" s="128"/>
      <c r="C322" s="128"/>
      <c r="D322" s="115" t="s">
        <v>545</v>
      </c>
      <c r="E322" s="61">
        <f t="shared" si="39"/>
        <v>100000</v>
      </c>
      <c r="F322" s="46">
        <f>50000+50000</f>
        <v>100000</v>
      </c>
      <c r="G322" s="46"/>
      <c r="H322" s="46"/>
      <c r="I322" s="46">
        <v>0</v>
      </c>
      <c r="J322" s="61">
        <f t="shared" si="40"/>
        <v>0</v>
      </c>
      <c r="K322" s="46"/>
      <c r="L322" s="46"/>
      <c r="M322" s="46"/>
      <c r="N322" s="46"/>
      <c r="O322" s="46"/>
      <c r="P322" s="45">
        <f>E322+J322</f>
        <v>100000</v>
      </c>
    </row>
    <row r="323" spans="1:17" s="100" customFormat="1" ht="38.25" customHeight="1">
      <c r="A323" s="66" t="s">
        <v>291</v>
      </c>
      <c r="B323" s="67"/>
      <c r="C323" s="68"/>
      <c r="D323" s="72" t="s">
        <v>292</v>
      </c>
      <c r="E323" s="69">
        <f t="shared" si="39"/>
        <v>5126666</v>
      </c>
      <c r="F323" s="70">
        <f>F324</f>
        <v>5126666</v>
      </c>
      <c r="G323" s="70">
        <f>G324</f>
        <v>3045540</v>
      </c>
      <c r="H323" s="70">
        <f>H324</f>
        <v>252060</v>
      </c>
      <c r="I323" s="70">
        <f>I324</f>
        <v>0</v>
      </c>
      <c r="J323" s="69">
        <f t="shared" si="40"/>
        <v>823520</v>
      </c>
      <c r="K323" s="70">
        <f>K324</f>
        <v>23000</v>
      </c>
      <c r="L323" s="70">
        <f>L324</f>
        <v>0</v>
      </c>
      <c r="M323" s="70">
        <f>M324</f>
        <v>0</v>
      </c>
      <c r="N323" s="70">
        <f>N324</f>
        <v>800520</v>
      </c>
      <c r="O323" s="70">
        <f>O324</f>
        <v>800520</v>
      </c>
      <c r="P323" s="70">
        <f>E323+J323</f>
        <v>5950186</v>
      </c>
      <c r="Q323" s="120"/>
    </row>
    <row r="324" spans="1:17" s="101" customFormat="1" ht="30.75" customHeight="1">
      <c r="A324" s="27" t="s">
        <v>293</v>
      </c>
      <c r="B324" s="28"/>
      <c r="C324" s="29"/>
      <c r="D324" s="78" t="s">
        <v>294</v>
      </c>
      <c r="E324" s="58">
        <f t="shared" si="39"/>
        <v>5126666</v>
      </c>
      <c r="F324" s="20">
        <f>F325+F326+F327+F328</f>
        <v>5126666</v>
      </c>
      <c r="G324" s="20">
        <f>G325+G326+G327+G328</f>
        <v>3045540</v>
      </c>
      <c r="H324" s="20">
        <f>H325+H326+H327+H328</f>
        <v>252060</v>
      </c>
      <c r="I324" s="20">
        <f>I325+I326+I327+I328</f>
        <v>0</v>
      </c>
      <c r="J324" s="58">
        <f t="shared" si="40"/>
        <v>823520</v>
      </c>
      <c r="K324" s="20">
        <f>K325+K326+K327+K328</f>
        <v>23000</v>
      </c>
      <c r="L324" s="20">
        <f>L325+L326+L327+L328</f>
        <v>0</v>
      </c>
      <c r="M324" s="20">
        <f>M325+M326+M327+M328</f>
        <v>0</v>
      </c>
      <c r="N324" s="20">
        <f>N325+N326+N327+N328</f>
        <v>800520</v>
      </c>
      <c r="O324" s="20">
        <f>O325+O326+O327+O328</f>
        <v>800520</v>
      </c>
      <c r="P324" s="20">
        <f>P325+P326</f>
        <v>5553666</v>
      </c>
      <c r="Q324" s="124"/>
    </row>
    <row r="325" spans="1:17" s="11" customFormat="1" ht="36" customHeight="1">
      <c r="A325" s="3" t="s">
        <v>295</v>
      </c>
      <c r="B325" s="30" t="s">
        <v>35</v>
      </c>
      <c r="C325" s="30" t="s">
        <v>20</v>
      </c>
      <c r="D325" s="73" t="s">
        <v>539</v>
      </c>
      <c r="E325" s="58">
        <f t="shared" si="39"/>
        <v>5116666</v>
      </c>
      <c r="F325" s="21">
        <f>4885066+100000+131600</f>
        <v>5116666</v>
      </c>
      <c r="G325" s="21">
        <v>3045540</v>
      </c>
      <c r="H325" s="21">
        <v>252060</v>
      </c>
      <c r="I325" s="21">
        <v>0</v>
      </c>
      <c r="J325" s="58">
        <f t="shared" si="40"/>
        <v>427000</v>
      </c>
      <c r="K325" s="21">
        <v>23000</v>
      </c>
      <c r="L325" s="21">
        <v>0</v>
      </c>
      <c r="M325" s="21">
        <v>0</v>
      </c>
      <c r="N325" s="21">
        <f>50000+354000</f>
        <v>404000</v>
      </c>
      <c r="O325" s="21">
        <f>50000+354000</f>
        <v>404000</v>
      </c>
      <c r="P325" s="20">
        <f aca="true" t="shared" si="41" ref="P325:P334">E325+J325</f>
        <v>5543666</v>
      </c>
      <c r="Q325" s="110"/>
    </row>
    <row r="326" spans="1:17" s="11" customFormat="1" ht="35.25" customHeight="1">
      <c r="A326" s="3" t="s">
        <v>296</v>
      </c>
      <c r="B326" s="5" t="s">
        <v>298</v>
      </c>
      <c r="C326" s="4" t="s">
        <v>297</v>
      </c>
      <c r="D326" s="73" t="s">
        <v>299</v>
      </c>
      <c r="E326" s="58">
        <f t="shared" si="39"/>
        <v>10000</v>
      </c>
      <c r="F326" s="21">
        <f>10000-10000+10000</f>
        <v>10000</v>
      </c>
      <c r="G326" s="21">
        <v>0</v>
      </c>
      <c r="H326" s="21">
        <v>0</v>
      </c>
      <c r="I326" s="21">
        <v>0</v>
      </c>
      <c r="J326" s="58">
        <f t="shared" si="40"/>
        <v>0</v>
      </c>
      <c r="K326" s="21">
        <v>0</v>
      </c>
      <c r="L326" s="21">
        <v>0</v>
      </c>
      <c r="M326" s="21">
        <v>0</v>
      </c>
      <c r="N326" s="21">
        <v>0</v>
      </c>
      <c r="O326" s="21">
        <v>0</v>
      </c>
      <c r="P326" s="20">
        <f t="shared" si="41"/>
        <v>10000</v>
      </c>
      <c r="Q326" s="110"/>
    </row>
    <row r="327" spans="1:18" s="116" customFormat="1" ht="39" customHeight="1">
      <c r="A327" s="3" t="s">
        <v>553</v>
      </c>
      <c r="B327" s="5" t="s">
        <v>222</v>
      </c>
      <c r="C327" s="4" t="s">
        <v>147</v>
      </c>
      <c r="D327" s="73" t="s">
        <v>223</v>
      </c>
      <c r="E327" s="58">
        <f t="shared" si="39"/>
        <v>0</v>
      </c>
      <c r="F327" s="21">
        <v>0</v>
      </c>
      <c r="G327" s="21">
        <v>0</v>
      </c>
      <c r="H327" s="21">
        <v>0</v>
      </c>
      <c r="I327" s="21">
        <v>0</v>
      </c>
      <c r="J327" s="58">
        <f t="shared" si="40"/>
        <v>0</v>
      </c>
      <c r="K327" s="21">
        <v>0</v>
      </c>
      <c r="L327" s="21">
        <v>0</v>
      </c>
      <c r="M327" s="21">
        <v>0</v>
      </c>
      <c r="N327" s="21">
        <f>0+338405+100000-438405</f>
        <v>0</v>
      </c>
      <c r="O327" s="21">
        <f>0+338405+100000-438405</f>
        <v>0</v>
      </c>
      <c r="P327" s="20">
        <f t="shared" si="41"/>
        <v>0</v>
      </c>
      <c r="Q327" s="110"/>
      <c r="R327" s="11"/>
    </row>
    <row r="328" spans="1:18" s="116" customFormat="1" ht="27">
      <c r="A328" s="3" t="s">
        <v>551</v>
      </c>
      <c r="B328" s="5" t="s">
        <v>148</v>
      </c>
      <c r="C328" s="4" t="s">
        <v>147</v>
      </c>
      <c r="D328" s="73" t="s">
        <v>149</v>
      </c>
      <c r="E328" s="58">
        <f t="shared" si="39"/>
        <v>0</v>
      </c>
      <c r="F328" s="21">
        <v>0</v>
      </c>
      <c r="G328" s="21">
        <v>0</v>
      </c>
      <c r="H328" s="21">
        <v>0</v>
      </c>
      <c r="I328" s="21">
        <v>0</v>
      </c>
      <c r="J328" s="58">
        <f t="shared" si="40"/>
        <v>396520</v>
      </c>
      <c r="K328" s="21">
        <v>0</v>
      </c>
      <c r="L328" s="21">
        <v>0</v>
      </c>
      <c r="M328" s="21">
        <v>0</v>
      </c>
      <c r="N328" s="21">
        <v>396520</v>
      </c>
      <c r="O328" s="21">
        <v>396520</v>
      </c>
      <c r="P328" s="20">
        <f t="shared" si="41"/>
        <v>396520</v>
      </c>
      <c r="Q328" s="110"/>
      <c r="R328" s="11"/>
    </row>
    <row r="329" spans="1:17" s="100" customFormat="1" ht="30.75">
      <c r="A329" s="66" t="s">
        <v>300</v>
      </c>
      <c r="B329" s="67"/>
      <c r="C329" s="68"/>
      <c r="D329" s="72" t="s">
        <v>301</v>
      </c>
      <c r="E329" s="69">
        <f t="shared" si="39"/>
        <v>5608002</v>
      </c>
      <c r="F329" s="70">
        <f aca="true" t="shared" si="42" ref="F329:O329">F330</f>
        <v>5508002</v>
      </c>
      <c r="G329" s="70">
        <f t="shared" si="42"/>
        <v>3023840</v>
      </c>
      <c r="H329" s="70">
        <f t="shared" si="42"/>
        <v>225392</v>
      </c>
      <c r="I329" s="70">
        <f t="shared" si="42"/>
        <v>100000</v>
      </c>
      <c r="J329" s="69">
        <f t="shared" si="40"/>
        <v>240000</v>
      </c>
      <c r="K329" s="70">
        <f>K330</f>
        <v>0</v>
      </c>
      <c r="L329" s="70">
        <f t="shared" si="42"/>
        <v>0</v>
      </c>
      <c r="M329" s="70">
        <f t="shared" si="42"/>
        <v>0</v>
      </c>
      <c r="N329" s="70">
        <f t="shared" si="42"/>
        <v>240000</v>
      </c>
      <c r="O329" s="70">
        <f t="shared" si="42"/>
        <v>240000</v>
      </c>
      <c r="P329" s="70">
        <f t="shared" si="41"/>
        <v>5848002</v>
      </c>
      <c r="Q329" s="120"/>
    </row>
    <row r="330" spans="1:16" s="101" customFormat="1" ht="52.5" customHeight="1">
      <c r="A330" s="27" t="s">
        <v>302</v>
      </c>
      <c r="B330" s="28"/>
      <c r="C330" s="29"/>
      <c r="D330" s="78" t="s">
        <v>303</v>
      </c>
      <c r="E330" s="58">
        <f>F330+I330</f>
        <v>5608002</v>
      </c>
      <c r="F330" s="20">
        <f>F331+F332+F334</f>
        <v>5508002</v>
      </c>
      <c r="G330" s="20">
        <f>G331+G332+G333+G334</f>
        <v>3023840</v>
      </c>
      <c r="H330" s="20">
        <f>H331+H332+H333+H334</f>
        <v>225392</v>
      </c>
      <c r="I330" s="20">
        <f>I331+I332+I333+I334</f>
        <v>100000</v>
      </c>
      <c r="J330" s="58">
        <f>K330+N330</f>
        <v>240000</v>
      </c>
      <c r="K330" s="20">
        <f>K331+K332+K333+K334</f>
        <v>0</v>
      </c>
      <c r="L330" s="20">
        <f>L331+L332+L333+L334</f>
        <v>0</v>
      </c>
      <c r="M330" s="20">
        <f>M331+M332+M333+M334</f>
        <v>0</v>
      </c>
      <c r="N330" s="20">
        <f>N331+N332+N333+N334</f>
        <v>240000</v>
      </c>
      <c r="O330" s="20">
        <f>O331+O332+O333+O334</f>
        <v>240000</v>
      </c>
      <c r="P330" s="20">
        <f>E330+J330</f>
        <v>5848002</v>
      </c>
    </row>
    <row r="331" spans="1:17" s="11" customFormat="1" ht="27">
      <c r="A331" s="3" t="s">
        <v>304</v>
      </c>
      <c r="B331" s="30" t="s">
        <v>35</v>
      </c>
      <c r="C331" s="30" t="s">
        <v>20</v>
      </c>
      <c r="D331" s="73" t="s">
        <v>539</v>
      </c>
      <c r="E331" s="58">
        <f>F331+I331</f>
        <v>4308002</v>
      </c>
      <c r="F331" s="21">
        <v>4308002</v>
      </c>
      <c r="G331" s="21">
        <v>3023840</v>
      </c>
      <c r="H331" s="21">
        <v>225392</v>
      </c>
      <c r="I331" s="21">
        <v>0</v>
      </c>
      <c r="J331" s="58">
        <f>K331+N331</f>
        <v>0</v>
      </c>
      <c r="K331" s="21">
        <v>0</v>
      </c>
      <c r="L331" s="21">
        <v>0</v>
      </c>
      <c r="M331" s="21">
        <v>0</v>
      </c>
      <c r="N331" s="21">
        <v>0</v>
      </c>
      <c r="O331" s="21">
        <v>0</v>
      </c>
      <c r="P331" s="20">
        <f t="shared" si="41"/>
        <v>4308002</v>
      </c>
      <c r="Q331" s="110"/>
    </row>
    <row r="332" spans="1:16" s="11" customFormat="1" ht="13.5">
      <c r="A332" s="3" t="s">
        <v>305</v>
      </c>
      <c r="B332" s="5" t="s">
        <v>307</v>
      </c>
      <c r="C332" s="4" t="s">
        <v>306</v>
      </c>
      <c r="D332" s="73" t="s">
        <v>308</v>
      </c>
      <c r="E332" s="58">
        <f>F332+I332</f>
        <v>100000</v>
      </c>
      <c r="F332" s="21">
        <v>0</v>
      </c>
      <c r="G332" s="21">
        <v>0</v>
      </c>
      <c r="H332" s="21">
        <v>0</v>
      </c>
      <c r="I332" s="21">
        <f>1550000-150000-500000-800000</f>
        <v>100000</v>
      </c>
      <c r="J332" s="58">
        <f>K332+N332</f>
        <v>90000</v>
      </c>
      <c r="K332" s="21">
        <v>0</v>
      </c>
      <c r="L332" s="21">
        <v>0</v>
      </c>
      <c r="M332" s="21">
        <v>0</v>
      </c>
      <c r="N332" s="21">
        <v>90000</v>
      </c>
      <c r="O332" s="21">
        <v>90000</v>
      </c>
      <c r="P332" s="20">
        <f t="shared" si="41"/>
        <v>190000</v>
      </c>
    </row>
    <row r="333" spans="1:16" s="11" customFormat="1" ht="75" customHeight="1">
      <c r="A333" s="3">
        <v>4518070</v>
      </c>
      <c r="B333" s="30" t="s">
        <v>540</v>
      </c>
      <c r="C333" s="4" t="s">
        <v>147</v>
      </c>
      <c r="D333" s="73" t="s">
        <v>541</v>
      </c>
      <c r="E333" s="58">
        <f>F333+I333</f>
        <v>0</v>
      </c>
      <c r="F333" s="21">
        <v>0</v>
      </c>
      <c r="G333" s="21">
        <v>0</v>
      </c>
      <c r="H333" s="21">
        <v>0</v>
      </c>
      <c r="I333" s="21">
        <v>0</v>
      </c>
      <c r="J333" s="58">
        <f>K333+N333</f>
        <v>150000</v>
      </c>
      <c r="K333" s="21">
        <v>0</v>
      </c>
      <c r="L333" s="21">
        <v>0</v>
      </c>
      <c r="M333" s="21">
        <v>0</v>
      </c>
      <c r="N333" s="21">
        <f>150000</f>
        <v>150000</v>
      </c>
      <c r="O333" s="21">
        <f>150000</f>
        <v>150000</v>
      </c>
      <c r="P333" s="20">
        <f t="shared" si="41"/>
        <v>150000</v>
      </c>
    </row>
    <row r="334" spans="1:16" s="11" customFormat="1" ht="13.5">
      <c r="A334" s="16" t="s">
        <v>479</v>
      </c>
      <c r="B334" s="64" t="s">
        <v>32</v>
      </c>
      <c r="C334" s="65" t="s">
        <v>31</v>
      </c>
      <c r="D334" s="74" t="s">
        <v>33</v>
      </c>
      <c r="E334" s="57">
        <f>F334+I334</f>
        <v>1200000</v>
      </c>
      <c r="F334" s="19">
        <f>F336+F337</f>
        <v>1200000</v>
      </c>
      <c r="G334" s="19">
        <f>G336+G337</f>
        <v>0</v>
      </c>
      <c r="H334" s="19">
        <f>H336+H337</f>
        <v>0</v>
      </c>
      <c r="I334" s="19">
        <f>I336+I337</f>
        <v>0</v>
      </c>
      <c r="J334" s="57">
        <f>K334+N334</f>
        <v>0</v>
      </c>
      <c r="K334" s="19">
        <f>K336+K337</f>
        <v>0</v>
      </c>
      <c r="L334" s="19">
        <f>L336+L337</f>
        <v>0</v>
      </c>
      <c r="M334" s="19">
        <f>M336+M337</f>
        <v>0</v>
      </c>
      <c r="N334" s="19">
        <f>N336+N337</f>
        <v>0</v>
      </c>
      <c r="O334" s="19">
        <f>O336+O337</f>
        <v>0</v>
      </c>
      <c r="P334" s="19">
        <f t="shared" si="41"/>
        <v>1200000</v>
      </c>
    </row>
    <row r="335" spans="1:16" s="47" customFormat="1" ht="13.5">
      <c r="A335" s="42"/>
      <c r="B335" s="43"/>
      <c r="C335" s="44"/>
      <c r="D335" s="96" t="s">
        <v>488</v>
      </c>
      <c r="E335" s="61"/>
      <c r="F335" s="46"/>
      <c r="G335" s="46"/>
      <c r="H335" s="46"/>
      <c r="I335" s="46"/>
      <c r="J335" s="61"/>
      <c r="K335" s="46"/>
      <c r="L335" s="46"/>
      <c r="M335" s="46"/>
      <c r="N335" s="46"/>
      <c r="O335" s="46"/>
      <c r="P335" s="45"/>
    </row>
    <row r="336" spans="1:16" s="47" customFormat="1" ht="75" customHeight="1">
      <c r="A336" s="42"/>
      <c r="B336" s="43"/>
      <c r="C336" s="44"/>
      <c r="D336" s="115" t="s">
        <v>494</v>
      </c>
      <c r="E336" s="61">
        <f>F336+I336</f>
        <v>200000</v>
      </c>
      <c r="F336" s="46">
        <v>200000</v>
      </c>
      <c r="G336" s="46">
        <v>0</v>
      </c>
      <c r="H336" s="46">
        <v>0</v>
      </c>
      <c r="I336" s="46">
        <v>0</v>
      </c>
      <c r="J336" s="61">
        <f>K336+N336</f>
        <v>0</v>
      </c>
      <c r="K336" s="46">
        <v>0</v>
      </c>
      <c r="L336" s="46">
        <v>0</v>
      </c>
      <c r="M336" s="46">
        <v>0</v>
      </c>
      <c r="N336" s="46">
        <v>0</v>
      </c>
      <c r="O336" s="46">
        <v>0</v>
      </c>
      <c r="P336" s="45">
        <f>E336+J336</f>
        <v>200000</v>
      </c>
    </row>
    <row r="337" spans="1:16" s="47" customFormat="1" ht="61.5" customHeight="1">
      <c r="A337" s="42"/>
      <c r="B337" s="43"/>
      <c r="C337" s="44"/>
      <c r="D337" s="115" t="s">
        <v>523</v>
      </c>
      <c r="E337" s="61">
        <f>F337+I337</f>
        <v>1000000</v>
      </c>
      <c r="F337" s="46">
        <v>1000000</v>
      </c>
      <c r="G337" s="46">
        <v>0</v>
      </c>
      <c r="H337" s="46">
        <v>0</v>
      </c>
      <c r="I337" s="46">
        <v>0</v>
      </c>
      <c r="J337" s="61">
        <f>K337+N337</f>
        <v>0</v>
      </c>
      <c r="K337" s="46">
        <v>0</v>
      </c>
      <c r="L337" s="46">
        <v>0</v>
      </c>
      <c r="M337" s="46">
        <v>0</v>
      </c>
      <c r="N337" s="46">
        <v>0</v>
      </c>
      <c r="O337" s="46">
        <v>0</v>
      </c>
      <c r="P337" s="45">
        <f>E337+J337</f>
        <v>1000000</v>
      </c>
    </row>
    <row r="338" spans="1:17" s="100" customFormat="1" ht="18.75" customHeight="1">
      <c r="A338" s="66" t="s">
        <v>309</v>
      </c>
      <c r="B338" s="67"/>
      <c r="C338" s="68"/>
      <c r="D338" s="72" t="s">
        <v>310</v>
      </c>
      <c r="E338" s="69">
        <f>F338+I338</f>
        <v>164965492.54</v>
      </c>
      <c r="F338" s="70">
        <f aca="true" t="shared" si="43" ref="F338:O338">F339</f>
        <v>164965492.54</v>
      </c>
      <c r="G338" s="70">
        <f t="shared" si="43"/>
        <v>3109300</v>
      </c>
      <c r="H338" s="70">
        <f t="shared" si="43"/>
        <v>7509475</v>
      </c>
      <c r="I338" s="70">
        <f t="shared" si="43"/>
        <v>0</v>
      </c>
      <c r="J338" s="69">
        <f>K338+N338</f>
        <v>154860947.81</v>
      </c>
      <c r="K338" s="70">
        <f t="shared" si="43"/>
        <v>492700</v>
      </c>
      <c r="L338" s="70">
        <f t="shared" si="43"/>
        <v>0</v>
      </c>
      <c r="M338" s="70">
        <f t="shared" si="43"/>
        <v>50000</v>
      </c>
      <c r="N338" s="70">
        <f t="shared" si="43"/>
        <v>154368247.81</v>
      </c>
      <c r="O338" s="70">
        <f t="shared" si="43"/>
        <v>154083247.81</v>
      </c>
      <c r="P338" s="70">
        <f>E338+J338</f>
        <v>319826440.35</v>
      </c>
      <c r="Q338" s="125"/>
    </row>
    <row r="339" spans="1:16" s="101" customFormat="1" ht="45" customHeight="1">
      <c r="A339" s="27" t="s">
        <v>311</v>
      </c>
      <c r="B339" s="28"/>
      <c r="C339" s="29"/>
      <c r="D339" s="78" t="s">
        <v>312</v>
      </c>
      <c r="E339" s="58">
        <f>F339+I339</f>
        <v>164965492.54</v>
      </c>
      <c r="F339" s="20">
        <f>F340+F341+F342+F343+F345+F347+F349+F350+F351+F352+F353+F354+F355+F356+F358+F363+F366</f>
        <v>164965492.54</v>
      </c>
      <c r="G339" s="20">
        <f>G340+G341+G342+G343+G345+G347+G349+G350+G351+G352+G353+G354+G355+G356+G358+G363+G366</f>
        <v>3109300</v>
      </c>
      <c r="H339" s="20">
        <f>H340+H341+H342+H343+H345+H347+H349+H350+H351+H352+H353+H354+H355+H356+H358+H363+H366</f>
        <v>7509475</v>
      </c>
      <c r="I339" s="20">
        <f>I340+I341+I342+I343+I345+I347+I349+I350+I351+I352+I353+I354+I355+I356+I358+I363+I366</f>
        <v>0</v>
      </c>
      <c r="J339" s="58">
        <f>K339+N339</f>
        <v>154860947.81</v>
      </c>
      <c r="K339" s="20">
        <f>K340+K341+K342+K343+K345+K347+K349+K350+K351+K352+K353+K354+K355+K356+K358+K363+K366</f>
        <v>492700</v>
      </c>
      <c r="L339" s="20">
        <f>L340+L341+L342+L343+L345+L347+L349+L350+L351+L352+L353+L354+L355+L356+L358+L363+L366</f>
        <v>0</v>
      </c>
      <c r="M339" s="20">
        <f>M340+M341+M342+M343+M345+M347+M349+M350+M351+M352+M353+M354+M355+M356+M358+M363+M366</f>
        <v>50000</v>
      </c>
      <c r="N339" s="20">
        <f>N340+N341+N342+N343+N345+N347+N349+N350+N351+N352+N353+N354+N355+N356+N358+N363+N366</f>
        <v>154368247.81</v>
      </c>
      <c r="O339" s="20">
        <f>O340+O341+O342+O343+O345+O347+O349+O350+O351+O352+O353+O354+O355+O356+O358+O363+O366</f>
        <v>154083247.81</v>
      </c>
      <c r="P339" s="20">
        <f>E339+J339</f>
        <v>319826440.35</v>
      </c>
    </row>
    <row r="340" spans="1:17" s="11" customFormat="1" ht="27">
      <c r="A340" s="3" t="s">
        <v>313</v>
      </c>
      <c r="B340" s="30" t="s">
        <v>35</v>
      </c>
      <c r="C340" s="30" t="s">
        <v>20</v>
      </c>
      <c r="D340" s="73" t="s">
        <v>539</v>
      </c>
      <c r="E340" s="58">
        <f>F340+I340</f>
        <v>5165979</v>
      </c>
      <c r="F340" s="21">
        <f>4735359+430620</f>
        <v>5165979</v>
      </c>
      <c r="G340" s="21">
        <v>3109300</v>
      </c>
      <c r="H340" s="21">
        <v>309475</v>
      </c>
      <c r="I340" s="21">
        <v>0</v>
      </c>
      <c r="J340" s="58">
        <f>K340+N340</f>
        <v>130700</v>
      </c>
      <c r="K340" s="21">
        <v>92700</v>
      </c>
      <c r="L340" s="21">
        <v>0</v>
      </c>
      <c r="M340" s="21">
        <v>50000</v>
      </c>
      <c r="N340" s="21">
        <v>38000</v>
      </c>
      <c r="O340" s="21">
        <v>38000</v>
      </c>
      <c r="P340" s="20">
        <f>E340+J340</f>
        <v>5296679</v>
      </c>
      <c r="Q340" s="110"/>
    </row>
    <row r="341" spans="1:17" s="11" customFormat="1" ht="27">
      <c r="A341" s="3" t="s">
        <v>314</v>
      </c>
      <c r="B341" s="5" t="s">
        <v>37</v>
      </c>
      <c r="C341" s="4" t="s">
        <v>36</v>
      </c>
      <c r="D341" s="73" t="s">
        <v>38</v>
      </c>
      <c r="E341" s="58">
        <f aca="true" t="shared" si="44" ref="E341:E366">F341+I341</f>
        <v>400000</v>
      </c>
      <c r="F341" s="21">
        <v>400000</v>
      </c>
      <c r="G341" s="21">
        <v>0</v>
      </c>
      <c r="H341" s="21">
        <v>0</v>
      </c>
      <c r="I341" s="21">
        <v>0</v>
      </c>
      <c r="J341" s="58">
        <f aca="true" t="shared" si="45" ref="J341:J366">K341+N341</f>
        <v>0</v>
      </c>
      <c r="K341" s="21">
        <v>0</v>
      </c>
      <c r="L341" s="21">
        <v>0</v>
      </c>
      <c r="M341" s="21">
        <v>0</v>
      </c>
      <c r="N341" s="21">
        <v>0</v>
      </c>
      <c r="O341" s="21">
        <v>0</v>
      </c>
      <c r="P341" s="20">
        <f aca="true" t="shared" si="46" ref="P341:P365">E341+J341</f>
        <v>400000</v>
      </c>
      <c r="Q341" s="110"/>
    </row>
    <row r="342" spans="1:17" s="11" customFormat="1" ht="41.25">
      <c r="A342" s="3" t="s">
        <v>315</v>
      </c>
      <c r="B342" s="5" t="s">
        <v>317</v>
      </c>
      <c r="C342" s="4" t="s">
        <v>316</v>
      </c>
      <c r="D342" s="73" t="s">
        <v>318</v>
      </c>
      <c r="E342" s="58">
        <f t="shared" si="44"/>
        <v>27200707.46</v>
      </c>
      <c r="F342" s="21">
        <f>28200000-430620-450000+75200+6000+73521.57-59756+26500+7000+1950+7800-250000-196000+150000-22206.32+61318.21</f>
        <v>27200707.46</v>
      </c>
      <c r="G342" s="21">
        <v>0</v>
      </c>
      <c r="H342" s="21">
        <v>0</v>
      </c>
      <c r="I342" s="21">
        <v>0</v>
      </c>
      <c r="J342" s="58">
        <f t="shared" si="45"/>
        <v>1185620</v>
      </c>
      <c r="K342" s="21">
        <v>0</v>
      </c>
      <c r="L342" s="21">
        <v>0</v>
      </c>
      <c r="M342" s="21">
        <v>0</v>
      </c>
      <c r="N342" s="21">
        <f>1200000-50000-200000+50000+41500+28600+115520</f>
        <v>1185620</v>
      </c>
      <c r="O342" s="21">
        <f>1200000-50000-200000+50000+41500+28600+115520</f>
        <v>1185620</v>
      </c>
      <c r="P342" s="20">
        <f t="shared" si="46"/>
        <v>28386327.46</v>
      </c>
      <c r="Q342" s="110"/>
    </row>
    <row r="343" spans="1:17" s="11" customFormat="1" ht="27">
      <c r="A343" s="16" t="s">
        <v>319</v>
      </c>
      <c r="B343" s="17"/>
      <c r="C343" s="18"/>
      <c r="D343" s="74" t="s">
        <v>320</v>
      </c>
      <c r="E343" s="57">
        <f>F343+I343</f>
        <v>0</v>
      </c>
      <c r="F343" s="19">
        <f>F344</f>
        <v>0</v>
      </c>
      <c r="G343" s="19">
        <f>G344</f>
        <v>0</v>
      </c>
      <c r="H343" s="19">
        <f>H344</f>
        <v>0</v>
      </c>
      <c r="I343" s="19">
        <f>I344</f>
        <v>0</v>
      </c>
      <c r="J343" s="57">
        <f>K343+N343</f>
        <v>10547436</v>
      </c>
      <c r="K343" s="19">
        <f>K344</f>
        <v>0</v>
      </c>
      <c r="L343" s="19">
        <f>L344</f>
        <v>0</v>
      </c>
      <c r="M343" s="19">
        <f>M344</f>
        <v>0</v>
      </c>
      <c r="N343" s="19">
        <f>N344</f>
        <v>10547436</v>
      </c>
      <c r="O343" s="19">
        <f>O344</f>
        <v>10262436</v>
      </c>
      <c r="P343" s="19">
        <f t="shared" si="46"/>
        <v>10547436</v>
      </c>
      <c r="Q343" s="110"/>
    </row>
    <row r="344" spans="1:16" s="11" customFormat="1" ht="13.5">
      <c r="A344" s="22" t="s">
        <v>321</v>
      </c>
      <c r="B344" s="23" t="s">
        <v>322</v>
      </c>
      <c r="C344" s="24" t="s">
        <v>316</v>
      </c>
      <c r="D344" s="75" t="s">
        <v>323</v>
      </c>
      <c r="E344" s="59">
        <f t="shared" si="44"/>
        <v>0</v>
      </c>
      <c r="F344" s="26">
        <v>0</v>
      </c>
      <c r="G344" s="26">
        <v>0</v>
      </c>
      <c r="H344" s="26">
        <v>0</v>
      </c>
      <c r="I344" s="26">
        <v>0</v>
      </c>
      <c r="J344" s="59">
        <f t="shared" si="45"/>
        <v>10547436</v>
      </c>
      <c r="K344" s="26">
        <v>0</v>
      </c>
      <c r="L344" s="26">
        <v>0</v>
      </c>
      <c r="M344" s="26">
        <v>0</v>
      </c>
      <c r="N344" s="26">
        <f>3385000+7352436-190000</f>
        <v>10547436</v>
      </c>
      <c r="O344" s="26">
        <f>3100000+7352436-190000</f>
        <v>10262436</v>
      </c>
      <c r="P344" s="25">
        <f t="shared" si="46"/>
        <v>10547436</v>
      </c>
    </row>
    <row r="345" spans="1:17" s="11" customFormat="1" ht="27">
      <c r="A345" s="3" t="s">
        <v>324</v>
      </c>
      <c r="B345" s="30"/>
      <c r="C345" s="31"/>
      <c r="D345" s="73" t="s">
        <v>325</v>
      </c>
      <c r="E345" s="58">
        <f t="shared" si="44"/>
        <v>0</v>
      </c>
      <c r="F345" s="21">
        <f>F346</f>
        <v>0</v>
      </c>
      <c r="G345" s="21">
        <f>G346</f>
        <v>0</v>
      </c>
      <c r="H345" s="21">
        <f>H346</f>
        <v>0</v>
      </c>
      <c r="I345" s="21">
        <f>I346</f>
        <v>0</v>
      </c>
      <c r="J345" s="58">
        <f t="shared" si="45"/>
        <v>1000000</v>
      </c>
      <c r="K345" s="21">
        <f>K346</f>
        <v>0</v>
      </c>
      <c r="L345" s="21">
        <f>L346</f>
        <v>0</v>
      </c>
      <c r="M345" s="21">
        <f>M346</f>
        <v>0</v>
      </c>
      <c r="N345" s="21">
        <f>N346</f>
        <v>1000000</v>
      </c>
      <c r="O345" s="21">
        <f>O346</f>
        <v>1000000</v>
      </c>
      <c r="P345" s="20">
        <f t="shared" si="46"/>
        <v>1000000</v>
      </c>
      <c r="Q345" s="110"/>
    </row>
    <row r="346" spans="1:16" s="11" customFormat="1" ht="27">
      <c r="A346" s="22" t="s">
        <v>326</v>
      </c>
      <c r="B346" s="23" t="s">
        <v>327</v>
      </c>
      <c r="C346" s="24" t="s">
        <v>39</v>
      </c>
      <c r="D346" s="75" t="s">
        <v>328</v>
      </c>
      <c r="E346" s="59">
        <f t="shared" si="44"/>
        <v>0</v>
      </c>
      <c r="F346" s="26">
        <v>0</v>
      </c>
      <c r="G346" s="26">
        <v>0</v>
      </c>
      <c r="H346" s="26">
        <v>0</v>
      </c>
      <c r="I346" s="26">
        <v>0</v>
      </c>
      <c r="J346" s="59">
        <f t="shared" si="45"/>
        <v>1000000</v>
      </c>
      <c r="K346" s="26">
        <v>0</v>
      </c>
      <c r="L346" s="26">
        <v>0</v>
      </c>
      <c r="M346" s="26">
        <v>0</v>
      </c>
      <c r="N346" s="26">
        <f>5000000-4000000</f>
        <v>1000000</v>
      </c>
      <c r="O346" s="26">
        <f>5000000-4000000</f>
        <v>1000000</v>
      </c>
      <c r="P346" s="25">
        <f t="shared" si="46"/>
        <v>1000000</v>
      </c>
    </row>
    <row r="347" spans="1:17" s="11" customFormat="1" ht="13.5">
      <c r="A347" s="3" t="s">
        <v>329</v>
      </c>
      <c r="B347" s="5" t="s">
        <v>40</v>
      </c>
      <c r="C347" s="4" t="s">
        <v>39</v>
      </c>
      <c r="D347" s="73" t="s">
        <v>41</v>
      </c>
      <c r="E347" s="58">
        <f t="shared" si="44"/>
        <v>78892846.08</v>
      </c>
      <c r="F347" s="21">
        <f>72200000+1000000-1858857+903035+100000-1500000+357700.8+102901.25-473801.97-106000-50000+26400+8145418-1453950+1500000</f>
        <v>78892846.08</v>
      </c>
      <c r="G347" s="21">
        <v>0</v>
      </c>
      <c r="H347" s="21">
        <v>7200000</v>
      </c>
      <c r="I347" s="21">
        <v>0</v>
      </c>
      <c r="J347" s="58">
        <f t="shared" si="45"/>
        <v>12730194.2</v>
      </c>
      <c r="K347" s="21">
        <v>0</v>
      </c>
      <c r="L347" s="21">
        <v>0</v>
      </c>
      <c r="M347" s="21">
        <v>0</v>
      </c>
      <c r="N347" s="21">
        <f>9500000+500000+955822+18982.2-873610+84000+120000+1675000+750000</f>
        <v>12730194.2</v>
      </c>
      <c r="O347" s="21">
        <f>9500000+500000+955822+18982.2-873610+84000+120000+1675000+750000</f>
        <v>12730194.2</v>
      </c>
      <c r="P347" s="20">
        <f t="shared" si="46"/>
        <v>91623040.28</v>
      </c>
      <c r="Q347" s="110"/>
    </row>
    <row r="348" spans="1:16" s="11" customFormat="1" ht="50.25" customHeight="1">
      <c r="A348" s="3"/>
      <c r="B348" s="5"/>
      <c r="C348" s="4"/>
      <c r="D348" s="115" t="s">
        <v>549</v>
      </c>
      <c r="E348" s="62">
        <f t="shared" si="44"/>
        <v>0</v>
      </c>
      <c r="F348" s="51">
        <v>0</v>
      </c>
      <c r="G348" s="51">
        <v>0</v>
      </c>
      <c r="H348" s="51">
        <v>0</v>
      </c>
      <c r="I348" s="51">
        <v>0</v>
      </c>
      <c r="J348" s="62">
        <f t="shared" si="45"/>
        <v>28000</v>
      </c>
      <c r="K348" s="51">
        <v>0</v>
      </c>
      <c r="L348" s="51">
        <v>0</v>
      </c>
      <c r="M348" s="51">
        <v>0</v>
      </c>
      <c r="N348" s="46">
        <v>28000</v>
      </c>
      <c r="O348" s="46">
        <v>28000</v>
      </c>
      <c r="P348" s="52">
        <f t="shared" si="46"/>
        <v>28000</v>
      </c>
    </row>
    <row r="349" spans="1:17" s="11" customFormat="1" ht="82.5" customHeight="1">
      <c r="A349" s="3" t="s">
        <v>330</v>
      </c>
      <c r="B349" s="5" t="s">
        <v>331</v>
      </c>
      <c r="C349" s="4" t="s">
        <v>39</v>
      </c>
      <c r="D349" s="73" t="s">
        <v>332</v>
      </c>
      <c r="E349" s="58">
        <f t="shared" si="44"/>
        <v>2500000</v>
      </c>
      <c r="F349" s="21">
        <f>2000000+500000</f>
        <v>2500000</v>
      </c>
      <c r="G349" s="21">
        <v>0</v>
      </c>
      <c r="H349" s="21">
        <v>0</v>
      </c>
      <c r="I349" s="21">
        <v>0</v>
      </c>
      <c r="J349" s="58">
        <f t="shared" si="45"/>
        <v>0</v>
      </c>
      <c r="K349" s="21">
        <v>0</v>
      </c>
      <c r="L349" s="21">
        <v>0</v>
      </c>
      <c r="M349" s="21">
        <v>0</v>
      </c>
      <c r="N349" s="21">
        <v>0</v>
      </c>
      <c r="O349" s="21">
        <v>0</v>
      </c>
      <c r="P349" s="20">
        <f t="shared" si="46"/>
        <v>2500000</v>
      </c>
      <c r="Q349" s="110"/>
    </row>
    <row r="350" spans="1:17" s="11" customFormat="1" ht="34.5" customHeight="1">
      <c r="A350" s="3" t="s">
        <v>333</v>
      </c>
      <c r="B350" s="5" t="s">
        <v>222</v>
      </c>
      <c r="C350" s="4" t="s">
        <v>147</v>
      </c>
      <c r="D350" s="73" t="s">
        <v>223</v>
      </c>
      <c r="E350" s="58">
        <f t="shared" si="44"/>
        <v>0</v>
      </c>
      <c r="F350" s="21">
        <v>0</v>
      </c>
      <c r="G350" s="21">
        <v>0</v>
      </c>
      <c r="H350" s="21">
        <v>0</v>
      </c>
      <c r="I350" s="21">
        <v>0</v>
      </c>
      <c r="J350" s="58">
        <f t="shared" si="45"/>
        <v>9205479</v>
      </c>
      <c r="K350" s="21">
        <v>0</v>
      </c>
      <c r="L350" s="21">
        <v>0</v>
      </c>
      <c r="M350" s="21">
        <v>0</v>
      </c>
      <c r="N350" s="21">
        <f>12260000+300000+150000-1500000-3792926+1000000+400000+388405</f>
        <v>9205479</v>
      </c>
      <c r="O350" s="21">
        <f>12260000+300000+150000-1500000-3792926+1000000+400000+388405</f>
        <v>9205479</v>
      </c>
      <c r="P350" s="20">
        <f t="shared" si="46"/>
        <v>9205479</v>
      </c>
      <c r="Q350" s="110"/>
    </row>
    <row r="351" spans="1:17" s="11" customFormat="1" ht="59.25" customHeight="1">
      <c r="A351" s="3" t="s">
        <v>334</v>
      </c>
      <c r="B351" s="5" t="s">
        <v>335</v>
      </c>
      <c r="C351" s="4" t="s">
        <v>60</v>
      </c>
      <c r="D351" s="73" t="s">
        <v>336</v>
      </c>
      <c r="E351" s="58">
        <f t="shared" si="44"/>
        <v>0</v>
      </c>
      <c r="F351" s="21">
        <v>0</v>
      </c>
      <c r="G351" s="21">
        <v>0</v>
      </c>
      <c r="H351" s="21">
        <v>0</v>
      </c>
      <c r="I351" s="21">
        <v>0</v>
      </c>
      <c r="J351" s="58">
        <f t="shared" si="45"/>
        <v>500000</v>
      </c>
      <c r="K351" s="21">
        <v>0</v>
      </c>
      <c r="L351" s="21">
        <v>0</v>
      </c>
      <c r="M351" s="21">
        <v>0</v>
      </c>
      <c r="N351" s="21">
        <f>500000</f>
        <v>500000</v>
      </c>
      <c r="O351" s="21">
        <f>500000</f>
        <v>500000</v>
      </c>
      <c r="P351" s="20">
        <f t="shared" si="46"/>
        <v>500000</v>
      </c>
      <c r="Q351" s="110"/>
    </row>
    <row r="352" spans="1:17" s="11" customFormat="1" ht="59.25" customHeight="1">
      <c r="A352" s="3" t="s">
        <v>555</v>
      </c>
      <c r="B352" s="5" t="s">
        <v>556</v>
      </c>
      <c r="C352" s="4" t="s">
        <v>52</v>
      </c>
      <c r="D352" s="73" t="s">
        <v>557</v>
      </c>
      <c r="E352" s="58">
        <f>F352+I352</f>
        <v>0</v>
      </c>
      <c r="F352" s="21">
        <v>0</v>
      </c>
      <c r="G352" s="21">
        <v>0</v>
      </c>
      <c r="H352" s="21">
        <v>0</v>
      </c>
      <c r="I352" s="21">
        <v>0</v>
      </c>
      <c r="J352" s="58">
        <f>K352+N352</f>
        <v>600000</v>
      </c>
      <c r="K352" s="21">
        <v>0</v>
      </c>
      <c r="L352" s="21">
        <v>0</v>
      </c>
      <c r="M352" s="21">
        <v>0</v>
      </c>
      <c r="N352" s="21">
        <f>288000+312000</f>
        <v>600000</v>
      </c>
      <c r="O352" s="21">
        <f>288000+312000</f>
        <v>600000</v>
      </c>
      <c r="P352" s="20">
        <f>E352+J352</f>
        <v>600000</v>
      </c>
      <c r="Q352" s="110"/>
    </row>
    <row r="353" spans="1:17" s="11" customFormat="1" ht="54.75">
      <c r="A353" s="3" t="s">
        <v>518</v>
      </c>
      <c r="B353" s="5" t="s">
        <v>519</v>
      </c>
      <c r="C353" s="4" t="s">
        <v>158</v>
      </c>
      <c r="D353" s="97" t="s">
        <v>510</v>
      </c>
      <c r="E353" s="58">
        <f>F353+I353</f>
        <v>0</v>
      </c>
      <c r="F353" s="21">
        <v>0</v>
      </c>
      <c r="G353" s="21">
        <v>0</v>
      </c>
      <c r="H353" s="21">
        <v>0</v>
      </c>
      <c r="I353" s="21">
        <v>0</v>
      </c>
      <c r="J353" s="58">
        <f>K353+N353</f>
        <v>1146000</v>
      </c>
      <c r="K353" s="21">
        <v>0</v>
      </c>
      <c r="L353" s="21">
        <v>0</v>
      </c>
      <c r="M353" s="21">
        <v>0</v>
      </c>
      <c r="N353" s="21">
        <v>1146000</v>
      </c>
      <c r="O353" s="21">
        <v>1146000</v>
      </c>
      <c r="P353" s="20">
        <f>E353+J353</f>
        <v>1146000</v>
      </c>
      <c r="Q353" s="110"/>
    </row>
    <row r="354" spans="1:17" s="53" customFormat="1" ht="54.75">
      <c r="A354" s="3">
        <v>4716360</v>
      </c>
      <c r="B354" s="5">
        <v>6360</v>
      </c>
      <c r="C354" s="4" t="s">
        <v>158</v>
      </c>
      <c r="D354" s="73" t="s">
        <v>510</v>
      </c>
      <c r="E354" s="58">
        <f>F354+I354</f>
        <v>0</v>
      </c>
      <c r="F354" s="21"/>
      <c r="G354" s="21"/>
      <c r="H354" s="21"/>
      <c r="I354" s="21"/>
      <c r="J354" s="58">
        <f>K354+N354</f>
        <v>0</v>
      </c>
      <c r="K354" s="21"/>
      <c r="L354" s="21"/>
      <c r="M354" s="21"/>
      <c r="N354" s="21">
        <v>0</v>
      </c>
      <c r="O354" s="21">
        <v>0</v>
      </c>
      <c r="P354" s="20">
        <f>E354+J354</f>
        <v>0</v>
      </c>
      <c r="Q354" s="121"/>
    </row>
    <row r="355" spans="1:17" s="11" customFormat="1" ht="27">
      <c r="A355" s="3" t="s">
        <v>337</v>
      </c>
      <c r="B355" s="5" t="s">
        <v>339</v>
      </c>
      <c r="C355" s="4" t="s">
        <v>338</v>
      </c>
      <c r="D355" s="73" t="s">
        <v>340</v>
      </c>
      <c r="E355" s="58">
        <f t="shared" si="44"/>
        <v>48395960</v>
      </c>
      <c r="F355" s="21">
        <f>30600000+8000000+199960-600000+10000000+196000</f>
        <v>48395960</v>
      </c>
      <c r="G355" s="21">
        <v>0</v>
      </c>
      <c r="H355" s="21">
        <v>0</v>
      </c>
      <c r="I355" s="21">
        <v>0</v>
      </c>
      <c r="J355" s="58">
        <f t="shared" si="45"/>
        <v>190000</v>
      </c>
      <c r="K355" s="21">
        <v>0</v>
      </c>
      <c r="L355" s="21">
        <v>0</v>
      </c>
      <c r="M355" s="21">
        <v>0</v>
      </c>
      <c r="N355" s="21">
        <f>0+50000+190000-50000</f>
        <v>190000</v>
      </c>
      <c r="O355" s="21">
        <f>0+50000+190000-50000</f>
        <v>190000</v>
      </c>
      <c r="P355" s="20">
        <f t="shared" si="46"/>
        <v>48585960</v>
      </c>
      <c r="Q355" s="110"/>
    </row>
    <row r="356" spans="1:17" s="11" customFormat="1" ht="34.5" customHeight="1">
      <c r="A356" s="3" t="s">
        <v>341</v>
      </c>
      <c r="B356" s="5" t="s">
        <v>148</v>
      </c>
      <c r="C356" s="4" t="s">
        <v>147</v>
      </c>
      <c r="D356" s="73" t="s">
        <v>149</v>
      </c>
      <c r="E356" s="58">
        <f t="shared" si="44"/>
        <v>0</v>
      </c>
      <c r="F356" s="21">
        <v>0</v>
      </c>
      <c r="G356" s="21">
        <v>0</v>
      </c>
      <c r="H356" s="21">
        <v>0</v>
      </c>
      <c r="I356" s="21">
        <v>0</v>
      </c>
      <c r="J356" s="58">
        <f t="shared" si="45"/>
        <v>77225518.61</v>
      </c>
      <c r="K356" s="21">
        <v>0</v>
      </c>
      <c r="L356" s="21">
        <v>0</v>
      </c>
      <c r="M356" s="21">
        <v>0</v>
      </c>
      <c r="N356" s="21">
        <f>73790000+2200000-5000000+1500000+500000-1298104+47050+83602.67+900000+1000000+100000+50000+56000+183582+77387.94+3000000+36000</f>
        <v>77225518.61</v>
      </c>
      <c r="O356" s="21">
        <f>73790000+2200000-5000000+1500000+500000-1298104+47050+83602.67+900000+1000000+100000+50000+56000+183582+77387.94+3000000+36000</f>
        <v>77225518.61</v>
      </c>
      <c r="P356" s="20">
        <f t="shared" si="46"/>
        <v>77225518.61</v>
      </c>
      <c r="Q356" s="110"/>
    </row>
    <row r="357" spans="1:16" s="47" customFormat="1" ht="42" customHeight="1">
      <c r="A357" s="48"/>
      <c r="B357" s="49"/>
      <c r="C357" s="50"/>
      <c r="D357" s="115" t="s">
        <v>549</v>
      </c>
      <c r="E357" s="62">
        <f>F357+I357</f>
        <v>0</v>
      </c>
      <c r="F357" s="51">
        <v>0</v>
      </c>
      <c r="G357" s="51">
        <v>0</v>
      </c>
      <c r="H357" s="51">
        <v>0</v>
      </c>
      <c r="I357" s="51">
        <v>0</v>
      </c>
      <c r="J357" s="62">
        <f>K357+N357</f>
        <v>10500</v>
      </c>
      <c r="K357" s="51">
        <v>0</v>
      </c>
      <c r="L357" s="51">
        <v>0</v>
      </c>
      <c r="M357" s="51">
        <v>0</v>
      </c>
      <c r="N357" s="51">
        <v>10500</v>
      </c>
      <c r="O357" s="51">
        <v>10500</v>
      </c>
      <c r="P357" s="52">
        <f>E357+J357</f>
        <v>10500</v>
      </c>
    </row>
    <row r="358" spans="1:17" s="11" customFormat="1" ht="13.5">
      <c r="A358" s="16" t="s">
        <v>342</v>
      </c>
      <c r="B358" s="64" t="s">
        <v>32</v>
      </c>
      <c r="C358" s="65" t="s">
        <v>31</v>
      </c>
      <c r="D358" s="74" t="s">
        <v>33</v>
      </c>
      <c r="E358" s="57">
        <f t="shared" si="44"/>
        <v>2410000</v>
      </c>
      <c r="F358" s="19">
        <f>F360+F361+F362</f>
        <v>2410000</v>
      </c>
      <c r="G358" s="19">
        <f>G360+G361+G362</f>
        <v>0</v>
      </c>
      <c r="H358" s="19">
        <f>H360+H361+H362</f>
        <v>0</v>
      </c>
      <c r="I358" s="19">
        <f>I360+I361+I362</f>
        <v>0</v>
      </c>
      <c r="J358" s="57">
        <f t="shared" si="45"/>
        <v>0</v>
      </c>
      <c r="K358" s="19">
        <f>K360+K361+K362</f>
        <v>0</v>
      </c>
      <c r="L358" s="19">
        <f>L360+L361+L362</f>
        <v>0</v>
      </c>
      <c r="M358" s="19">
        <f>M360+M361+M362</f>
        <v>0</v>
      </c>
      <c r="N358" s="19">
        <f>N360+N361+N362</f>
        <v>0</v>
      </c>
      <c r="O358" s="19">
        <f>O360+O361+O362</f>
        <v>0</v>
      </c>
      <c r="P358" s="19">
        <f t="shared" si="46"/>
        <v>2410000</v>
      </c>
      <c r="Q358" s="110"/>
    </row>
    <row r="359" spans="1:16" s="47" customFormat="1" ht="13.5">
      <c r="A359" s="42"/>
      <c r="B359" s="43"/>
      <c r="C359" s="44"/>
      <c r="D359" s="96" t="s">
        <v>488</v>
      </c>
      <c r="E359" s="58"/>
      <c r="F359" s="46"/>
      <c r="G359" s="46"/>
      <c r="H359" s="46"/>
      <c r="I359" s="46"/>
      <c r="J359" s="58"/>
      <c r="K359" s="46"/>
      <c r="L359" s="46"/>
      <c r="M359" s="46"/>
      <c r="N359" s="46"/>
      <c r="O359" s="46"/>
      <c r="P359" s="20"/>
    </row>
    <row r="360" spans="1:16" s="47" customFormat="1" ht="45" customHeight="1">
      <c r="A360" s="42"/>
      <c r="B360" s="43"/>
      <c r="C360" s="44"/>
      <c r="D360" s="115" t="s">
        <v>491</v>
      </c>
      <c r="E360" s="61">
        <f t="shared" si="44"/>
        <v>100000</v>
      </c>
      <c r="F360" s="46">
        <f>200000-100000</f>
        <v>100000</v>
      </c>
      <c r="G360" s="46">
        <v>0</v>
      </c>
      <c r="H360" s="46">
        <v>0</v>
      </c>
      <c r="I360" s="46">
        <v>0</v>
      </c>
      <c r="J360" s="61">
        <f t="shared" si="45"/>
        <v>0</v>
      </c>
      <c r="K360" s="46">
        <v>0</v>
      </c>
      <c r="L360" s="46">
        <v>0</v>
      </c>
      <c r="M360" s="46">
        <v>0</v>
      </c>
      <c r="N360" s="46">
        <v>0</v>
      </c>
      <c r="O360" s="46">
        <v>0</v>
      </c>
      <c r="P360" s="45">
        <f t="shared" si="46"/>
        <v>100000</v>
      </c>
    </row>
    <row r="361" spans="1:16" s="47" customFormat="1" ht="52.5" customHeight="1">
      <c r="A361" s="42"/>
      <c r="B361" s="43"/>
      <c r="C361" s="128"/>
      <c r="D361" s="115" t="s">
        <v>492</v>
      </c>
      <c r="E361" s="61">
        <f t="shared" si="44"/>
        <v>1300000</v>
      </c>
      <c r="F361" s="46">
        <v>1300000</v>
      </c>
      <c r="G361" s="46"/>
      <c r="H361" s="46"/>
      <c r="I361" s="46"/>
      <c r="J361" s="61">
        <f t="shared" si="45"/>
        <v>0</v>
      </c>
      <c r="K361" s="46"/>
      <c r="L361" s="46"/>
      <c r="M361" s="46"/>
      <c r="N361" s="46"/>
      <c r="O361" s="46"/>
      <c r="P361" s="45">
        <f t="shared" si="46"/>
        <v>1300000</v>
      </c>
    </row>
    <row r="362" spans="1:16" s="47" customFormat="1" ht="55.5" customHeight="1">
      <c r="A362" s="42"/>
      <c r="B362" s="43"/>
      <c r="C362" s="128"/>
      <c r="D362" s="115" t="s">
        <v>493</v>
      </c>
      <c r="E362" s="61">
        <f t="shared" si="44"/>
        <v>1010000</v>
      </c>
      <c r="F362" s="46">
        <v>1010000</v>
      </c>
      <c r="G362" s="46"/>
      <c r="H362" s="46"/>
      <c r="I362" s="46"/>
      <c r="J362" s="61">
        <f t="shared" si="45"/>
        <v>0</v>
      </c>
      <c r="K362" s="46"/>
      <c r="L362" s="46"/>
      <c r="M362" s="46"/>
      <c r="N362" s="46"/>
      <c r="O362" s="46"/>
      <c r="P362" s="45">
        <f t="shared" si="46"/>
        <v>1010000</v>
      </c>
    </row>
    <row r="363" spans="1:17" s="11" customFormat="1" ht="13.5">
      <c r="A363" s="16" t="s">
        <v>343</v>
      </c>
      <c r="B363" s="64" t="s">
        <v>344</v>
      </c>
      <c r="C363" s="65" t="s">
        <v>35</v>
      </c>
      <c r="D363" s="74" t="s">
        <v>345</v>
      </c>
      <c r="E363" s="57">
        <f t="shared" si="44"/>
        <v>0</v>
      </c>
      <c r="F363" s="19">
        <f>F365</f>
        <v>0</v>
      </c>
      <c r="G363" s="19">
        <f aca="true" t="shared" si="47" ref="G363:O363">G365</f>
        <v>0</v>
      </c>
      <c r="H363" s="19">
        <f t="shared" si="47"/>
        <v>0</v>
      </c>
      <c r="I363" s="19">
        <f t="shared" si="47"/>
        <v>0</v>
      </c>
      <c r="J363" s="57">
        <f t="shared" si="45"/>
        <v>40000000</v>
      </c>
      <c r="K363" s="19">
        <f>K365</f>
        <v>0</v>
      </c>
      <c r="L363" s="19">
        <f t="shared" si="47"/>
        <v>0</v>
      </c>
      <c r="M363" s="19">
        <f t="shared" si="47"/>
        <v>0</v>
      </c>
      <c r="N363" s="19">
        <f t="shared" si="47"/>
        <v>40000000</v>
      </c>
      <c r="O363" s="19">
        <f t="shared" si="47"/>
        <v>40000000</v>
      </c>
      <c r="P363" s="19">
        <f t="shared" si="46"/>
        <v>40000000</v>
      </c>
      <c r="Q363" s="110"/>
    </row>
    <row r="364" spans="1:16" s="47" customFormat="1" ht="13.5">
      <c r="A364" s="42"/>
      <c r="B364" s="43"/>
      <c r="C364" s="44"/>
      <c r="D364" s="96" t="s">
        <v>488</v>
      </c>
      <c r="E364" s="58"/>
      <c r="F364" s="46"/>
      <c r="G364" s="46"/>
      <c r="H364" s="46"/>
      <c r="I364" s="46"/>
      <c r="J364" s="58"/>
      <c r="K364" s="46"/>
      <c r="L364" s="46"/>
      <c r="M364" s="46"/>
      <c r="N364" s="46"/>
      <c r="O364" s="46"/>
      <c r="P364" s="20"/>
    </row>
    <row r="365" spans="1:16" s="47" customFormat="1" ht="60.75" customHeight="1">
      <c r="A365" s="42"/>
      <c r="B365" s="43"/>
      <c r="C365" s="44"/>
      <c r="D365" s="115" t="s">
        <v>490</v>
      </c>
      <c r="E365" s="61">
        <f t="shared" si="44"/>
        <v>0</v>
      </c>
      <c r="F365" s="46">
        <v>0</v>
      </c>
      <c r="G365" s="46">
        <v>0</v>
      </c>
      <c r="H365" s="46">
        <v>0</v>
      </c>
      <c r="I365" s="46">
        <v>0</v>
      </c>
      <c r="J365" s="61">
        <f t="shared" si="45"/>
        <v>40000000</v>
      </c>
      <c r="K365" s="46">
        <v>0</v>
      </c>
      <c r="L365" s="46">
        <v>0</v>
      </c>
      <c r="M365" s="46">
        <v>0</v>
      </c>
      <c r="N365" s="46">
        <f>60000000-20000000</f>
        <v>40000000</v>
      </c>
      <c r="O365" s="46">
        <f>60000000-20000000</f>
        <v>40000000</v>
      </c>
      <c r="P365" s="45">
        <f t="shared" si="46"/>
        <v>40000000</v>
      </c>
    </row>
    <row r="366" spans="1:17" s="11" customFormat="1" ht="27">
      <c r="A366" s="3" t="s">
        <v>550</v>
      </c>
      <c r="B366" s="5" t="s">
        <v>152</v>
      </c>
      <c r="C366" s="4" t="s">
        <v>151</v>
      </c>
      <c r="D366" s="73" t="s">
        <v>153</v>
      </c>
      <c r="E366" s="58">
        <f t="shared" si="44"/>
        <v>0</v>
      </c>
      <c r="F366" s="21">
        <v>0</v>
      </c>
      <c r="G366" s="21">
        <v>0</v>
      </c>
      <c r="H366" s="21">
        <v>0</v>
      </c>
      <c r="I366" s="21">
        <v>0</v>
      </c>
      <c r="J366" s="58">
        <f t="shared" si="45"/>
        <v>400000</v>
      </c>
      <c r="K366" s="21">
        <f>0+200000+200000</f>
        <v>400000</v>
      </c>
      <c r="L366" s="21">
        <v>0</v>
      </c>
      <c r="M366" s="21">
        <v>0</v>
      </c>
      <c r="N366" s="21">
        <v>0</v>
      </c>
      <c r="O366" s="21">
        <v>0</v>
      </c>
      <c r="P366" s="20">
        <f>E366+J366</f>
        <v>400000</v>
      </c>
      <c r="Q366" s="110"/>
    </row>
    <row r="367" spans="1:17" s="100" customFormat="1" ht="38.25" customHeight="1">
      <c r="A367" s="66" t="s">
        <v>346</v>
      </c>
      <c r="B367" s="67"/>
      <c r="C367" s="68"/>
      <c r="D367" s="72" t="s">
        <v>347</v>
      </c>
      <c r="E367" s="69">
        <f aca="true" t="shared" si="48" ref="E367:E372">F367+I367</f>
        <v>3636137</v>
      </c>
      <c r="F367" s="70">
        <f>F368+F375</f>
        <v>3636137</v>
      </c>
      <c r="G367" s="70">
        <f>G368+G375</f>
        <v>1821608</v>
      </c>
      <c r="H367" s="70">
        <f>H368+H375</f>
        <v>277275</v>
      </c>
      <c r="I367" s="70">
        <f>I368+I375</f>
        <v>0</v>
      </c>
      <c r="J367" s="69">
        <f aca="true" t="shared" si="49" ref="J367:J372">K367+N367</f>
        <v>369480</v>
      </c>
      <c r="K367" s="70">
        <f>K368+K375</f>
        <v>0</v>
      </c>
      <c r="L367" s="70">
        <f>L368+L375</f>
        <v>0</v>
      </c>
      <c r="M367" s="70">
        <f>M368+M375</f>
        <v>0</v>
      </c>
      <c r="N367" s="70">
        <f>N368+N375</f>
        <v>369480</v>
      </c>
      <c r="O367" s="70">
        <f>O368+O375</f>
        <v>369480</v>
      </c>
      <c r="P367" s="70">
        <f aca="true" t="shared" si="50" ref="P367:P372">E367+J367</f>
        <v>4005617</v>
      </c>
      <c r="Q367" s="120"/>
    </row>
    <row r="368" spans="1:17" s="101" customFormat="1" ht="27">
      <c r="A368" s="27" t="s">
        <v>348</v>
      </c>
      <c r="B368" s="28"/>
      <c r="C368" s="29"/>
      <c r="D368" s="78" t="s">
        <v>349</v>
      </c>
      <c r="E368" s="58">
        <f t="shared" si="48"/>
        <v>2677792</v>
      </c>
      <c r="F368" s="20">
        <f>F369+F370+F371+F372</f>
        <v>2677792</v>
      </c>
      <c r="G368" s="20">
        <f aca="true" t="shared" si="51" ref="G368:O368">G369+G370+G371+G372</f>
        <v>1226014</v>
      </c>
      <c r="H368" s="20">
        <f t="shared" si="51"/>
        <v>202855</v>
      </c>
      <c r="I368" s="20">
        <f t="shared" si="51"/>
        <v>0</v>
      </c>
      <c r="J368" s="58">
        <f t="shared" si="49"/>
        <v>369480</v>
      </c>
      <c r="K368" s="20">
        <f t="shared" si="51"/>
        <v>0</v>
      </c>
      <c r="L368" s="20">
        <f t="shared" si="51"/>
        <v>0</v>
      </c>
      <c r="M368" s="20">
        <f t="shared" si="51"/>
        <v>0</v>
      </c>
      <c r="N368" s="20">
        <f t="shared" si="51"/>
        <v>369480</v>
      </c>
      <c r="O368" s="20">
        <f t="shared" si="51"/>
        <v>369480</v>
      </c>
      <c r="P368" s="20">
        <f t="shared" si="50"/>
        <v>3047272</v>
      </c>
      <c r="Q368" s="124"/>
    </row>
    <row r="369" spans="1:17" s="11" customFormat="1" ht="27">
      <c r="A369" s="3" t="s">
        <v>350</v>
      </c>
      <c r="B369" s="30" t="s">
        <v>35</v>
      </c>
      <c r="C369" s="30" t="s">
        <v>20</v>
      </c>
      <c r="D369" s="73" t="s">
        <v>539</v>
      </c>
      <c r="E369" s="58">
        <f t="shared" si="48"/>
        <v>2177792</v>
      </c>
      <c r="F369" s="21">
        <v>2177792</v>
      </c>
      <c r="G369" s="21">
        <v>1226014</v>
      </c>
      <c r="H369" s="21">
        <v>202855</v>
      </c>
      <c r="I369" s="21">
        <v>0</v>
      </c>
      <c r="J369" s="58">
        <f t="shared" si="49"/>
        <v>0</v>
      </c>
      <c r="K369" s="21">
        <v>0</v>
      </c>
      <c r="L369" s="21">
        <v>0</v>
      </c>
      <c r="M369" s="21">
        <v>0</v>
      </c>
      <c r="N369" s="21">
        <v>0</v>
      </c>
      <c r="O369" s="21">
        <v>0</v>
      </c>
      <c r="P369" s="20">
        <f t="shared" si="50"/>
        <v>2177792</v>
      </c>
      <c r="Q369" s="110"/>
    </row>
    <row r="370" spans="1:17" s="11" customFormat="1" ht="27">
      <c r="A370" s="3" t="s">
        <v>351</v>
      </c>
      <c r="B370" s="5" t="s">
        <v>353</v>
      </c>
      <c r="C370" s="4" t="s">
        <v>352</v>
      </c>
      <c r="D370" s="73" t="s">
        <v>354</v>
      </c>
      <c r="E370" s="58">
        <f t="shared" si="48"/>
        <v>0</v>
      </c>
      <c r="F370" s="21">
        <v>0</v>
      </c>
      <c r="G370" s="21">
        <v>0</v>
      </c>
      <c r="H370" s="21">
        <v>0</v>
      </c>
      <c r="I370" s="21">
        <v>0</v>
      </c>
      <c r="J370" s="58">
        <f t="shared" si="49"/>
        <v>266000</v>
      </c>
      <c r="K370" s="21">
        <v>0</v>
      </c>
      <c r="L370" s="21">
        <v>0</v>
      </c>
      <c r="M370" s="21">
        <v>0</v>
      </c>
      <c r="N370" s="21">
        <f>1500000-1234000</f>
        <v>266000</v>
      </c>
      <c r="O370" s="21">
        <f>1500000-1234000</f>
        <v>266000</v>
      </c>
      <c r="P370" s="20">
        <f t="shared" si="50"/>
        <v>266000</v>
      </c>
      <c r="Q370" s="110"/>
    </row>
    <row r="371" spans="1:17" s="11" customFormat="1" ht="27">
      <c r="A371" s="3" t="s">
        <v>355</v>
      </c>
      <c r="B371" s="5" t="s">
        <v>148</v>
      </c>
      <c r="C371" s="4" t="s">
        <v>147</v>
      </c>
      <c r="D371" s="73" t="s">
        <v>149</v>
      </c>
      <c r="E371" s="58">
        <f t="shared" si="48"/>
        <v>0</v>
      </c>
      <c r="F371" s="21">
        <v>0</v>
      </c>
      <c r="G371" s="21">
        <v>0</v>
      </c>
      <c r="H371" s="21">
        <v>0</v>
      </c>
      <c r="I371" s="21">
        <v>0</v>
      </c>
      <c r="J371" s="58">
        <f t="shared" si="49"/>
        <v>103480</v>
      </c>
      <c r="K371" s="21">
        <v>0</v>
      </c>
      <c r="L371" s="21">
        <v>0</v>
      </c>
      <c r="M371" s="21">
        <v>0</v>
      </c>
      <c r="N371" s="21">
        <f>500000-396520</f>
        <v>103480</v>
      </c>
      <c r="O371" s="21">
        <f>500000-396520</f>
        <v>103480</v>
      </c>
      <c r="P371" s="20">
        <f t="shared" si="50"/>
        <v>103480</v>
      </c>
      <c r="Q371" s="110"/>
    </row>
    <row r="372" spans="1:16" s="41" customFormat="1" ht="18" customHeight="1">
      <c r="A372" s="16" t="s">
        <v>356</v>
      </c>
      <c r="B372" s="64" t="s">
        <v>344</v>
      </c>
      <c r="C372" s="65" t="s">
        <v>35</v>
      </c>
      <c r="D372" s="74" t="s">
        <v>345</v>
      </c>
      <c r="E372" s="57">
        <f t="shared" si="48"/>
        <v>500000</v>
      </c>
      <c r="F372" s="19">
        <f>F374</f>
        <v>500000</v>
      </c>
      <c r="G372" s="19">
        <f>G374</f>
        <v>0</v>
      </c>
      <c r="H372" s="19">
        <f>H374</f>
        <v>0</v>
      </c>
      <c r="I372" s="19">
        <f>I374</f>
        <v>0</v>
      </c>
      <c r="J372" s="57">
        <f t="shared" si="49"/>
        <v>0</v>
      </c>
      <c r="K372" s="19">
        <f>K374</f>
        <v>0</v>
      </c>
      <c r="L372" s="19">
        <f>L374</f>
        <v>0</v>
      </c>
      <c r="M372" s="19">
        <f>M374</f>
        <v>0</v>
      </c>
      <c r="N372" s="19">
        <f>N374</f>
        <v>0</v>
      </c>
      <c r="O372" s="19">
        <f>O374</f>
        <v>0</v>
      </c>
      <c r="P372" s="19">
        <f t="shared" si="50"/>
        <v>500000</v>
      </c>
    </row>
    <row r="373" spans="1:16" s="47" customFormat="1" ht="14.25">
      <c r="A373" s="48"/>
      <c r="B373" s="49"/>
      <c r="C373" s="50"/>
      <c r="D373" s="96" t="s">
        <v>488</v>
      </c>
      <c r="E373" s="62"/>
      <c r="F373" s="51"/>
      <c r="G373" s="51"/>
      <c r="H373" s="51"/>
      <c r="I373" s="51"/>
      <c r="J373" s="62"/>
      <c r="K373" s="51"/>
      <c r="L373" s="51"/>
      <c r="M373" s="51"/>
      <c r="N373" s="51"/>
      <c r="O373" s="51"/>
      <c r="P373" s="52"/>
    </row>
    <row r="374" spans="1:16" s="47" customFormat="1" ht="41.25">
      <c r="A374" s="42"/>
      <c r="B374" s="43"/>
      <c r="C374" s="44"/>
      <c r="D374" s="115" t="s">
        <v>489</v>
      </c>
      <c r="E374" s="61">
        <f>F374+I374</f>
        <v>500000</v>
      </c>
      <c r="F374" s="46">
        <v>500000</v>
      </c>
      <c r="G374" s="46">
        <v>0</v>
      </c>
      <c r="H374" s="46">
        <v>0</v>
      </c>
      <c r="I374" s="46">
        <v>0</v>
      </c>
      <c r="J374" s="61">
        <f>K374+N374</f>
        <v>0</v>
      </c>
      <c r="K374" s="46">
        <v>0</v>
      </c>
      <c r="L374" s="46">
        <v>0</v>
      </c>
      <c r="M374" s="46">
        <v>0</v>
      </c>
      <c r="N374" s="46">
        <v>0</v>
      </c>
      <c r="O374" s="46">
        <v>0</v>
      </c>
      <c r="P374" s="45">
        <f aca="true" t="shared" si="52" ref="P374:P379">E374+J374</f>
        <v>500000</v>
      </c>
    </row>
    <row r="375" spans="1:17" s="101" customFormat="1" ht="27">
      <c r="A375" s="27" t="s">
        <v>348</v>
      </c>
      <c r="B375" s="28"/>
      <c r="C375" s="29"/>
      <c r="D375" s="98" t="s">
        <v>425</v>
      </c>
      <c r="E375" s="58">
        <f aca="true" t="shared" si="53" ref="E375:E394">F375+I375</f>
        <v>958345</v>
      </c>
      <c r="F375" s="20">
        <f>F376</f>
        <v>958345</v>
      </c>
      <c r="G375" s="20">
        <f>G376</f>
        <v>595594</v>
      </c>
      <c r="H375" s="20">
        <f>H376</f>
        <v>74420</v>
      </c>
      <c r="I375" s="20">
        <f>I376</f>
        <v>0</v>
      </c>
      <c r="J375" s="58">
        <f aca="true" t="shared" si="54" ref="J375:J408">K375+N375</f>
        <v>0</v>
      </c>
      <c r="K375" s="20">
        <f>K376</f>
        <v>0</v>
      </c>
      <c r="L375" s="20">
        <f>L376</f>
        <v>0</v>
      </c>
      <c r="M375" s="20">
        <f>M376</f>
        <v>0</v>
      </c>
      <c r="N375" s="20">
        <f>N376</f>
        <v>0</v>
      </c>
      <c r="O375" s="20">
        <f>O376</f>
        <v>0</v>
      </c>
      <c r="P375" s="20">
        <f t="shared" si="52"/>
        <v>958345</v>
      </c>
      <c r="Q375" s="124"/>
    </row>
    <row r="376" spans="1:17" s="11" customFormat="1" ht="27">
      <c r="A376" s="3" t="s">
        <v>350</v>
      </c>
      <c r="B376" s="30" t="s">
        <v>35</v>
      </c>
      <c r="C376" s="30" t="s">
        <v>20</v>
      </c>
      <c r="D376" s="73" t="s">
        <v>539</v>
      </c>
      <c r="E376" s="58">
        <f t="shared" si="53"/>
        <v>958345</v>
      </c>
      <c r="F376" s="21">
        <f>930345+28000</f>
        <v>958345</v>
      </c>
      <c r="G376" s="21">
        <v>595594</v>
      </c>
      <c r="H376" s="21">
        <v>74420</v>
      </c>
      <c r="I376" s="21">
        <v>0</v>
      </c>
      <c r="J376" s="58">
        <f t="shared" si="54"/>
        <v>0</v>
      </c>
      <c r="K376" s="21">
        <v>0</v>
      </c>
      <c r="L376" s="21">
        <v>0</v>
      </c>
      <c r="M376" s="21">
        <v>0</v>
      </c>
      <c r="N376" s="21">
        <v>0</v>
      </c>
      <c r="O376" s="21">
        <v>0</v>
      </c>
      <c r="P376" s="20">
        <f t="shared" si="52"/>
        <v>958345</v>
      </c>
      <c r="Q376" s="110"/>
    </row>
    <row r="377" spans="1:17" s="100" customFormat="1" ht="46.5">
      <c r="A377" s="66" t="s">
        <v>357</v>
      </c>
      <c r="B377" s="67"/>
      <c r="C377" s="68"/>
      <c r="D377" s="72" t="s">
        <v>358</v>
      </c>
      <c r="E377" s="69">
        <f t="shared" si="53"/>
        <v>1103975</v>
      </c>
      <c r="F377" s="70">
        <f aca="true" t="shared" si="55" ref="F377:O377">F378</f>
        <v>1103975</v>
      </c>
      <c r="G377" s="70">
        <f t="shared" si="55"/>
        <v>780493</v>
      </c>
      <c r="H377" s="70">
        <f t="shared" si="55"/>
        <v>57634</v>
      </c>
      <c r="I377" s="70">
        <f t="shared" si="55"/>
        <v>0</v>
      </c>
      <c r="J377" s="69">
        <f t="shared" si="54"/>
        <v>9338174.8</v>
      </c>
      <c r="K377" s="70">
        <f t="shared" si="55"/>
        <v>3697900</v>
      </c>
      <c r="L377" s="70">
        <f t="shared" si="55"/>
        <v>0</v>
      </c>
      <c r="M377" s="70">
        <f t="shared" si="55"/>
        <v>0</v>
      </c>
      <c r="N377" s="70">
        <f t="shared" si="55"/>
        <v>5640274.8</v>
      </c>
      <c r="O377" s="70">
        <f t="shared" si="55"/>
        <v>650000</v>
      </c>
      <c r="P377" s="70">
        <f t="shared" si="52"/>
        <v>10442149.8</v>
      </c>
      <c r="Q377" s="120"/>
    </row>
    <row r="378" spans="1:16" s="101" customFormat="1" ht="27">
      <c r="A378" s="27" t="s">
        <v>359</v>
      </c>
      <c r="B378" s="28"/>
      <c r="C378" s="29"/>
      <c r="D378" s="78" t="s">
        <v>360</v>
      </c>
      <c r="E378" s="58">
        <f>F378+I378</f>
        <v>1103975</v>
      </c>
      <c r="F378" s="20">
        <f>F379+F380+F381+F382+F383+F384+F385</f>
        <v>1103975</v>
      </c>
      <c r="G378" s="20">
        <f>G379+G380+G381+G382+G383+G384+G385</f>
        <v>780493</v>
      </c>
      <c r="H378" s="20">
        <f>H379+H380+H381+H382+H383+H384+H385</f>
        <v>57634</v>
      </c>
      <c r="I378" s="20">
        <f>I379+I380+I381+I382+I383+I384+I385</f>
        <v>0</v>
      </c>
      <c r="J378" s="58">
        <f>K378+N378</f>
        <v>9338174.8</v>
      </c>
      <c r="K378" s="20">
        <f>K379+K380+K381+K382+K383+K384+K385</f>
        <v>3697900</v>
      </c>
      <c r="L378" s="20">
        <f>L379+L380+L381+L382+L383+L384+L385</f>
        <v>0</v>
      </c>
      <c r="M378" s="20">
        <f>M379+M380+M381+M382+M383+M384+M385</f>
        <v>0</v>
      </c>
      <c r="N378" s="20">
        <f>N379+N380+N381+N382+N383+N384+N385</f>
        <v>5640274.8</v>
      </c>
      <c r="O378" s="20">
        <f>O379+O380+O381+O382+O383+O384+O385</f>
        <v>650000</v>
      </c>
      <c r="P378" s="20">
        <f t="shared" si="52"/>
        <v>10442149.8</v>
      </c>
    </row>
    <row r="379" spans="1:17" s="11" customFormat="1" ht="27">
      <c r="A379" s="3" t="s">
        <v>361</v>
      </c>
      <c r="B379" s="30" t="s">
        <v>35</v>
      </c>
      <c r="C379" s="30" t="s">
        <v>20</v>
      </c>
      <c r="D379" s="73" t="s">
        <v>539</v>
      </c>
      <c r="E379" s="58">
        <f t="shared" si="53"/>
        <v>1072199</v>
      </c>
      <c r="F379" s="21">
        <f>1103975-31776</f>
        <v>1072199</v>
      </c>
      <c r="G379" s="21">
        <v>780493</v>
      </c>
      <c r="H379" s="21">
        <v>57634</v>
      </c>
      <c r="I379" s="21">
        <v>0</v>
      </c>
      <c r="J379" s="58">
        <f t="shared" si="54"/>
        <v>0</v>
      </c>
      <c r="K379" s="21">
        <v>0</v>
      </c>
      <c r="L379" s="21">
        <v>0</v>
      </c>
      <c r="M379" s="21">
        <v>0</v>
      </c>
      <c r="N379" s="21">
        <v>0</v>
      </c>
      <c r="O379" s="21">
        <v>0</v>
      </c>
      <c r="P379" s="20">
        <f t="shared" si="52"/>
        <v>1072199</v>
      </c>
      <c r="Q379" s="110"/>
    </row>
    <row r="380" spans="1:17" s="11" customFormat="1" ht="27">
      <c r="A380" s="3" t="s">
        <v>362</v>
      </c>
      <c r="B380" s="5" t="s">
        <v>148</v>
      </c>
      <c r="C380" s="4" t="s">
        <v>147</v>
      </c>
      <c r="D380" s="73" t="s">
        <v>149</v>
      </c>
      <c r="E380" s="58">
        <f t="shared" si="53"/>
        <v>0</v>
      </c>
      <c r="F380" s="21">
        <v>0</v>
      </c>
      <c r="G380" s="21">
        <v>0</v>
      </c>
      <c r="H380" s="21">
        <v>0</v>
      </c>
      <c r="I380" s="21">
        <v>0</v>
      </c>
      <c r="J380" s="58">
        <f t="shared" si="54"/>
        <v>650000</v>
      </c>
      <c r="K380" s="21">
        <v>0</v>
      </c>
      <c r="L380" s="21">
        <v>0</v>
      </c>
      <c r="M380" s="21">
        <v>0</v>
      </c>
      <c r="N380" s="21">
        <f>200000+450000</f>
        <v>650000</v>
      </c>
      <c r="O380" s="21">
        <f>200000+450000</f>
        <v>650000</v>
      </c>
      <c r="P380" s="20">
        <f aca="true" t="shared" si="56" ref="P380:P389">E380+J380</f>
        <v>650000</v>
      </c>
      <c r="Q380" s="110"/>
    </row>
    <row r="381" spans="1:18" s="11" customFormat="1" ht="27">
      <c r="A381" s="3" t="s">
        <v>363</v>
      </c>
      <c r="B381" s="5" t="s">
        <v>152</v>
      </c>
      <c r="C381" s="4" t="s">
        <v>151</v>
      </c>
      <c r="D381" s="73" t="s">
        <v>153</v>
      </c>
      <c r="E381" s="58">
        <f t="shared" si="53"/>
        <v>0</v>
      </c>
      <c r="F381" s="21">
        <v>0</v>
      </c>
      <c r="G381" s="21">
        <v>0</v>
      </c>
      <c r="H381" s="21">
        <v>0</v>
      </c>
      <c r="I381" s="21">
        <v>0</v>
      </c>
      <c r="J381" s="58">
        <f>K381+N381</f>
        <v>5556074.8</v>
      </c>
      <c r="K381" s="21">
        <f>230000+400000+100000-10000</f>
        <v>720000</v>
      </c>
      <c r="L381" s="21">
        <v>0</v>
      </c>
      <c r="M381" s="21">
        <v>0</v>
      </c>
      <c r="N381" s="21">
        <f>5600000-404200+436174.8+1172000-477900-1390000-100000</f>
        <v>4836074.8</v>
      </c>
      <c r="O381" s="21">
        <v>0</v>
      </c>
      <c r="P381" s="20">
        <f t="shared" si="56"/>
        <v>5556074.8</v>
      </c>
      <c r="Q381" s="110"/>
      <c r="R381" s="110"/>
    </row>
    <row r="382" spans="1:17" s="11" customFormat="1" ht="13.5">
      <c r="A382" s="3" t="s">
        <v>364</v>
      </c>
      <c r="B382" s="5" t="s">
        <v>366</v>
      </c>
      <c r="C382" s="4" t="s">
        <v>365</v>
      </c>
      <c r="D382" s="73" t="s">
        <v>367</v>
      </c>
      <c r="E382" s="58">
        <f t="shared" si="53"/>
        <v>0</v>
      </c>
      <c r="F382" s="21">
        <v>0</v>
      </c>
      <c r="G382" s="21">
        <v>0</v>
      </c>
      <c r="H382" s="21">
        <v>0</v>
      </c>
      <c r="I382" s="21">
        <v>0</v>
      </c>
      <c r="J382" s="58">
        <f t="shared" si="54"/>
        <v>2604200</v>
      </c>
      <c r="K382" s="21">
        <f>1500000-50000+1000000</f>
        <v>2450000</v>
      </c>
      <c r="L382" s="21">
        <v>0</v>
      </c>
      <c r="M382" s="21">
        <v>0</v>
      </c>
      <c r="N382" s="21">
        <f>54200+100000</f>
        <v>154200</v>
      </c>
      <c r="O382" s="21">
        <v>0</v>
      </c>
      <c r="P382" s="20">
        <f t="shared" si="56"/>
        <v>2604200</v>
      </c>
      <c r="Q382" s="110"/>
    </row>
    <row r="383" spans="1:17" s="11" customFormat="1" ht="27">
      <c r="A383" s="3" t="s">
        <v>368</v>
      </c>
      <c r="B383" s="5" t="s">
        <v>370</v>
      </c>
      <c r="C383" s="4" t="s">
        <v>369</v>
      </c>
      <c r="D383" s="73" t="s">
        <v>371</v>
      </c>
      <c r="E383" s="58">
        <f t="shared" si="53"/>
        <v>0</v>
      </c>
      <c r="F383" s="21">
        <v>0</v>
      </c>
      <c r="G383" s="21">
        <v>0</v>
      </c>
      <c r="H383" s="21">
        <v>0</v>
      </c>
      <c r="I383" s="21">
        <v>0</v>
      </c>
      <c r="J383" s="58">
        <f t="shared" si="54"/>
        <v>500000</v>
      </c>
      <c r="K383" s="21">
        <v>500000</v>
      </c>
      <c r="L383" s="21">
        <v>0</v>
      </c>
      <c r="M383" s="21">
        <v>0</v>
      </c>
      <c r="N383" s="21">
        <v>0</v>
      </c>
      <c r="O383" s="21">
        <v>0</v>
      </c>
      <c r="P383" s="20">
        <f t="shared" si="56"/>
        <v>500000</v>
      </c>
      <c r="Q383" s="110"/>
    </row>
    <row r="384" spans="1:17" s="11" customFormat="1" ht="27">
      <c r="A384" s="3" t="s">
        <v>372</v>
      </c>
      <c r="B384" s="5" t="s">
        <v>374</v>
      </c>
      <c r="C384" s="4" t="s">
        <v>373</v>
      </c>
      <c r="D384" s="73" t="s">
        <v>375</v>
      </c>
      <c r="E384" s="58">
        <f t="shared" si="53"/>
        <v>0</v>
      </c>
      <c r="F384" s="21">
        <v>0</v>
      </c>
      <c r="G384" s="21">
        <v>0</v>
      </c>
      <c r="H384" s="21">
        <v>0</v>
      </c>
      <c r="I384" s="21">
        <v>0</v>
      </c>
      <c r="J384" s="58">
        <f t="shared" si="54"/>
        <v>27900</v>
      </c>
      <c r="K384" s="21">
        <v>27900</v>
      </c>
      <c r="L384" s="21">
        <v>0</v>
      </c>
      <c r="M384" s="21">
        <v>0</v>
      </c>
      <c r="N384" s="21">
        <v>0</v>
      </c>
      <c r="O384" s="21">
        <v>0</v>
      </c>
      <c r="P384" s="20">
        <f t="shared" si="56"/>
        <v>27900</v>
      </c>
      <c r="Q384" s="110"/>
    </row>
    <row r="385" spans="1:17" s="11" customFormat="1" ht="13.5">
      <c r="A385" s="16" t="s">
        <v>533</v>
      </c>
      <c r="B385" s="64" t="s">
        <v>32</v>
      </c>
      <c r="C385" s="65" t="s">
        <v>31</v>
      </c>
      <c r="D385" s="74" t="s">
        <v>33</v>
      </c>
      <c r="E385" s="57">
        <f t="shared" si="53"/>
        <v>31776</v>
      </c>
      <c r="F385" s="19">
        <f>F387</f>
        <v>31776</v>
      </c>
      <c r="G385" s="19">
        <f>G387</f>
        <v>0</v>
      </c>
      <c r="H385" s="19">
        <f>H387</f>
        <v>0</v>
      </c>
      <c r="I385" s="19">
        <f>I387</f>
        <v>0</v>
      </c>
      <c r="J385" s="57">
        <f t="shared" si="54"/>
        <v>0</v>
      </c>
      <c r="K385" s="19">
        <f>K387</f>
        <v>0</v>
      </c>
      <c r="L385" s="19">
        <f>L387</f>
        <v>0</v>
      </c>
      <c r="M385" s="19">
        <f>M387</f>
        <v>0</v>
      </c>
      <c r="N385" s="19">
        <f>N387</f>
        <v>0</v>
      </c>
      <c r="O385" s="19">
        <f>O387</f>
        <v>0</v>
      </c>
      <c r="P385" s="19">
        <f t="shared" si="56"/>
        <v>31776</v>
      </c>
      <c r="Q385" s="110"/>
    </row>
    <row r="386" spans="1:16" s="47" customFormat="1" ht="13.5">
      <c r="A386" s="42"/>
      <c r="B386" s="43"/>
      <c r="C386" s="44"/>
      <c r="D386" s="96" t="s">
        <v>488</v>
      </c>
      <c r="E386" s="58"/>
      <c r="F386" s="46"/>
      <c r="G386" s="46"/>
      <c r="H386" s="46"/>
      <c r="I386" s="46"/>
      <c r="J386" s="58"/>
      <c r="K386" s="46"/>
      <c r="L386" s="46"/>
      <c r="M386" s="46"/>
      <c r="N386" s="46"/>
      <c r="O386" s="46"/>
      <c r="P386" s="20"/>
    </row>
    <row r="387" spans="1:16" s="47" customFormat="1" ht="35.25" customHeight="1">
      <c r="A387" s="42"/>
      <c r="B387" s="43"/>
      <c r="C387" s="44"/>
      <c r="D387" s="115" t="s">
        <v>491</v>
      </c>
      <c r="E387" s="61">
        <f>F387+I387</f>
        <v>31776</v>
      </c>
      <c r="F387" s="46">
        <v>31776</v>
      </c>
      <c r="G387" s="46">
        <v>0</v>
      </c>
      <c r="H387" s="46">
        <v>0</v>
      </c>
      <c r="I387" s="46">
        <v>0</v>
      </c>
      <c r="J387" s="61">
        <f>K387+N387</f>
        <v>0</v>
      </c>
      <c r="K387" s="46">
        <v>0</v>
      </c>
      <c r="L387" s="46">
        <v>0</v>
      </c>
      <c r="M387" s="46">
        <v>0</v>
      </c>
      <c r="N387" s="46">
        <v>0</v>
      </c>
      <c r="O387" s="46">
        <v>0</v>
      </c>
      <c r="P387" s="45">
        <f>E387+J387</f>
        <v>31776</v>
      </c>
    </row>
    <row r="388" spans="1:17" s="100" customFormat="1" ht="38.25" customHeight="1">
      <c r="A388" s="66" t="s">
        <v>376</v>
      </c>
      <c r="B388" s="67"/>
      <c r="C388" s="68"/>
      <c r="D388" s="72" t="s">
        <v>377</v>
      </c>
      <c r="E388" s="69">
        <f t="shared" si="53"/>
        <v>45067962</v>
      </c>
      <c r="F388" s="70">
        <f>F389</f>
        <v>1067962</v>
      </c>
      <c r="G388" s="70">
        <f>G389</f>
        <v>515479</v>
      </c>
      <c r="H388" s="70">
        <f>H389</f>
        <v>31684</v>
      </c>
      <c r="I388" s="70">
        <f>I389</f>
        <v>44000000</v>
      </c>
      <c r="J388" s="69">
        <f t="shared" si="54"/>
        <v>5215000</v>
      </c>
      <c r="K388" s="70">
        <f>K389</f>
        <v>15000</v>
      </c>
      <c r="L388" s="70">
        <f>L389</f>
        <v>0</v>
      </c>
      <c r="M388" s="70">
        <f>M389</f>
        <v>0</v>
      </c>
      <c r="N388" s="70">
        <f>N389</f>
        <v>5200000</v>
      </c>
      <c r="O388" s="70">
        <f>O389</f>
        <v>5200000</v>
      </c>
      <c r="P388" s="70">
        <f t="shared" si="56"/>
        <v>50282962</v>
      </c>
      <c r="Q388" s="120"/>
    </row>
    <row r="389" spans="1:16" s="101" customFormat="1" ht="27">
      <c r="A389" s="27" t="s">
        <v>378</v>
      </c>
      <c r="B389" s="28"/>
      <c r="C389" s="29"/>
      <c r="D389" s="78" t="s">
        <v>379</v>
      </c>
      <c r="E389" s="58">
        <f t="shared" si="53"/>
        <v>45067962</v>
      </c>
      <c r="F389" s="20">
        <f>F390+F391+F392+F393+F394</f>
        <v>1067962</v>
      </c>
      <c r="G389" s="20">
        <f>G390+G391+G392+G393+G394</f>
        <v>515479</v>
      </c>
      <c r="H389" s="20">
        <f>H390+H391+H392+H393+H394</f>
        <v>31684</v>
      </c>
      <c r="I389" s="20">
        <f>I390+I391+I392+I393+I394</f>
        <v>44000000</v>
      </c>
      <c r="J389" s="58">
        <f t="shared" si="54"/>
        <v>5215000</v>
      </c>
      <c r="K389" s="20">
        <f>K390+K391+K392+K393+K394</f>
        <v>15000</v>
      </c>
      <c r="L389" s="20">
        <f>L390+L391+L392+L393+L394</f>
        <v>0</v>
      </c>
      <c r="M389" s="20">
        <f>M390+M391+M392+M393+M394</f>
        <v>0</v>
      </c>
      <c r="N389" s="20">
        <f>N390+N391+N392+N393+N394</f>
        <v>5200000</v>
      </c>
      <c r="O389" s="20">
        <f>O390+O391+O392+O393+O394</f>
        <v>5200000</v>
      </c>
      <c r="P389" s="20">
        <f t="shared" si="56"/>
        <v>50282962</v>
      </c>
    </row>
    <row r="390" spans="1:17" s="11" customFormat="1" ht="27">
      <c r="A390" s="3" t="s">
        <v>380</v>
      </c>
      <c r="B390" s="30" t="s">
        <v>35</v>
      </c>
      <c r="C390" s="30" t="s">
        <v>20</v>
      </c>
      <c r="D390" s="73" t="s">
        <v>539</v>
      </c>
      <c r="E390" s="58">
        <f t="shared" si="53"/>
        <v>867962</v>
      </c>
      <c r="F390" s="21">
        <v>867962</v>
      </c>
      <c r="G390" s="21">
        <v>515479</v>
      </c>
      <c r="H390" s="21">
        <v>31684</v>
      </c>
      <c r="I390" s="21">
        <v>0</v>
      </c>
      <c r="J390" s="58">
        <f t="shared" si="54"/>
        <v>0</v>
      </c>
      <c r="K390" s="21">
        <v>0</v>
      </c>
      <c r="L390" s="21">
        <v>0</v>
      </c>
      <c r="M390" s="21">
        <v>0</v>
      </c>
      <c r="N390" s="21">
        <v>0</v>
      </c>
      <c r="O390" s="21">
        <v>0</v>
      </c>
      <c r="P390" s="20">
        <f>E390+J390</f>
        <v>867962</v>
      </c>
      <c r="Q390" s="110"/>
    </row>
    <row r="391" spans="1:16" s="11" customFormat="1" ht="13.5">
      <c r="A391" s="3" t="s">
        <v>381</v>
      </c>
      <c r="B391" s="5" t="s">
        <v>383</v>
      </c>
      <c r="C391" s="4" t="s">
        <v>382</v>
      </c>
      <c r="D391" s="73" t="s">
        <v>384</v>
      </c>
      <c r="E391" s="58">
        <f t="shared" si="53"/>
        <v>44000000</v>
      </c>
      <c r="F391" s="21">
        <v>0</v>
      </c>
      <c r="G391" s="21">
        <v>0</v>
      </c>
      <c r="H391" s="21">
        <v>0</v>
      </c>
      <c r="I391" s="21">
        <f>34000000+10000000</f>
        <v>44000000</v>
      </c>
      <c r="J391" s="58">
        <f t="shared" si="54"/>
        <v>0</v>
      </c>
      <c r="K391" s="21">
        <v>0</v>
      </c>
      <c r="L391" s="21">
        <v>0</v>
      </c>
      <c r="M391" s="21">
        <v>0</v>
      </c>
      <c r="N391" s="21">
        <v>0</v>
      </c>
      <c r="O391" s="21">
        <v>0</v>
      </c>
      <c r="P391" s="20">
        <f>E391+J391</f>
        <v>44000000</v>
      </c>
    </row>
    <row r="392" spans="1:16" s="11" customFormat="1" ht="27">
      <c r="A392" s="3" t="s">
        <v>385</v>
      </c>
      <c r="B392" s="5" t="s">
        <v>387</v>
      </c>
      <c r="C392" s="4" t="s">
        <v>386</v>
      </c>
      <c r="D392" s="73" t="s">
        <v>388</v>
      </c>
      <c r="E392" s="58">
        <f t="shared" si="53"/>
        <v>200000</v>
      </c>
      <c r="F392" s="21">
        <v>200000</v>
      </c>
      <c r="G392" s="21">
        <v>0</v>
      </c>
      <c r="H392" s="21">
        <v>0</v>
      </c>
      <c r="I392" s="21">
        <v>0</v>
      </c>
      <c r="J392" s="58">
        <f t="shared" si="54"/>
        <v>0</v>
      </c>
      <c r="K392" s="21">
        <v>0</v>
      </c>
      <c r="L392" s="21">
        <v>0</v>
      </c>
      <c r="M392" s="21">
        <v>0</v>
      </c>
      <c r="N392" s="21">
        <v>0</v>
      </c>
      <c r="O392" s="21">
        <v>0</v>
      </c>
      <c r="P392" s="20">
        <f>E392+J392</f>
        <v>200000</v>
      </c>
    </row>
    <row r="393" spans="1:16" s="11" customFormat="1" ht="27">
      <c r="A393" s="3" t="s">
        <v>389</v>
      </c>
      <c r="B393" s="5" t="s">
        <v>391</v>
      </c>
      <c r="C393" s="4" t="s">
        <v>390</v>
      </c>
      <c r="D393" s="73" t="s">
        <v>392</v>
      </c>
      <c r="E393" s="58">
        <f t="shared" si="53"/>
        <v>0</v>
      </c>
      <c r="F393" s="21">
        <v>0</v>
      </c>
      <c r="G393" s="21">
        <v>0</v>
      </c>
      <c r="H393" s="21">
        <v>0</v>
      </c>
      <c r="I393" s="21">
        <v>0</v>
      </c>
      <c r="J393" s="58">
        <f t="shared" si="54"/>
        <v>15000</v>
      </c>
      <c r="K393" s="21">
        <v>15000</v>
      </c>
      <c r="L393" s="21">
        <v>0</v>
      </c>
      <c r="M393" s="21">
        <v>0</v>
      </c>
      <c r="N393" s="21">
        <v>0</v>
      </c>
      <c r="O393" s="21">
        <v>0</v>
      </c>
      <c r="P393" s="20">
        <f>E393+J393</f>
        <v>15000</v>
      </c>
    </row>
    <row r="394" spans="1:18" s="11" customFormat="1" ht="27">
      <c r="A394" s="3" t="s">
        <v>393</v>
      </c>
      <c r="B394" s="5" t="s">
        <v>148</v>
      </c>
      <c r="C394" s="4" t="s">
        <v>147</v>
      </c>
      <c r="D394" s="73" t="s">
        <v>149</v>
      </c>
      <c r="E394" s="58">
        <f t="shared" si="53"/>
        <v>0</v>
      </c>
      <c r="F394" s="21">
        <v>0</v>
      </c>
      <c r="G394" s="21">
        <v>0</v>
      </c>
      <c r="H394" s="21">
        <v>0</v>
      </c>
      <c r="I394" s="21">
        <v>0</v>
      </c>
      <c r="J394" s="58">
        <f t="shared" si="54"/>
        <v>5200000</v>
      </c>
      <c r="K394" s="21">
        <v>0</v>
      </c>
      <c r="L394" s="21">
        <v>0</v>
      </c>
      <c r="M394" s="21">
        <v>0</v>
      </c>
      <c r="N394" s="21">
        <f>5000000+200000</f>
        <v>5200000</v>
      </c>
      <c r="O394" s="21">
        <f>5000000+200000</f>
        <v>5200000</v>
      </c>
      <c r="P394" s="20">
        <f>E394+J394</f>
        <v>5200000</v>
      </c>
      <c r="R394" s="110"/>
    </row>
    <row r="395" spans="1:17" s="100" customFormat="1" ht="30.75">
      <c r="A395" s="66" t="s">
        <v>394</v>
      </c>
      <c r="B395" s="67"/>
      <c r="C395" s="68"/>
      <c r="D395" s="72" t="s">
        <v>395</v>
      </c>
      <c r="E395" s="69">
        <f aca="true" t="shared" si="57" ref="E395:E408">F395+I395</f>
        <v>1696575</v>
      </c>
      <c r="F395" s="70">
        <f>F396</f>
        <v>1696575</v>
      </c>
      <c r="G395" s="70">
        <f>G396</f>
        <v>952669</v>
      </c>
      <c r="H395" s="70">
        <f>H396</f>
        <v>72110</v>
      </c>
      <c r="I395" s="70">
        <f>I396</f>
        <v>0</v>
      </c>
      <c r="J395" s="69">
        <f t="shared" si="54"/>
        <v>2230155</v>
      </c>
      <c r="K395" s="70">
        <f>K396</f>
        <v>0</v>
      </c>
      <c r="L395" s="70">
        <f>L396</f>
        <v>0</v>
      </c>
      <c r="M395" s="70">
        <f>M396</f>
        <v>0</v>
      </c>
      <c r="N395" s="70">
        <f>N396</f>
        <v>2230155</v>
      </c>
      <c r="O395" s="70">
        <f>O396</f>
        <v>2230155</v>
      </c>
      <c r="P395" s="70">
        <f aca="true" t="shared" si="58" ref="P395:P420">E395+J395</f>
        <v>3926730</v>
      </c>
      <c r="Q395" s="120"/>
    </row>
    <row r="396" spans="1:16" s="101" customFormat="1" ht="41.25">
      <c r="A396" s="27" t="s">
        <v>396</v>
      </c>
      <c r="B396" s="28"/>
      <c r="C396" s="29"/>
      <c r="D396" s="78" t="s">
        <v>397</v>
      </c>
      <c r="E396" s="58">
        <f t="shared" si="57"/>
        <v>1696575</v>
      </c>
      <c r="F396" s="20">
        <f>F397+F398+F399</f>
        <v>1696575</v>
      </c>
      <c r="G396" s="20">
        <f>G397+G398+G399</f>
        <v>952669</v>
      </c>
      <c r="H396" s="20">
        <f>H397+H398+H399</f>
        <v>72110</v>
      </c>
      <c r="I396" s="20">
        <f>I397+I398+I399</f>
        <v>0</v>
      </c>
      <c r="J396" s="58">
        <f t="shared" si="54"/>
        <v>2230155</v>
      </c>
      <c r="K396" s="20">
        <f>K397+K398+K399</f>
        <v>0</v>
      </c>
      <c r="L396" s="20">
        <f>L397+L398+L399</f>
        <v>0</v>
      </c>
      <c r="M396" s="20">
        <f>M397+M398+M399</f>
        <v>0</v>
      </c>
      <c r="N396" s="20">
        <f>N397+N398+N399</f>
        <v>2230155</v>
      </c>
      <c r="O396" s="20">
        <f>O397+O398+O399</f>
        <v>2230155</v>
      </c>
      <c r="P396" s="20">
        <f t="shared" si="58"/>
        <v>3926730</v>
      </c>
    </row>
    <row r="397" spans="1:18" s="11" customFormat="1" ht="27">
      <c r="A397" s="3" t="s">
        <v>398</v>
      </c>
      <c r="B397" s="30" t="s">
        <v>35</v>
      </c>
      <c r="C397" s="30" t="s">
        <v>20</v>
      </c>
      <c r="D397" s="73" t="s">
        <v>539</v>
      </c>
      <c r="E397" s="58">
        <f t="shared" si="57"/>
        <v>1532075</v>
      </c>
      <c r="F397" s="21">
        <f>1480130+51945</f>
        <v>1532075</v>
      </c>
      <c r="G397" s="21">
        <v>952669</v>
      </c>
      <c r="H397" s="21">
        <f>62110+10000</f>
        <v>72110</v>
      </c>
      <c r="I397" s="21">
        <v>0</v>
      </c>
      <c r="J397" s="58">
        <f t="shared" si="54"/>
        <v>76000</v>
      </c>
      <c r="K397" s="21">
        <v>0</v>
      </c>
      <c r="L397" s="21">
        <v>0</v>
      </c>
      <c r="M397" s="21">
        <v>0</v>
      </c>
      <c r="N397" s="21">
        <v>76000</v>
      </c>
      <c r="O397" s="21">
        <v>76000</v>
      </c>
      <c r="P397" s="20">
        <f t="shared" si="58"/>
        <v>1608075</v>
      </c>
      <c r="Q397" s="110"/>
      <c r="R397" s="110"/>
    </row>
    <row r="398" spans="1:19" s="11" customFormat="1" ht="69">
      <c r="A398" s="3" t="s">
        <v>521</v>
      </c>
      <c r="B398" s="30" t="s">
        <v>522</v>
      </c>
      <c r="C398" s="4" t="s">
        <v>39</v>
      </c>
      <c r="D398" s="97" t="s">
        <v>520</v>
      </c>
      <c r="E398" s="58">
        <f t="shared" si="57"/>
        <v>0</v>
      </c>
      <c r="F398" s="21">
        <v>0</v>
      </c>
      <c r="G398" s="21">
        <v>0</v>
      </c>
      <c r="H398" s="21">
        <v>0</v>
      </c>
      <c r="I398" s="21">
        <v>0</v>
      </c>
      <c r="J398" s="58">
        <f t="shared" si="54"/>
        <v>2118655</v>
      </c>
      <c r="K398" s="21">
        <v>0</v>
      </c>
      <c r="L398" s="21">
        <v>0</v>
      </c>
      <c r="M398" s="21">
        <v>0</v>
      </c>
      <c r="N398" s="21">
        <f>2370600-251945</f>
        <v>2118655</v>
      </c>
      <c r="O398" s="21">
        <f>2370600-251945</f>
        <v>2118655</v>
      </c>
      <c r="P398" s="20">
        <f t="shared" si="58"/>
        <v>2118655</v>
      </c>
      <c r="Q398" s="110"/>
      <c r="S398" s="110"/>
    </row>
    <row r="399" spans="1:16" s="11" customFormat="1" ht="41.25">
      <c r="A399" s="3" t="s">
        <v>399</v>
      </c>
      <c r="B399" s="5" t="s">
        <v>401</v>
      </c>
      <c r="C399" s="4" t="s">
        <v>400</v>
      </c>
      <c r="D399" s="73" t="s">
        <v>402</v>
      </c>
      <c r="E399" s="58">
        <f t="shared" si="57"/>
        <v>164500</v>
      </c>
      <c r="F399" s="21">
        <f>200000-35500</f>
        <v>164500</v>
      </c>
      <c r="G399" s="21">
        <v>0</v>
      </c>
      <c r="H399" s="21">
        <v>0</v>
      </c>
      <c r="I399" s="21">
        <v>0</v>
      </c>
      <c r="J399" s="58">
        <f t="shared" si="54"/>
        <v>35500</v>
      </c>
      <c r="K399" s="21">
        <v>0</v>
      </c>
      <c r="L399" s="21">
        <v>0</v>
      </c>
      <c r="M399" s="21">
        <v>0</v>
      </c>
      <c r="N399" s="21">
        <f>0+35500</f>
        <v>35500</v>
      </c>
      <c r="O399" s="21">
        <f>0+35500</f>
        <v>35500</v>
      </c>
      <c r="P399" s="20">
        <f t="shared" si="58"/>
        <v>200000</v>
      </c>
    </row>
    <row r="400" spans="1:17" s="100" customFormat="1" ht="24" customHeight="1">
      <c r="A400" s="66" t="s">
        <v>403</v>
      </c>
      <c r="B400" s="67"/>
      <c r="C400" s="68"/>
      <c r="D400" s="72" t="s">
        <v>404</v>
      </c>
      <c r="E400" s="69">
        <f t="shared" si="57"/>
        <v>2727813</v>
      </c>
      <c r="F400" s="70">
        <f>F401</f>
        <v>2727813</v>
      </c>
      <c r="G400" s="70">
        <f aca="true" t="shared" si="59" ref="G400:O400">G401</f>
        <v>1642036</v>
      </c>
      <c r="H400" s="70">
        <f t="shared" si="59"/>
        <v>105320</v>
      </c>
      <c r="I400" s="70">
        <f t="shared" si="59"/>
        <v>0</v>
      </c>
      <c r="J400" s="69">
        <f t="shared" si="54"/>
        <v>400000</v>
      </c>
      <c r="K400" s="70">
        <f t="shared" si="59"/>
        <v>0</v>
      </c>
      <c r="L400" s="70">
        <f t="shared" si="59"/>
        <v>0</v>
      </c>
      <c r="M400" s="70">
        <f t="shared" si="59"/>
        <v>0</v>
      </c>
      <c r="N400" s="70">
        <f t="shared" si="59"/>
        <v>400000</v>
      </c>
      <c r="O400" s="70">
        <f t="shared" si="59"/>
        <v>400000</v>
      </c>
      <c r="P400" s="70">
        <f t="shared" si="58"/>
        <v>3127813</v>
      </c>
      <c r="Q400" s="120"/>
    </row>
    <row r="401" spans="1:16" s="101" customFormat="1" ht="27">
      <c r="A401" s="27" t="s">
        <v>405</v>
      </c>
      <c r="B401" s="28"/>
      <c r="C401" s="29"/>
      <c r="D401" s="78" t="s">
        <v>406</v>
      </c>
      <c r="E401" s="58">
        <f t="shared" si="57"/>
        <v>2727813</v>
      </c>
      <c r="F401" s="20">
        <f>F402+F403+F404</f>
        <v>2727813</v>
      </c>
      <c r="G401" s="20">
        <f>G402+G403+G404</f>
        <v>1642036</v>
      </c>
      <c r="H401" s="20">
        <f>H402+H403+H404</f>
        <v>105320</v>
      </c>
      <c r="I401" s="20">
        <f>I402+I403+I404</f>
        <v>0</v>
      </c>
      <c r="J401" s="58">
        <f t="shared" si="54"/>
        <v>400000</v>
      </c>
      <c r="K401" s="20">
        <f>K402+K403+K404</f>
        <v>0</v>
      </c>
      <c r="L401" s="20">
        <f>L402+L403+L404</f>
        <v>0</v>
      </c>
      <c r="M401" s="20">
        <f>M402+M403+M404</f>
        <v>0</v>
      </c>
      <c r="N401" s="20">
        <f>N402+N403+N404</f>
        <v>400000</v>
      </c>
      <c r="O401" s="20">
        <f>O402+O403+O404</f>
        <v>400000</v>
      </c>
      <c r="P401" s="20">
        <f t="shared" si="58"/>
        <v>3127813</v>
      </c>
    </row>
    <row r="402" spans="1:17" s="11" customFormat="1" ht="27">
      <c r="A402" s="3" t="s">
        <v>407</v>
      </c>
      <c r="B402" s="30" t="s">
        <v>35</v>
      </c>
      <c r="C402" s="30" t="s">
        <v>20</v>
      </c>
      <c r="D402" s="73" t="s">
        <v>539</v>
      </c>
      <c r="E402" s="58">
        <f t="shared" si="57"/>
        <v>2422813</v>
      </c>
      <c r="F402" s="21">
        <v>2422813</v>
      </c>
      <c r="G402" s="21">
        <v>1642036</v>
      </c>
      <c r="H402" s="21">
        <v>105320</v>
      </c>
      <c r="I402" s="21">
        <v>0</v>
      </c>
      <c r="J402" s="58">
        <f t="shared" si="54"/>
        <v>400000</v>
      </c>
      <c r="K402" s="21">
        <v>0</v>
      </c>
      <c r="L402" s="21">
        <v>0</v>
      </c>
      <c r="M402" s="21">
        <v>0</v>
      </c>
      <c r="N402" s="21">
        <f>400000</f>
        <v>400000</v>
      </c>
      <c r="O402" s="21">
        <f>400000</f>
        <v>400000</v>
      </c>
      <c r="P402" s="20">
        <f t="shared" si="58"/>
        <v>2822813</v>
      </c>
      <c r="Q402" s="110"/>
    </row>
    <row r="403" spans="1:16" s="11" customFormat="1" ht="13.5">
      <c r="A403" s="3" t="s">
        <v>408</v>
      </c>
      <c r="B403" s="5" t="s">
        <v>410</v>
      </c>
      <c r="C403" s="4" t="s">
        <v>409</v>
      </c>
      <c r="D403" s="73" t="s">
        <v>411</v>
      </c>
      <c r="E403" s="58">
        <f t="shared" si="57"/>
        <v>285000</v>
      </c>
      <c r="F403" s="21">
        <v>285000</v>
      </c>
      <c r="G403" s="21">
        <v>0</v>
      </c>
      <c r="H403" s="21">
        <v>0</v>
      </c>
      <c r="I403" s="21">
        <v>0</v>
      </c>
      <c r="J403" s="58">
        <f t="shared" si="54"/>
        <v>0</v>
      </c>
      <c r="K403" s="21">
        <v>0</v>
      </c>
      <c r="L403" s="21">
        <v>0</v>
      </c>
      <c r="M403" s="21">
        <v>0</v>
      </c>
      <c r="N403" s="21">
        <v>0</v>
      </c>
      <c r="O403" s="21">
        <v>0</v>
      </c>
      <c r="P403" s="20">
        <f t="shared" si="58"/>
        <v>285000</v>
      </c>
    </row>
    <row r="404" spans="1:16" s="116" customFormat="1" ht="13.5">
      <c r="A404" s="16" t="s">
        <v>552</v>
      </c>
      <c r="B404" s="64" t="s">
        <v>32</v>
      </c>
      <c r="C404" s="65" t="s">
        <v>31</v>
      </c>
      <c r="D404" s="74" t="s">
        <v>33</v>
      </c>
      <c r="E404" s="57">
        <f t="shared" si="57"/>
        <v>20000</v>
      </c>
      <c r="F404" s="19">
        <f>F406</f>
        <v>20000</v>
      </c>
      <c r="G404" s="19">
        <f>G406</f>
        <v>0</v>
      </c>
      <c r="H404" s="19">
        <f>H406</f>
        <v>0</v>
      </c>
      <c r="I404" s="19">
        <f>I406</f>
        <v>0</v>
      </c>
      <c r="J404" s="57">
        <f t="shared" si="54"/>
        <v>0</v>
      </c>
      <c r="K404" s="19">
        <f>K406</f>
        <v>0</v>
      </c>
      <c r="L404" s="19">
        <f>L406</f>
        <v>0</v>
      </c>
      <c r="M404" s="19">
        <f>M406</f>
        <v>0</v>
      </c>
      <c r="N404" s="19">
        <f>N406</f>
        <v>0</v>
      </c>
      <c r="O404" s="19">
        <f>O406</f>
        <v>0</v>
      </c>
      <c r="P404" s="19">
        <f t="shared" si="58"/>
        <v>20000</v>
      </c>
    </row>
    <row r="405" spans="1:16" s="47" customFormat="1" ht="13.5">
      <c r="A405" s="42"/>
      <c r="B405" s="43"/>
      <c r="C405" s="44"/>
      <c r="D405" s="96" t="s">
        <v>488</v>
      </c>
      <c r="E405" s="58"/>
      <c r="F405" s="46"/>
      <c r="G405" s="46"/>
      <c r="H405" s="46"/>
      <c r="I405" s="46"/>
      <c r="J405" s="58"/>
      <c r="K405" s="46"/>
      <c r="L405" s="46"/>
      <c r="M405" s="46"/>
      <c r="N405" s="46"/>
      <c r="O405" s="46"/>
      <c r="P405" s="20"/>
    </row>
    <row r="406" spans="1:16" s="47" customFormat="1" ht="36.75" customHeight="1">
      <c r="A406" s="129"/>
      <c r="B406" s="130"/>
      <c r="C406" s="126"/>
      <c r="D406" s="127" t="s">
        <v>554</v>
      </c>
      <c r="E406" s="61">
        <f>F406+I406</f>
        <v>20000</v>
      </c>
      <c r="F406" s="46">
        <v>20000</v>
      </c>
      <c r="G406" s="46">
        <v>0</v>
      </c>
      <c r="H406" s="46">
        <v>0</v>
      </c>
      <c r="I406" s="46">
        <v>0</v>
      </c>
      <c r="J406" s="61">
        <f>K406+N406</f>
        <v>0</v>
      </c>
      <c r="K406" s="46">
        <v>0</v>
      </c>
      <c r="L406" s="46">
        <v>0</v>
      </c>
      <c r="M406" s="46">
        <v>0</v>
      </c>
      <c r="N406" s="46">
        <v>0</v>
      </c>
      <c r="O406" s="46">
        <v>0</v>
      </c>
      <c r="P406" s="45">
        <f>E406+J406</f>
        <v>20000</v>
      </c>
    </row>
    <row r="407" spans="1:17" s="100" customFormat="1" ht="22.5" customHeight="1">
      <c r="A407" s="66" t="s">
        <v>412</v>
      </c>
      <c r="B407" s="67"/>
      <c r="C407" s="68"/>
      <c r="D407" s="72" t="s">
        <v>413</v>
      </c>
      <c r="E407" s="69">
        <f t="shared" si="57"/>
        <v>3556957</v>
      </c>
      <c r="F407" s="70">
        <f>F408</f>
        <v>3556957</v>
      </c>
      <c r="G407" s="70">
        <f aca="true" t="shared" si="60" ref="G407:I408">G408</f>
        <v>2175326</v>
      </c>
      <c r="H407" s="70">
        <f t="shared" si="60"/>
        <v>169244</v>
      </c>
      <c r="I407" s="70">
        <f t="shared" si="60"/>
        <v>0</v>
      </c>
      <c r="J407" s="69">
        <f t="shared" si="54"/>
        <v>1181020</v>
      </c>
      <c r="K407" s="70">
        <f>K408</f>
        <v>0</v>
      </c>
      <c r="L407" s="70">
        <f aca="true" t="shared" si="61" ref="L407:O408">L408</f>
        <v>0</v>
      </c>
      <c r="M407" s="70">
        <f t="shared" si="61"/>
        <v>0</v>
      </c>
      <c r="N407" s="70">
        <f t="shared" si="61"/>
        <v>1181020</v>
      </c>
      <c r="O407" s="70">
        <f t="shared" si="61"/>
        <v>1181020</v>
      </c>
      <c r="P407" s="70">
        <f>E407+J407</f>
        <v>4737977</v>
      </c>
      <c r="Q407" s="120"/>
    </row>
    <row r="408" spans="1:16" s="101" customFormat="1" ht="13.5">
      <c r="A408" s="27" t="s">
        <v>414</v>
      </c>
      <c r="B408" s="28"/>
      <c r="C408" s="29"/>
      <c r="D408" s="98" t="s">
        <v>477</v>
      </c>
      <c r="E408" s="58">
        <f t="shared" si="57"/>
        <v>3556957</v>
      </c>
      <c r="F408" s="20">
        <f>F409</f>
        <v>3556957</v>
      </c>
      <c r="G408" s="20">
        <f t="shared" si="60"/>
        <v>2175326</v>
      </c>
      <c r="H408" s="20">
        <f t="shared" si="60"/>
        <v>169244</v>
      </c>
      <c r="I408" s="20">
        <f t="shared" si="60"/>
        <v>0</v>
      </c>
      <c r="J408" s="58">
        <f t="shared" si="54"/>
        <v>1181020</v>
      </c>
      <c r="K408" s="20">
        <f>K409</f>
        <v>0</v>
      </c>
      <c r="L408" s="20">
        <f t="shared" si="61"/>
        <v>0</v>
      </c>
      <c r="M408" s="20">
        <f t="shared" si="61"/>
        <v>0</v>
      </c>
      <c r="N408" s="20">
        <f t="shared" si="61"/>
        <v>1181020</v>
      </c>
      <c r="O408" s="20">
        <f t="shared" si="61"/>
        <v>1181020</v>
      </c>
      <c r="P408" s="20">
        <f t="shared" si="58"/>
        <v>4737977</v>
      </c>
    </row>
    <row r="409" spans="1:17" s="11" customFormat="1" ht="27">
      <c r="A409" s="3" t="s">
        <v>415</v>
      </c>
      <c r="B409" s="30" t="s">
        <v>35</v>
      </c>
      <c r="C409" s="30" t="s">
        <v>20</v>
      </c>
      <c r="D409" s="73" t="s">
        <v>539</v>
      </c>
      <c r="E409" s="58">
        <f>F409+I409</f>
        <v>3556957</v>
      </c>
      <c r="F409" s="21">
        <f>3237977+210000+108980</f>
        <v>3556957</v>
      </c>
      <c r="G409" s="21">
        <v>2175326</v>
      </c>
      <c r="H409" s="21">
        <v>169244</v>
      </c>
      <c r="I409" s="21">
        <v>0</v>
      </c>
      <c r="J409" s="58">
        <f>K409+N409</f>
        <v>1181020</v>
      </c>
      <c r="K409" s="21">
        <v>0</v>
      </c>
      <c r="L409" s="21">
        <v>0</v>
      </c>
      <c r="M409" s="21">
        <v>0</v>
      </c>
      <c r="N409" s="21">
        <f>1290000-108980</f>
        <v>1181020</v>
      </c>
      <c r="O409" s="21">
        <f>1290000-108980</f>
        <v>1181020</v>
      </c>
      <c r="P409" s="20">
        <f t="shared" si="58"/>
        <v>4737977</v>
      </c>
      <c r="Q409" s="110"/>
    </row>
    <row r="410" spans="1:17" s="100" customFormat="1" ht="51.75" customHeight="1">
      <c r="A410" s="66" t="s">
        <v>416</v>
      </c>
      <c r="B410" s="67"/>
      <c r="C410" s="68"/>
      <c r="D410" s="72" t="s">
        <v>528</v>
      </c>
      <c r="E410" s="69">
        <f>F410+I410</f>
        <v>22518880.330000002</v>
      </c>
      <c r="F410" s="70">
        <f>F411</f>
        <v>22518880.330000002</v>
      </c>
      <c r="G410" s="70">
        <f>G411</f>
        <v>0</v>
      </c>
      <c r="H410" s="70">
        <f>H411</f>
        <v>0</v>
      </c>
      <c r="I410" s="70">
        <f>I411</f>
        <v>0</v>
      </c>
      <c r="J410" s="69">
        <f>K410+N410</f>
        <v>92000</v>
      </c>
      <c r="K410" s="70">
        <f>K411</f>
        <v>0</v>
      </c>
      <c r="L410" s="70">
        <f>L411</f>
        <v>0</v>
      </c>
      <c r="M410" s="70">
        <f>M411</f>
        <v>0</v>
      </c>
      <c r="N410" s="70">
        <f>N411</f>
        <v>92000</v>
      </c>
      <c r="O410" s="70">
        <f>O411</f>
        <v>92000</v>
      </c>
      <c r="P410" s="70">
        <f t="shared" si="58"/>
        <v>22610880.330000002</v>
      </c>
      <c r="Q410" s="125"/>
    </row>
    <row r="411" spans="1:16" s="101" customFormat="1" ht="45" customHeight="1">
      <c r="A411" s="27" t="s">
        <v>417</v>
      </c>
      <c r="B411" s="28"/>
      <c r="C411" s="29"/>
      <c r="D411" s="78" t="s">
        <v>529</v>
      </c>
      <c r="E411" s="58">
        <f>F411+I411</f>
        <v>22518880.330000002</v>
      </c>
      <c r="F411" s="20">
        <f>F412+F414+F415+F419+F420</f>
        <v>22518880.330000002</v>
      </c>
      <c r="G411" s="20">
        <f>G412+G414+G415+G419+G420</f>
        <v>0</v>
      </c>
      <c r="H411" s="20">
        <f>H412+H414+H415+H419+H420</f>
        <v>0</v>
      </c>
      <c r="I411" s="20">
        <f>I412+I414+I415+I419+I420</f>
        <v>0</v>
      </c>
      <c r="J411" s="58">
        <f>K411+N411</f>
        <v>92000</v>
      </c>
      <c r="K411" s="20">
        <f>K412+K414+K415+K419+K420</f>
        <v>0</v>
      </c>
      <c r="L411" s="20">
        <f>L412+L414+L415+L419+L420</f>
        <v>0</v>
      </c>
      <c r="M411" s="20">
        <f>M412+M414+M415+M419+M420</f>
        <v>0</v>
      </c>
      <c r="N411" s="20">
        <f>N412+N414+N415+N419+N420</f>
        <v>92000</v>
      </c>
      <c r="O411" s="20">
        <f>O412+O414+O415+O419+O420</f>
        <v>92000</v>
      </c>
      <c r="P411" s="20">
        <f t="shared" si="58"/>
        <v>22610880.330000002</v>
      </c>
    </row>
    <row r="412" spans="1:17" s="11" customFormat="1" ht="241.5" customHeight="1">
      <c r="A412" s="3" t="s">
        <v>566</v>
      </c>
      <c r="B412" s="30" t="s">
        <v>567</v>
      </c>
      <c r="C412" s="30" t="s">
        <v>568</v>
      </c>
      <c r="D412" s="97" t="s">
        <v>569</v>
      </c>
      <c r="E412" s="58">
        <f>F412+I412</f>
        <v>16900000</v>
      </c>
      <c r="F412" s="21">
        <v>16900000</v>
      </c>
      <c r="G412" s="21"/>
      <c r="H412" s="21"/>
      <c r="I412" s="21"/>
      <c r="J412" s="58">
        <f>K412+N412</f>
        <v>0</v>
      </c>
      <c r="K412" s="21"/>
      <c r="L412" s="21"/>
      <c r="M412" s="21"/>
      <c r="N412" s="21"/>
      <c r="O412" s="21"/>
      <c r="P412" s="20">
        <f>E412+J412</f>
        <v>16900000</v>
      </c>
      <c r="Q412" s="110"/>
    </row>
    <row r="413" spans="1:17" s="47" customFormat="1" ht="276" customHeight="1">
      <c r="A413" s="42"/>
      <c r="B413" s="128"/>
      <c r="C413" s="128"/>
      <c r="D413" s="115" t="s">
        <v>570</v>
      </c>
      <c r="E413" s="61">
        <f>F413+I413</f>
        <v>16900000</v>
      </c>
      <c r="F413" s="46">
        <v>16900000</v>
      </c>
      <c r="G413" s="46"/>
      <c r="H413" s="46"/>
      <c r="I413" s="46"/>
      <c r="J413" s="61">
        <f>K413+N413</f>
        <v>0</v>
      </c>
      <c r="K413" s="46"/>
      <c r="L413" s="46"/>
      <c r="M413" s="46"/>
      <c r="N413" s="46"/>
      <c r="O413" s="46"/>
      <c r="P413" s="45">
        <f>E413+J413</f>
        <v>16900000</v>
      </c>
      <c r="Q413" s="132"/>
    </row>
    <row r="414" spans="1:17" s="11" customFormat="1" ht="21" customHeight="1">
      <c r="A414" s="3" t="s">
        <v>418</v>
      </c>
      <c r="B414" s="5" t="s">
        <v>419</v>
      </c>
      <c r="C414" s="4" t="s">
        <v>31</v>
      </c>
      <c r="D414" s="73" t="s">
        <v>420</v>
      </c>
      <c r="E414" s="58">
        <f>9000000-5674905-500000-599300-1200000-100000</f>
        <v>925795</v>
      </c>
      <c r="F414" s="21">
        <v>0</v>
      </c>
      <c r="G414" s="21">
        <v>0</v>
      </c>
      <c r="H414" s="21">
        <v>0</v>
      </c>
      <c r="I414" s="21">
        <v>0</v>
      </c>
      <c r="J414" s="58"/>
      <c r="K414" s="21">
        <v>0</v>
      </c>
      <c r="L414" s="21">
        <v>0</v>
      </c>
      <c r="M414" s="21">
        <v>0</v>
      </c>
      <c r="N414" s="21">
        <v>0</v>
      </c>
      <c r="O414" s="21">
        <v>0</v>
      </c>
      <c r="P414" s="20">
        <f t="shared" si="58"/>
        <v>925795</v>
      </c>
      <c r="Q414" s="110"/>
    </row>
    <row r="415" spans="1:17" s="41" customFormat="1" ht="13.5">
      <c r="A415" s="16" t="s">
        <v>421</v>
      </c>
      <c r="B415" s="64" t="s">
        <v>32</v>
      </c>
      <c r="C415" s="65" t="s">
        <v>31</v>
      </c>
      <c r="D415" s="74" t="s">
        <v>33</v>
      </c>
      <c r="E415" s="57">
        <f>F415+I415</f>
        <v>3510880.330000001</v>
      </c>
      <c r="F415" s="19">
        <f>17505961-6000000-47000+55000-46000-1334645.35-8000-143000-72000-60299-784332.87-1223433.77-328812.15-457211.46-10000-1000000-690036.24-7000-9000-196382-360000-141450-1131477.83</f>
        <v>3510880.330000001</v>
      </c>
      <c r="G415" s="19">
        <v>0</v>
      </c>
      <c r="H415" s="19">
        <v>0</v>
      </c>
      <c r="I415" s="19">
        <v>0</v>
      </c>
      <c r="J415" s="57">
        <f>K415+N415</f>
        <v>0</v>
      </c>
      <c r="K415" s="19">
        <v>0</v>
      </c>
      <c r="L415" s="19">
        <v>0</v>
      </c>
      <c r="M415" s="19">
        <v>0</v>
      </c>
      <c r="N415" s="19">
        <f>500000+50000-500000-50000</f>
        <v>0</v>
      </c>
      <c r="O415" s="19">
        <v>0</v>
      </c>
      <c r="P415" s="19">
        <f t="shared" si="58"/>
        <v>3510880.330000001</v>
      </c>
      <c r="Q415" s="122"/>
    </row>
    <row r="416" spans="1:16" s="47" customFormat="1" ht="13.5">
      <c r="A416" s="42"/>
      <c r="B416" s="43"/>
      <c r="C416" s="44"/>
      <c r="D416" s="96" t="s">
        <v>488</v>
      </c>
      <c r="E416" s="58"/>
      <c r="F416" s="46"/>
      <c r="G416" s="46"/>
      <c r="H416" s="46"/>
      <c r="I416" s="46"/>
      <c r="J416" s="58"/>
      <c r="K416" s="46"/>
      <c r="L416" s="46"/>
      <c r="M416" s="46"/>
      <c r="N416" s="46"/>
      <c r="O416" s="46"/>
      <c r="P416" s="20"/>
    </row>
    <row r="417" spans="1:17" s="47" customFormat="1" ht="48.75" customHeight="1">
      <c r="A417" s="42"/>
      <c r="B417" s="43"/>
      <c r="C417" s="44"/>
      <c r="D417" s="131" t="s">
        <v>517</v>
      </c>
      <c r="E417" s="61">
        <f>F417+I417</f>
        <v>411251</v>
      </c>
      <c r="F417" s="46">
        <f>900000-47000+55000-46000-8000-143000-71000-60299-1000-10000-7000-9000-141450</f>
        <v>411251</v>
      </c>
      <c r="G417" s="46"/>
      <c r="H417" s="46"/>
      <c r="I417" s="46"/>
      <c r="J417" s="61">
        <f>K417+N417</f>
        <v>0</v>
      </c>
      <c r="K417" s="46"/>
      <c r="L417" s="46"/>
      <c r="M417" s="46"/>
      <c r="N417" s="46"/>
      <c r="O417" s="46"/>
      <c r="P417" s="45">
        <f t="shared" si="58"/>
        <v>411251</v>
      </c>
      <c r="Q417" s="132"/>
    </row>
    <row r="418" spans="1:17" s="47" customFormat="1" ht="78.75" customHeight="1">
      <c r="A418" s="42"/>
      <c r="B418" s="43"/>
      <c r="C418" s="44"/>
      <c r="D418" s="115" t="s">
        <v>559</v>
      </c>
      <c r="E418" s="61">
        <f>F418+I418</f>
        <v>0</v>
      </c>
      <c r="F418" s="46"/>
      <c r="G418" s="46"/>
      <c r="H418" s="46"/>
      <c r="I418" s="46"/>
      <c r="J418" s="61">
        <f>K418+N418</f>
        <v>0</v>
      </c>
      <c r="K418" s="46"/>
      <c r="L418" s="46"/>
      <c r="M418" s="46"/>
      <c r="N418" s="46">
        <f>500000-500000</f>
        <v>0</v>
      </c>
      <c r="O418" s="46">
        <f>500000-500000</f>
        <v>0</v>
      </c>
      <c r="P418" s="45">
        <f t="shared" si="58"/>
        <v>0</v>
      </c>
      <c r="Q418" s="132"/>
    </row>
    <row r="419" spans="1:17" s="11" customFormat="1" ht="13.5">
      <c r="A419" s="3" t="s">
        <v>422</v>
      </c>
      <c r="B419" s="5" t="s">
        <v>344</v>
      </c>
      <c r="C419" s="4" t="s">
        <v>35</v>
      </c>
      <c r="D419" s="73" t="s">
        <v>345</v>
      </c>
      <c r="E419" s="58">
        <f>F419+I419</f>
        <v>0</v>
      </c>
      <c r="F419" s="21">
        <v>0</v>
      </c>
      <c r="G419" s="21">
        <v>0</v>
      </c>
      <c r="H419" s="21">
        <v>0</v>
      </c>
      <c r="I419" s="21">
        <v>0</v>
      </c>
      <c r="J419" s="58">
        <f>K419+N419</f>
        <v>0</v>
      </c>
      <c r="K419" s="21">
        <v>0</v>
      </c>
      <c r="L419" s="21">
        <v>0</v>
      </c>
      <c r="M419" s="21">
        <v>0</v>
      </c>
      <c r="N419" s="21">
        <v>0</v>
      </c>
      <c r="O419" s="21">
        <v>0</v>
      </c>
      <c r="P419" s="20">
        <f t="shared" si="58"/>
        <v>0</v>
      </c>
      <c r="Q419" s="110"/>
    </row>
    <row r="420" spans="1:17" s="11" customFormat="1" ht="68.25" customHeight="1">
      <c r="A420" s="3" t="s">
        <v>524</v>
      </c>
      <c r="B420" s="30" t="s">
        <v>526</v>
      </c>
      <c r="C420" s="4" t="s">
        <v>35</v>
      </c>
      <c r="D420" s="97" t="s">
        <v>525</v>
      </c>
      <c r="E420" s="58">
        <f>F420+I420</f>
        <v>2108000</v>
      </c>
      <c r="F420" s="21">
        <f>1608000+500000</f>
        <v>2108000</v>
      </c>
      <c r="G420" s="21"/>
      <c r="H420" s="21"/>
      <c r="I420" s="21"/>
      <c r="J420" s="58">
        <f>K420+N420</f>
        <v>92000</v>
      </c>
      <c r="K420" s="21"/>
      <c r="L420" s="21"/>
      <c r="M420" s="21"/>
      <c r="N420" s="21">
        <v>92000</v>
      </c>
      <c r="O420" s="21">
        <v>92000</v>
      </c>
      <c r="P420" s="20">
        <f t="shared" si="58"/>
        <v>2200000</v>
      </c>
      <c r="Q420" s="110"/>
    </row>
    <row r="421" spans="1:17" s="11" customFormat="1" ht="28.5" customHeight="1">
      <c r="A421" s="54"/>
      <c r="B421" s="27" t="s">
        <v>423</v>
      </c>
      <c r="C421" s="29"/>
      <c r="D421" s="98" t="s">
        <v>7</v>
      </c>
      <c r="E421" s="58">
        <f>F421+I421+E414</f>
        <v>1898256183.0099998</v>
      </c>
      <c r="F421" s="58">
        <f>F15+F24+F45+F95+F135+F294+F314+F317+F323+F329+F338+F367+F377+F388+F395+F400+F407+F410+F414</f>
        <v>1853230388.0099998</v>
      </c>
      <c r="G421" s="58">
        <f>G15+G24+G45+G95+G135+G294+G314+G317+G323+G329+G338+G367+G377+G388+G395+G400+G407+G410+G414</f>
        <v>436792022</v>
      </c>
      <c r="H421" s="58">
        <f>H15+H24+H45+H95+H135+H294+H314+H317+H323+H329+H338+H367+H377+H388+H395+H400+H407+H410+H414</f>
        <v>95110543</v>
      </c>
      <c r="I421" s="58">
        <f>I15+I24+I45+I95+I135+I294+I314+I317+I323+I329+I338+I367+I377+I388+I395+I400+I407+I410+I414</f>
        <v>44100000</v>
      </c>
      <c r="J421" s="58">
        <f>K421+N421</f>
        <v>259222923.01000002</v>
      </c>
      <c r="K421" s="58">
        <f aca="true" t="shared" si="62" ref="K421:Q421">K15+K24+K45+K95+K135+K294+K314+K317+K323+K329+K338+K367+K377+K388+K395+K400+K407+K410+K414</f>
        <v>45191778</v>
      </c>
      <c r="L421" s="58">
        <f t="shared" si="62"/>
        <v>828000</v>
      </c>
      <c r="M421" s="58">
        <f t="shared" si="62"/>
        <v>546714</v>
      </c>
      <c r="N421" s="58">
        <f t="shared" si="62"/>
        <v>214031145.01000002</v>
      </c>
      <c r="O421" s="58">
        <f t="shared" si="62"/>
        <v>207724349.21</v>
      </c>
      <c r="P421" s="58">
        <f t="shared" si="62"/>
        <v>2157479106.02</v>
      </c>
      <c r="Q421" s="58"/>
    </row>
    <row r="422" ht="13.5">
      <c r="Q422" s="110"/>
    </row>
    <row r="423" spans="1:17" s="1" customFormat="1" ht="45" customHeight="1">
      <c r="A423" s="140"/>
      <c r="B423" s="140"/>
      <c r="C423" s="140"/>
      <c r="D423" s="140"/>
      <c r="E423" s="63"/>
      <c r="I423" s="2"/>
      <c r="J423" s="63"/>
      <c r="Q423" s="110"/>
    </row>
    <row r="424" spans="1:16" s="103" customFormat="1" ht="21">
      <c r="A424" s="139" t="s">
        <v>501</v>
      </c>
      <c r="B424" s="139"/>
      <c r="C424" s="139"/>
      <c r="D424" s="139"/>
      <c r="E424" s="104"/>
      <c r="I424" s="105"/>
      <c r="J424" s="104"/>
      <c r="N424" s="141" t="s">
        <v>502</v>
      </c>
      <c r="O424" s="141"/>
      <c r="P424" s="141"/>
    </row>
    <row r="425" spans="1:16" s="1" customFormat="1" ht="27.75">
      <c r="A425" s="140"/>
      <c r="B425" s="140"/>
      <c r="C425" s="140"/>
      <c r="D425" s="140"/>
      <c r="E425" s="63"/>
      <c r="J425" s="63"/>
      <c r="N425" s="138"/>
      <c r="O425" s="138"/>
      <c r="P425" s="138"/>
    </row>
    <row r="426" spans="1:16" ht="12.75">
      <c r="A426" s="8"/>
      <c r="E426" s="114"/>
      <c r="F426" s="113"/>
      <c r="G426" s="113"/>
      <c r="H426" s="113"/>
      <c r="I426" s="113"/>
      <c r="J426" s="113"/>
      <c r="K426" s="113"/>
      <c r="L426" s="113"/>
      <c r="M426" s="113"/>
      <c r="N426" s="113"/>
      <c r="O426" s="113"/>
      <c r="P426" s="113"/>
    </row>
    <row r="427" spans="1:16" ht="12.75">
      <c r="A427" s="8"/>
      <c r="D427" s="112"/>
      <c r="E427" s="114"/>
      <c r="F427" s="113"/>
      <c r="G427" s="113"/>
      <c r="H427" s="113"/>
      <c r="I427" s="113"/>
      <c r="J427" s="113"/>
      <c r="K427" s="113"/>
      <c r="L427" s="113"/>
      <c r="M427" s="113"/>
      <c r="N427" s="113"/>
      <c r="O427" s="113"/>
      <c r="P427" s="113"/>
    </row>
    <row r="428" spans="5:16" ht="12.75">
      <c r="E428" s="114"/>
      <c r="F428" s="113"/>
      <c r="G428" s="113"/>
      <c r="H428" s="113"/>
      <c r="I428" s="113"/>
      <c r="J428" s="113"/>
      <c r="K428" s="113"/>
      <c r="L428" s="113"/>
      <c r="M428" s="113"/>
      <c r="N428" s="113"/>
      <c r="O428" s="113"/>
      <c r="P428" s="113"/>
    </row>
    <row r="429" spans="5:16" ht="12.75">
      <c r="E429" s="114"/>
      <c r="F429" s="113"/>
      <c r="G429" s="113"/>
      <c r="H429" s="113"/>
      <c r="I429" s="113"/>
      <c r="J429" s="113"/>
      <c r="K429" s="113"/>
      <c r="L429" s="113"/>
      <c r="M429" s="113"/>
      <c r="N429" s="113"/>
      <c r="O429" s="113"/>
      <c r="P429" s="113"/>
    </row>
    <row r="430" spans="5:18" ht="12.75">
      <c r="E430" s="114"/>
      <c r="F430" s="113"/>
      <c r="G430" s="113"/>
      <c r="H430" s="113"/>
      <c r="I430" s="113"/>
      <c r="J430" s="113"/>
      <c r="K430" s="113"/>
      <c r="L430" s="113"/>
      <c r="M430" s="113"/>
      <c r="N430" s="113"/>
      <c r="O430" s="113"/>
      <c r="P430" s="113"/>
      <c r="R430" s="113"/>
    </row>
    <row r="431" spans="5:16" ht="12.75">
      <c r="E431" s="114"/>
      <c r="F431" s="113"/>
      <c r="G431" s="113"/>
      <c r="H431" s="113"/>
      <c r="I431" s="113"/>
      <c r="J431" s="113"/>
      <c r="K431" s="113"/>
      <c r="L431" s="113"/>
      <c r="M431" s="113"/>
      <c r="N431" s="113"/>
      <c r="O431" s="113"/>
      <c r="P431" s="113"/>
    </row>
    <row r="432" spans="5:18" ht="12.75">
      <c r="E432" s="114"/>
      <c r="F432" s="113"/>
      <c r="G432" s="113"/>
      <c r="H432" s="113"/>
      <c r="I432" s="113"/>
      <c r="J432" s="113"/>
      <c r="K432" s="113"/>
      <c r="L432" s="113"/>
      <c r="M432" s="113"/>
      <c r="N432" s="113"/>
      <c r="O432" s="113"/>
      <c r="P432" s="113"/>
      <c r="R432" s="113"/>
    </row>
    <row r="433" spans="5:16" ht="12.75">
      <c r="E433" s="114"/>
      <c r="F433" s="114"/>
      <c r="G433" s="114"/>
      <c r="H433" s="114"/>
      <c r="I433" s="114"/>
      <c r="J433" s="114"/>
      <c r="K433" s="114"/>
      <c r="L433" s="114"/>
      <c r="M433" s="114"/>
      <c r="N433" s="114"/>
      <c r="O433" s="114"/>
      <c r="P433" s="113"/>
    </row>
    <row r="434" spans="5:16" ht="12.75">
      <c r="E434" s="114"/>
      <c r="F434" s="113"/>
      <c r="G434" s="113"/>
      <c r="H434" s="113"/>
      <c r="I434" s="113"/>
      <c r="J434" s="113"/>
      <c r="K434" s="113"/>
      <c r="L434" s="113"/>
      <c r="M434" s="113"/>
      <c r="N434" s="113"/>
      <c r="O434" s="113"/>
      <c r="P434" s="113"/>
    </row>
    <row r="435" spans="5:16" ht="12.75">
      <c r="E435" s="114"/>
      <c r="F435" s="113"/>
      <c r="G435" s="113"/>
      <c r="H435" s="113"/>
      <c r="I435" s="113"/>
      <c r="J435" s="113"/>
      <c r="K435" s="113"/>
      <c r="L435" s="113"/>
      <c r="M435" s="113"/>
      <c r="N435" s="113"/>
      <c r="O435" s="113"/>
      <c r="P435" s="113"/>
    </row>
    <row r="436" spans="5:16" ht="12.75">
      <c r="E436" s="114"/>
      <c r="F436" s="113"/>
      <c r="G436" s="113"/>
      <c r="H436" s="113"/>
      <c r="I436" s="113"/>
      <c r="J436" s="113"/>
      <c r="K436" s="113"/>
      <c r="L436" s="113"/>
      <c r="M436" s="113"/>
      <c r="N436" s="113"/>
      <c r="O436" s="113"/>
      <c r="P436" s="113"/>
    </row>
    <row r="437" spans="5:16" ht="12.75">
      <c r="E437" s="114"/>
      <c r="F437" s="113"/>
      <c r="G437" s="113"/>
      <c r="H437" s="113"/>
      <c r="I437" s="113"/>
      <c r="J437" s="113"/>
      <c r="K437" s="113"/>
      <c r="L437" s="113"/>
      <c r="M437" s="113"/>
      <c r="N437" s="113"/>
      <c r="O437" s="113"/>
      <c r="P437" s="113"/>
    </row>
    <row r="438" spans="5:16" ht="12.75">
      <c r="E438" s="114"/>
      <c r="F438" s="113"/>
      <c r="G438" s="113"/>
      <c r="H438" s="113"/>
      <c r="I438" s="113"/>
      <c r="J438" s="113"/>
      <c r="K438" s="113"/>
      <c r="L438" s="113"/>
      <c r="M438" s="113"/>
      <c r="N438" s="113"/>
      <c r="O438" s="113"/>
      <c r="P438" s="113"/>
    </row>
    <row r="439" spans="5:16" ht="12.75">
      <c r="E439" s="114"/>
      <c r="F439" s="113"/>
      <c r="G439" s="113"/>
      <c r="H439" s="113"/>
      <c r="I439" s="113"/>
      <c r="J439" s="113"/>
      <c r="K439" s="113"/>
      <c r="L439" s="113"/>
      <c r="M439" s="113"/>
      <c r="N439" s="113"/>
      <c r="O439" s="113"/>
      <c r="P439" s="113"/>
    </row>
    <row r="440" spans="5:16" ht="12.75">
      <c r="E440" s="114"/>
      <c r="F440" s="113"/>
      <c r="G440" s="113"/>
      <c r="H440" s="113"/>
      <c r="I440" s="113"/>
      <c r="J440" s="113"/>
      <c r="K440" s="113"/>
      <c r="L440" s="113"/>
      <c r="M440" s="113"/>
      <c r="N440" s="113"/>
      <c r="O440" s="113"/>
      <c r="P440" s="113"/>
    </row>
    <row r="441" spans="5:16" ht="12.75">
      <c r="E441" s="114"/>
      <c r="F441" s="114"/>
      <c r="G441" s="114"/>
      <c r="H441" s="114"/>
      <c r="I441" s="114"/>
      <c r="J441" s="114"/>
      <c r="K441" s="114"/>
      <c r="L441" s="114"/>
      <c r="M441" s="114"/>
      <c r="N441" s="114"/>
      <c r="O441" s="114"/>
      <c r="P441" s="114"/>
    </row>
    <row r="442" ht="12.75">
      <c r="E442" s="114"/>
    </row>
    <row r="444" spans="5:16" ht="12.75">
      <c r="E444" s="114"/>
      <c r="F444" s="114"/>
      <c r="G444" s="114"/>
      <c r="H444" s="114"/>
      <c r="I444" s="114"/>
      <c r="J444" s="114"/>
      <c r="K444" s="114"/>
      <c r="L444" s="114"/>
      <c r="M444" s="114"/>
      <c r="N444" s="114"/>
      <c r="O444" s="114"/>
      <c r="P444" s="114"/>
    </row>
    <row r="448" ht="12.75">
      <c r="J448" s="114"/>
    </row>
    <row r="449" spans="10:11" ht="12.75">
      <c r="J449" s="114"/>
      <c r="K449" s="113"/>
    </row>
    <row r="451" ht="12.75">
      <c r="J451" s="114"/>
    </row>
    <row r="453" ht="12.75">
      <c r="J453" s="114"/>
    </row>
    <row r="454" ht="12.75">
      <c r="J454" s="114"/>
    </row>
    <row r="455" ht="12.75">
      <c r="J455" s="114"/>
    </row>
  </sheetData>
  <sheetProtection/>
  <mergeCells count="77">
    <mergeCell ref="P143:P144"/>
    <mergeCell ref="P198:P199"/>
    <mergeCell ref="O12:O13"/>
    <mergeCell ref="L143:L144"/>
    <mergeCell ref="N11:N13"/>
    <mergeCell ref="L11:M11"/>
    <mergeCell ref="M12:M13"/>
    <mergeCell ref="L12:L13"/>
    <mergeCell ref="L198:L199"/>
    <mergeCell ref="M143:M144"/>
    <mergeCell ref="O198:O199"/>
    <mergeCell ref="O143:O144"/>
    <mergeCell ref="N143:N144"/>
    <mergeCell ref="N198:N199"/>
    <mergeCell ref="M198:M199"/>
    <mergeCell ref="I143:I144"/>
    <mergeCell ref="I198:I199"/>
    <mergeCell ref="K198:K199"/>
    <mergeCell ref="J143:J144"/>
    <mergeCell ref="H143:H144"/>
    <mergeCell ref="J198:J199"/>
    <mergeCell ref="G198:G199"/>
    <mergeCell ref="G143:G144"/>
    <mergeCell ref="K143:K144"/>
    <mergeCell ref="H198:H199"/>
    <mergeCell ref="A8:P8"/>
    <mergeCell ref="E10:I10"/>
    <mergeCell ref="C10:C13"/>
    <mergeCell ref="D10:D13"/>
    <mergeCell ref="K11:K13"/>
    <mergeCell ref="J11:J13"/>
    <mergeCell ref="G12:G13"/>
    <mergeCell ref="J10:O10"/>
    <mergeCell ref="L1:P1"/>
    <mergeCell ref="L2:P2"/>
    <mergeCell ref="L3:P3"/>
    <mergeCell ref="L4:P4"/>
    <mergeCell ref="A7:P7"/>
    <mergeCell ref="L5:P5"/>
    <mergeCell ref="A10:A13"/>
    <mergeCell ref="B10:B13"/>
    <mergeCell ref="P10:P13"/>
    <mergeCell ref="G11:H11"/>
    <mergeCell ref="I11:I13"/>
    <mergeCell ref="E11:E13"/>
    <mergeCell ref="F11:F13"/>
    <mergeCell ref="H12:H13"/>
    <mergeCell ref="F198:F199"/>
    <mergeCell ref="A143:A144"/>
    <mergeCell ref="A198:A199"/>
    <mergeCell ref="B143:B144"/>
    <mergeCell ref="B198:B199"/>
    <mergeCell ref="E143:E144"/>
    <mergeCell ref="E198:E199"/>
    <mergeCell ref="C143:C144"/>
    <mergeCell ref="C198:C199"/>
    <mergeCell ref="F143:F144"/>
    <mergeCell ref="P249:P250"/>
    <mergeCell ref="L249:L250"/>
    <mergeCell ref="M249:M250"/>
    <mergeCell ref="C249:C250"/>
    <mergeCell ref="E249:E250"/>
    <mergeCell ref="O249:O250"/>
    <mergeCell ref="I249:I250"/>
    <mergeCell ref="J249:J250"/>
    <mergeCell ref="K249:K250"/>
    <mergeCell ref="N249:N250"/>
    <mergeCell ref="N425:P425"/>
    <mergeCell ref="A424:D424"/>
    <mergeCell ref="A423:D423"/>
    <mergeCell ref="N424:P424"/>
    <mergeCell ref="A425:D425"/>
    <mergeCell ref="A249:A250"/>
    <mergeCell ref="B249:B250"/>
    <mergeCell ref="G249:G250"/>
    <mergeCell ref="H249:H250"/>
    <mergeCell ref="F249:F250"/>
  </mergeCells>
  <printOptions/>
  <pageMargins left="0.7874015748031497" right="0.3937007874015748" top="1.141732283464567" bottom="0.3937007874015748" header="0.7086614173228347" footer="0.31496062992125984"/>
  <pageSetup fitToHeight="17" horizontalDpi="600" verticalDpi="600" orientation="landscape" paperSize="9" scale="45" r:id="rId1"/>
  <headerFooter alignWithMargins="0">
    <oddHeader>&amp;C&amp;P</oddHeader>
  </headerFooter>
  <rowBreaks count="5" manualBreakCount="5">
    <brk id="294" max="15" man="1"/>
    <brk id="322" max="15" man="1"/>
    <brk id="350" max="15" man="1"/>
    <brk id="378" max="15" man="1"/>
    <brk id="40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2017-06-29T09:15:09Z</cp:lastPrinted>
  <dcterms:created xsi:type="dcterms:W3CDTF">2017-01-11T06:29:21Z</dcterms:created>
  <dcterms:modified xsi:type="dcterms:W3CDTF">2017-07-25T13:30:01Z</dcterms:modified>
  <cp:category/>
  <cp:version/>
  <cp:contentType/>
  <cp:contentStatus/>
</cp:coreProperties>
</file>