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05" yWindow="65521" windowWidth="11490" windowHeight="10470" activeTab="0"/>
  </bookViews>
  <sheets>
    <sheet name="Лист1" sheetId="1" r:id="rId1"/>
  </sheets>
  <definedNames>
    <definedName name="_xlnm.Print_Area" localSheetId="0">'Лист1'!$A$1:$H$247</definedName>
  </definedNames>
  <calcPr fullCalcOnLoad="1"/>
</workbook>
</file>

<file path=xl/sharedStrings.xml><?xml version="1.0" encoding="utf-8"?>
<sst xmlns="http://schemas.openxmlformats.org/spreadsheetml/2006/main" count="690" uniqueCount="413">
  <si>
    <t>(грн.)</t>
  </si>
  <si>
    <t>Загальний фонд</t>
  </si>
  <si>
    <t>Всього</t>
  </si>
  <si>
    <t>Спеціальний фонд</t>
  </si>
  <si>
    <t>0100000</t>
  </si>
  <si>
    <t>Апарат місцевої ради</t>
  </si>
  <si>
    <t>0110000</t>
  </si>
  <si>
    <t>0117210</t>
  </si>
  <si>
    <t>Підтримка засобів масової інформації</t>
  </si>
  <si>
    <t>0117211</t>
  </si>
  <si>
    <t>0830</t>
  </si>
  <si>
    <t>0117212</t>
  </si>
  <si>
    <t>0133</t>
  </si>
  <si>
    <t>Інші видатки</t>
  </si>
  <si>
    <t>0300000</t>
  </si>
  <si>
    <t>1050</t>
  </si>
  <si>
    <t>Організація та проведення громадських робіт</t>
  </si>
  <si>
    <t>0620</t>
  </si>
  <si>
    <t>Благоустрій міст, сіл, селищ</t>
  </si>
  <si>
    <t>1000000</t>
  </si>
  <si>
    <t>Департамент з гуманітарних питань  міської ради</t>
  </si>
  <si>
    <t>1010000</t>
  </si>
  <si>
    <t>1011010</t>
  </si>
  <si>
    <t>0910</t>
  </si>
  <si>
    <t>Дошкільні заклади освіти</t>
  </si>
  <si>
    <t>1011020</t>
  </si>
  <si>
    <t>0921</t>
  </si>
  <si>
    <t>Загальноосвітні школи (в т. ч. школа-дитячий садок, інтернат при школі), спеціалізовані школи, ліцеї, гімназії, колегіуми</t>
  </si>
  <si>
    <t>1011040</t>
  </si>
  <si>
    <t>0922</t>
  </si>
  <si>
    <t>Загальноосвітні школи-інтернати, загальноосвітні санаторні школи-інтернати</t>
  </si>
  <si>
    <t>1011090</t>
  </si>
  <si>
    <t>0960</t>
  </si>
  <si>
    <t>Позашкільні заклади освіти, заходи із позашкільної роботи з дітьми</t>
  </si>
  <si>
    <t>1011170</t>
  </si>
  <si>
    <t>0990</t>
  </si>
  <si>
    <t>Методична робота, інші заходи у сфері народної освіти</t>
  </si>
  <si>
    <t>1040</t>
  </si>
  <si>
    <t>1013160</t>
  </si>
  <si>
    <t>1013500</t>
  </si>
  <si>
    <t>1014030</t>
  </si>
  <si>
    <t>0822</t>
  </si>
  <si>
    <t>Філармонії, музичні колективи і ансамблі та інші мистецькі заклади та заходи</t>
  </si>
  <si>
    <t>1015010</t>
  </si>
  <si>
    <t>Проведення спортивної роботи в регіоні</t>
  </si>
  <si>
    <t>1015011</t>
  </si>
  <si>
    <t>0810</t>
  </si>
  <si>
    <t>1015012</t>
  </si>
  <si>
    <t>Проведення навчально-тренувальних зборів і змагань з неолімпійських видів спорту</t>
  </si>
  <si>
    <t>1015020</t>
  </si>
  <si>
    <t>Діяльність закладів фізичної культури і спорту  </t>
  </si>
  <si>
    <t>1015022</t>
  </si>
  <si>
    <t>Утримання та навчально-тренувальна робота дитячо-юнацьких спортивних шкіл</t>
  </si>
  <si>
    <t>1015023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</si>
  <si>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</si>
  <si>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1015024</t>
  </si>
  <si>
    <t>Фінансова підтримка спортивних споруд</t>
  </si>
  <si>
    <t>1015030</t>
  </si>
  <si>
    <t>Фінансова підтримка фізкультурно-спортивного руху</t>
  </si>
  <si>
    <t>1015033</t>
  </si>
  <si>
    <t>Утримання апарату управління громадських фізкультурно-спортивних організацій</t>
  </si>
  <si>
    <t>1015040</t>
  </si>
  <si>
    <t>Здійснення фізкультурно-спортивної та реабілітаційної роботи серед інвалідів</t>
  </si>
  <si>
    <t>1015041</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</si>
  <si>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</si>
  <si>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</si>
  <si>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1015100</t>
  </si>
  <si>
    <t>1017470</t>
  </si>
  <si>
    <t>0490</t>
  </si>
  <si>
    <t>1019110</t>
  </si>
  <si>
    <t>0511</t>
  </si>
  <si>
    <t>Охорона та раціональне використання природних ресурсів</t>
  </si>
  <si>
    <t>1400000</t>
  </si>
  <si>
    <t>1410000</t>
  </si>
  <si>
    <t>1412010</t>
  </si>
  <si>
    <t>0731</t>
  </si>
  <si>
    <t>1412030</t>
  </si>
  <si>
    <t>0732</t>
  </si>
  <si>
    <t>1412140</t>
  </si>
  <si>
    <t>0722</t>
  </si>
  <si>
    <t>1412180</t>
  </si>
  <si>
    <t>0726</t>
  </si>
  <si>
    <t>0763</t>
  </si>
  <si>
    <t>1412220</t>
  </si>
  <si>
    <t>1413030</t>
  </si>
  <si>
    <t>1413031</t>
  </si>
  <si>
    <t>1030</t>
  </si>
  <si>
    <t>1413035</t>
  </si>
  <si>
    <t>1070</t>
  </si>
  <si>
    <t>Компенсаційні виплати на пільговий проїзд автомобільним транспортом окремим категоріям громадян</t>
  </si>
  <si>
    <t>1413037</t>
  </si>
  <si>
    <t>Компенсаційні виплати за пільговий проїзд окремих категорій громадян на залізничному транспорті</t>
  </si>
  <si>
    <t>1413038</t>
  </si>
  <si>
    <t>Компенсаційні виплати на пільговий проїзд електротранспортом окремим категоріям громадян</t>
  </si>
  <si>
    <t>1413130</t>
  </si>
  <si>
    <t>1413132</t>
  </si>
  <si>
    <t>Програми і заходи центрів соціальних служб для сім`ї, дітей та молоді</t>
  </si>
  <si>
    <t>1413134</t>
  </si>
  <si>
    <t>1413160</t>
  </si>
  <si>
    <t>1413300</t>
  </si>
  <si>
    <t>1090</t>
  </si>
  <si>
    <t>Інші установи та заклади</t>
  </si>
  <si>
    <t>1413400</t>
  </si>
  <si>
    <t>Інші видатки на соціальний захист населення</t>
  </si>
  <si>
    <t>1416310</t>
  </si>
  <si>
    <t>1500000</t>
  </si>
  <si>
    <t>Орган з питань праці та соціального захисту населення</t>
  </si>
  <si>
    <t>1060</t>
  </si>
  <si>
    <t>1010</t>
  </si>
  <si>
    <t>Надання соціальних та реабілітаційних послуг громадянам похилого віку, інвалідам, дітям-інвалідам в установах соціального обслуговування</t>
  </si>
  <si>
    <t>1020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</si>
  <si>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</si>
  <si>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Соціальний захист ветеранів війни та праці</t>
  </si>
  <si>
    <t>2000000</t>
  </si>
  <si>
    <t>Орган у справах дітей</t>
  </si>
  <si>
    <t>2010000</t>
  </si>
  <si>
    <t>2013110</t>
  </si>
  <si>
    <t>Заклади і заходи з питань дітей та їх соціального захисту</t>
  </si>
  <si>
    <t>2013111</t>
  </si>
  <si>
    <t>2013112</t>
  </si>
  <si>
    <t>2013500</t>
  </si>
  <si>
    <t>3100000</t>
  </si>
  <si>
    <t>Орган з питань реклами</t>
  </si>
  <si>
    <t>3110000</t>
  </si>
  <si>
    <t>Відділ реклами міської ради</t>
  </si>
  <si>
    <t>3200000</t>
  </si>
  <si>
    <t>Орган з питань регуляторної політики і підприємництва</t>
  </si>
  <si>
    <t>3210000</t>
  </si>
  <si>
    <t>Департамент муніципальних послуг та  регуляторної політики  міської ради</t>
  </si>
  <si>
    <t>3217450</t>
  </si>
  <si>
    <t>0411</t>
  </si>
  <si>
    <t>4500000</t>
  </si>
  <si>
    <t>Орган з питань комунальної власності</t>
  </si>
  <si>
    <t>4510000</t>
  </si>
  <si>
    <t>Департамент  комунальної власності, земельних відносин та реєстрації речових прав на нерухоме майно міської ради</t>
  </si>
  <si>
    <t>4517310</t>
  </si>
  <si>
    <t>0421</t>
  </si>
  <si>
    <t>4700000</t>
  </si>
  <si>
    <t>Орган з питань будівництва</t>
  </si>
  <si>
    <t>4710000</t>
  </si>
  <si>
    <t>Департамент житлово-комунального господарства та будівництва міської ради</t>
  </si>
  <si>
    <t>4713240</t>
  </si>
  <si>
    <t>4716010</t>
  </si>
  <si>
    <t>0610</t>
  </si>
  <si>
    <t>4716020</t>
  </si>
  <si>
    <t>Капітальний ремонт об`єктів житлового господарства</t>
  </si>
  <si>
    <t>4716021</t>
  </si>
  <si>
    <t>4716050</t>
  </si>
  <si>
    <t>Фінансова підтримка об`єктів комунального господарства</t>
  </si>
  <si>
    <t>4716051</t>
  </si>
  <si>
    <t>4716060</t>
  </si>
  <si>
    <t>4716130</t>
  </si>
  <si>
    <t>4716310</t>
  </si>
  <si>
    <t>4716350</t>
  </si>
  <si>
    <t>Проведення невідкладних відновлювальних робіт, будівництво та реконструкція позашкільних навчальних закладів</t>
  </si>
  <si>
    <t>4716650</t>
  </si>
  <si>
    <t>0456</t>
  </si>
  <si>
    <t>4717470</t>
  </si>
  <si>
    <t>4718800</t>
  </si>
  <si>
    <t>0180</t>
  </si>
  <si>
    <t>Інші субвенції</t>
  </si>
  <si>
    <t>4800000</t>
  </si>
  <si>
    <t>Орган з питань містобудування та архітектури</t>
  </si>
  <si>
    <t>4810000</t>
  </si>
  <si>
    <t>Управління  містобудування та архітектури міської ради</t>
  </si>
  <si>
    <t>4816430</t>
  </si>
  <si>
    <t>0443</t>
  </si>
  <si>
    <t>Розробка схем та проектних рішень масового застосування</t>
  </si>
  <si>
    <t>4817470</t>
  </si>
  <si>
    <t>4818800</t>
  </si>
  <si>
    <t>6000000</t>
  </si>
  <si>
    <t>Орган з питань екології, охорони навколишнього середовища та природних ресурсів</t>
  </si>
  <si>
    <t>6010000</t>
  </si>
  <si>
    <t>Управління  екології та природних ресурсів міської ради</t>
  </si>
  <si>
    <t>6017470</t>
  </si>
  <si>
    <t>6019110</t>
  </si>
  <si>
    <t>6019120</t>
  </si>
  <si>
    <t>0512</t>
  </si>
  <si>
    <t>Утилізація відходів</t>
  </si>
  <si>
    <t>6019130</t>
  </si>
  <si>
    <t>0513</t>
  </si>
  <si>
    <t>Ліквідація іншого забруднення навколишнього природного середовища</t>
  </si>
  <si>
    <t>6019140</t>
  </si>
  <si>
    <t>0540</t>
  </si>
  <si>
    <t>Інша діяльність у сфері охорони навколишнього природного середовища</t>
  </si>
  <si>
    <t>6500000</t>
  </si>
  <si>
    <t>Орган з питань транспорту, зв`язку та інформатизації</t>
  </si>
  <si>
    <t>6510000</t>
  </si>
  <si>
    <t>Управління  транспортної інфраструктури та зв`язку міської ради</t>
  </si>
  <si>
    <t>6516640</t>
  </si>
  <si>
    <t>0455</t>
  </si>
  <si>
    <t>Інші заходи у сфері електротранспорту</t>
  </si>
  <si>
    <t>6516700</t>
  </si>
  <si>
    <t>0460</t>
  </si>
  <si>
    <t>Діяльність і послуги, не віднесені до інших категорій</t>
  </si>
  <si>
    <t>6516800</t>
  </si>
  <si>
    <t>0451</t>
  </si>
  <si>
    <t>Інші заходи у сфері автомобільного транспорту</t>
  </si>
  <si>
    <t>6517470</t>
  </si>
  <si>
    <t>6700000</t>
  </si>
  <si>
    <t>Орган з питань надзвичайних ситуацій</t>
  </si>
  <si>
    <t>6710000</t>
  </si>
  <si>
    <t>Управління  з питань надзвичайних ситуацій та цивільного захисту населення міської ради</t>
  </si>
  <si>
    <t>6717810</t>
  </si>
  <si>
    <t>0320</t>
  </si>
  <si>
    <t>Видатки на запобігання та ліквідацію надзвичайних ситуацій та наслідків стихійного лиха</t>
  </si>
  <si>
    <t>7300000</t>
  </si>
  <si>
    <t>Орган з питань економіки</t>
  </si>
  <si>
    <t>7310000</t>
  </si>
  <si>
    <t>Департамент економічного розвитку міської ради</t>
  </si>
  <si>
    <t>7317410</t>
  </si>
  <si>
    <t>0470</t>
  </si>
  <si>
    <t xml:space="preserve"> </t>
  </si>
  <si>
    <t>Адміністрація Південного району міської ради</t>
  </si>
  <si>
    <t>Адміністрація Дніпровського району міської ради</t>
  </si>
  <si>
    <t xml:space="preserve">Адміністрація Заводського району міської ради </t>
  </si>
  <si>
    <t>Міська рада</t>
  </si>
  <si>
    <t>Департамент охорони здоров'я та соціальної політики міської ради</t>
  </si>
  <si>
    <t>Здійснення соціальної роботи з вразливими категоріями населення</t>
  </si>
  <si>
    <t>Служба у справах дітей міської ради</t>
  </si>
  <si>
    <t>Разом</t>
  </si>
  <si>
    <t>01</t>
  </si>
  <si>
    <t>відхилення</t>
  </si>
  <si>
    <t>в тому числі за рахунок освітньої субвенції з державного бюджету місцевим бюджетам</t>
  </si>
  <si>
    <t>Найменування місцевої (регіональної) програми</t>
  </si>
  <si>
    <t xml:space="preserve">Про затвердження Програми "Молодь Дніпродзержинська", рішення міської ради від 29.02.12 № 371-20/VI на 2012-2021 роки; Про затвердження "Програми розвитку сімейної та гендерної політики у м.Дніпродзержинську на 2012-2021 роки", рішення міської ради від 29.02.12 № 370-20/VI </t>
  </si>
  <si>
    <t>Програма соціального захисту населення міста на 2012-2017 роки, рішення міської ради від 28.12.2011 №286-17/VI (зі змінами)</t>
  </si>
  <si>
    <t xml:space="preserve">Про затвердження "Програми розвитку сімейної та гендерної політики у м.Дніпродзержинську на 2012-2021 роки", рішення міської ради від 29.02.12 № 370-20/VI </t>
  </si>
  <si>
    <t>"Програма соціального захисту населення міста на 2012-2017 роки", рішення міської ради від 28.12.2011 №286-17/VI (зі змінами), "Программа підтримки членів сімей учасників АТО м.Дніпродзержинськ "Родина героя", рішення міської ради від 27.02.15 № 1268-60/VI</t>
  </si>
  <si>
    <t>"Про затвердження Програми захисту прав дітей та розвитку сімейних форм виховання у м.Дніпродзержинську на 2016-2020 роки" 25.12.15 № 29-03/VII</t>
  </si>
  <si>
    <t>"Програма соціального захисту населення міста на 2012-2017 роки", рішення міської ради від 28.12.2011 №286-17/VI (зі змінами)</t>
  </si>
  <si>
    <t>Орган з питань охорони здоров'я</t>
  </si>
  <si>
    <t>Про програму Здоров"я  населення м. Дніпродзержинська на  2015-2019 роки" (рішення міської ради від 30.01.15 №1211-59/УІ)</t>
  </si>
  <si>
    <t>Про затвердження комплексної програми підтримки демобілізованих учасників антитерористичної операції  (від 08.07.2015 №1350-64/VI)</t>
  </si>
  <si>
    <t>Про затвердження програми імунопрофілактики та захисту населення від інфекційних хвороб у м.Дніпродзержинську на 2013-2017 роки (рішення міської ради від 27.02.2013 №677-32/УІ)</t>
  </si>
  <si>
    <t>Програма забезпечення діяльності органів самоорганізації населення в м.Дніпродзержинську на 2016-2020 роки, рішення міської ради від 25.12.2015№36-03/VII</t>
  </si>
  <si>
    <t>Програма розвитку житлового господарства м.Дніпродзержинська на 2016-20205 роки (від 27.11.2009 №818-44/V зі змінами)</t>
  </si>
  <si>
    <t>Про затвердження Програми благоустрою м.Дніпродзержинська на 2015-2019 роки, рішення міської ради від  26.12.2014 №1182-58/VI (зі змінами)</t>
  </si>
  <si>
    <t>Програма розвитку житлового господарства м.Дніпродзержинська на 2016-2020 роки (від 27.11.2009 №818-44/V зі змінами)</t>
  </si>
  <si>
    <t>Про затвердження Програми розвитку комунального підприємства Дніпродзержинської міської ради «Дніпродзержинськтепломережа» на 2016–2020 роки, рішення міської ради №58-04/VII від 29.01.2016 (зі змінами)</t>
  </si>
  <si>
    <t>Про затвердження Програми "Безпечне місто Дніпродзержинськ на 2016–2020 роки", рішення міської ради від 26.02.2016 №94-05/VII</t>
  </si>
  <si>
    <t>Про затвердження Програми ремонту та утримання фонтанів м.Кам'янське на 2017-2020 роки, рішення  міської ради від 28.10.2016 № 528-11/VII</t>
  </si>
  <si>
    <t>Про затвердження Програми благоустрою м.Дніпродзержинська на 2015-2019 роки  (від 26.12.2014 №1182-58/VI)</t>
  </si>
  <si>
    <t>Програма регулювання чисельності безпритульних тварин гуманними методами та контролю за утриманням домашніх тварин в м.Дніпродзержинську на 2012-2016 роки (від 30.11.2012 № 610-29/VI зі змінами)</t>
  </si>
  <si>
    <t>Про затвердження Екологічної програми міста Дніпродзержинськ на 2016–2020 роки, рішення міської ради від  25.12.2015 №25-03/VІІ (зі змінами)</t>
  </si>
  <si>
    <t>Програма забезпечення заходів щодо набуття права власності (користування) на житло мешканцям при відселені з аварійних (непридатних для проживання) житлових приміщень, будинків, рішення міської ради від 26.06.2009 №720-39/V (зі змінами)</t>
  </si>
  <si>
    <t>Про затвердження комплексної програми підтримки демобілізованих учасників антитерористичної операції, рішення міської ради від  08.07.2015 №1350-64/VI (зі змінами)</t>
  </si>
  <si>
    <t>Про міську програму містобудівної діяльності  і створення геоінформаційної  електронної містобудівної кадастрової системи м.Дніпродзержинська на 2014-2020 роки та заходів її реалізації, рішення міської ради від  29.11.2013 №943-43/VІ (зі змінами)</t>
  </si>
  <si>
    <t>Про Програму розвитку міськелектротранспорту на 2007 - 2017 роки, рішення міської ради від  20.04.2007 №180-09/У (зі змінами )</t>
  </si>
  <si>
    <t xml:space="preserve">Програма розвитку транспортного комплексу м.Дніпродзержинська на 2012 - 2017 роки, рішення міської ради від 27.01.2012 №338-18/VІ (зі змінами) </t>
  </si>
  <si>
    <t>Разом загальний та спеціальний фонди</t>
  </si>
  <si>
    <t>Код ТПКВКМБ /
ТКВКБМС³</t>
  </si>
  <si>
    <r>
      <t>Код програмної класифікації видатків та кредитування місцевих бюджетів</t>
    </r>
    <r>
      <rPr>
        <sz val="10"/>
        <rFont val="Arial"/>
        <family val="2"/>
      </rPr>
      <t>²</t>
    </r>
  </si>
  <si>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</si>
  <si>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Управління соціального захисту населення адміністрації Південного району міської ради</t>
  </si>
  <si>
    <t>Управління соціального захисту населення адміністрації Дніпровського району міської ради</t>
  </si>
  <si>
    <t>Управління соціального захисту населення адміністрації Заводського району міської ради</t>
  </si>
  <si>
    <t>Орган з питань освіти і науки, молоді та спорту</t>
  </si>
  <si>
    <t>Про заснування міської премії в галузі культури, мистецтва та туризму</t>
  </si>
  <si>
    <t xml:space="preserve">Про затвердження програми розвитку культури  у місті Дніпродзержинську на 2016 - 2020 роки </t>
  </si>
  <si>
    <t>Про затвердження Програми "Молодь Дніпродзержинська", рішення міської ради від 29.02.12 № 371-20/VI на 2012-2021 роки (зі змінами)</t>
  </si>
  <si>
    <t>0310000</t>
  </si>
  <si>
    <t>0313240</t>
  </si>
  <si>
    <t>0316060</t>
  </si>
  <si>
    <t>1516310</t>
  </si>
  <si>
    <t>4518600</t>
  </si>
  <si>
    <t>4718600</t>
  </si>
  <si>
    <t>Програма розвитку місцевого самоврядування у м.Кам'янському на 2017-2021 роки від 16.12.2016 №608-12/VII</t>
  </si>
  <si>
    <t>1510000</t>
  </si>
  <si>
    <t>1513100</t>
  </si>
  <si>
    <t>1513104</t>
  </si>
  <si>
    <t>1513180</t>
  </si>
  <si>
    <t>1513181</t>
  </si>
  <si>
    <t>1513190</t>
  </si>
  <si>
    <t>1513200</t>
  </si>
  <si>
    <t>1513202</t>
  </si>
  <si>
    <t>1513400</t>
  </si>
  <si>
    <t>Служба у справах дітей  адміністрації Південного району міської ради</t>
  </si>
  <si>
    <t>Служба у справах дітей адміністрації Дніпровського району міської ради</t>
  </si>
  <si>
    <t>Служба у справах дітей адміністрації Заводського району міської ради</t>
  </si>
  <si>
    <t>1013141</t>
  </si>
  <si>
    <t>Здійснення заходів та реалізація проектів на виконання Державної цільової соціальної програми `Молодь України`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</si>
  <si>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</si>
  <si>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Заходи державної політики з питань сім`ї</t>
  </si>
  <si>
    <t>Заходи державної політики з питань дітей та їх соціального захисту</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</si>
  <si>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</si>
  <si>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1413202</t>
  </si>
  <si>
    <t>Надання фінансової підтримки громадським організаціям інвалідів і ветеранів, діяльність яких має соціальну спрямованість</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</si>
  <si>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</si>
  <si>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</si>
  <si>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</si>
  <si>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Утримання закладів, що надають соціальні послуги дітям, які опинились у складних життєвих обставинах</t>
  </si>
  <si>
    <t>Багатопрофільна стаціонарна медична допомога населенню</t>
  </si>
  <si>
    <t>Спеціалізована стаціонарна медична допомога населенню</t>
  </si>
  <si>
    <t>Надання стоматологічної допомоги населенню</t>
  </si>
  <si>
    <t>Первинна медична допомога населенню</t>
  </si>
  <si>
    <t>Інші заходи в галузі охорони здоров`я</t>
  </si>
  <si>
    <t>Сприяння діяльності телебачення і радіомовлення</t>
  </si>
  <si>
    <t>Підтримка періодичних видань (газет та журналів)</t>
  </si>
  <si>
    <t>Про затвердження Програми діяльності та фінансової підтримки комунального підприемства "Редакція газети "Відомості" Кам'янської міської ради" на 2017 рік від 16.12.2016 №576-12/VII</t>
  </si>
  <si>
    <t>Проведення навчально-тренувальних зборів і змагань з олімпійських видів спорту</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</si>
  <si>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</si>
  <si>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1015061</t>
  </si>
  <si>
    <t>Реалізація державної політики у молодіжній сфері</t>
  </si>
  <si>
    <t>Про затвердження Цільової комплексної програми розвитку фізичної культури і спорту в м. Кам'янське на 2017 - 2021 роки, рішення міської ради від 16.12.16 № 600-12/VII</t>
  </si>
  <si>
    <t>Забезпечення надійного та безперебійного функціонування житлово-експлуатаційного господарства</t>
  </si>
  <si>
    <t xml:space="preserve">Капітальний ремонт житлового фонду </t>
  </si>
  <si>
    <t>Забезпечення функціонування теплових мереж</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</si>
  <si>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</si>
  <si>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Внески до статутного капіталу суб*єктів господарювання</t>
  </si>
  <si>
    <t>Проведення заходів із землеустрою</t>
  </si>
  <si>
    <t>Реалізація заходів щодо інвестиційного розвитку території</t>
  </si>
  <si>
    <t>6310</t>
  </si>
  <si>
    <t>Сприяння розвитку малого та середнього підприємництва</t>
  </si>
  <si>
    <t>Утримання та розвиток інфраструктури доріг</t>
  </si>
  <si>
    <t>Про затвердження програми підтримки сімей з території південних та східних областей України, рішення міської ради від 27.06.14 №1079-51/УІ (зі змінами)</t>
  </si>
  <si>
    <t>Внески до статутного капіталу суб'єктів господарювання</t>
  </si>
  <si>
    <t>Заходи з енергозбереження</t>
  </si>
  <si>
    <t xml:space="preserve">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t>
  </si>
  <si>
    <t>у тому числі:</t>
  </si>
  <si>
    <t>Програма соціально-економічного та культурного розвитку міста на 2017 рік, рішення міської ради від 16.12.2016 №562-12/VII</t>
  </si>
  <si>
    <t>0118601</t>
  </si>
  <si>
    <t>0318602</t>
  </si>
  <si>
    <t>1418601</t>
  </si>
  <si>
    <t>3118601</t>
  </si>
  <si>
    <t>Здійснення заходів з  розвитку місцевого самоврядування</t>
  </si>
  <si>
    <t>Здійснення заходів по забезпеченню діяльності органів самоорганізації населення</t>
  </si>
  <si>
    <t>Здійснення заходів щодо набуття права власності (користування) на житло мешканцям при відселені з аварійних (непридатних для проживання) житлових приміщень, будинків</t>
  </si>
  <si>
    <t>Здійснення заходів  підтримки сімей з території південних та східних областей України</t>
  </si>
  <si>
    <t>Здійснення заходів  підтримки   демобілізованих учасників антитерористичної операції</t>
  </si>
  <si>
    <t>Субвенція до обласного бюджету на капітальний ремонт об`єктів соціально-культурної сфери та інфраструктури міста</t>
  </si>
  <si>
    <t>Субвенція Петриківському району на виготовлення планів земельних ділянок для учасників АТО</t>
  </si>
  <si>
    <t>Про затвердження програми розвитку освіти м.Кам'янського на 2017-2020 роки, рішення міської ради від 16.12.2016 № 601-12/VІІ</t>
  </si>
  <si>
    <t>місцевих (регіональних) програм, які фінансуватимуться за рахунок коштів
 міського бюджету  у 2017 році</t>
  </si>
  <si>
    <t>ПЕРЕЛІК</t>
  </si>
  <si>
    <t>Код ФКВКБ4</t>
  </si>
  <si>
    <t>Додаток 6</t>
  </si>
  <si>
    <t>до рішення міської ради</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</si>
  <si>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</si>
  <si>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Про затвердження Програми розвитку та утримання комунального підприємства Кам"янської міської ради «Інформаційні системи» на 2017–2020 роки, рішення міської ради від 16.12.2016 №594-12/VII</t>
  </si>
  <si>
    <t>Проведення невідкладних відновлювальних робіт, будівництво та реконструкція лікарень загального профілю</t>
  </si>
  <si>
    <t xml:space="preserve"> від 16.12.2016   № 560-12/VII</t>
  </si>
  <si>
    <t>(у редакції рішення міської ради</t>
  </si>
  <si>
    <t>Секретар міської ради</t>
  </si>
  <si>
    <t xml:space="preserve">О.Ю.Залевський </t>
  </si>
  <si>
    <t>6716400</t>
  </si>
  <si>
    <t>6400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</si>
  <si>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</si>
  <si>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Здійснення заходів по проведенню технічної інвентаризації об’єктів комунальної власності територіальної громади</t>
  </si>
  <si>
    <t>Про затвердження Програми по проведенню технічної інвентаризації об’єктів комунальної власності територіальної громади м.Кам’янського, рішення міської ради від 29.07.2016 №258-09/VІІ</t>
  </si>
  <si>
    <t>7600000</t>
  </si>
  <si>
    <t>Фінансовий орган (в частині міжбюджетних трансфертів, резервного фонду)</t>
  </si>
  <si>
    <t>7610000</t>
  </si>
  <si>
    <t>Департамент фінансів Кам'янської міської ради</t>
  </si>
  <si>
    <t>7618370</t>
  </si>
  <si>
    <t>8370</t>
  </si>
  <si>
    <t>Субвенція з місцевого бюджету державному бюджету на виконання програм соціально-економічного та культурного розвитку регіонів</t>
  </si>
  <si>
    <t>Про комплексну програму забезпечення громадського порядку та громадської безпеки у м. Дніпродзержинську на 2016-2020 року, рішення міської ради від  30.03.2016 № 132-06/VІІ (зі змінами)</t>
  </si>
  <si>
    <t>1016350</t>
  </si>
  <si>
    <t>Про затвердження Програми розвитку комунального підприємства "Дніпродзержинський парк культури та відпочинку" на 2015-2020 роки, рiшення міської ради від 27.03.2015 №1274-61/VI (зізмінами)</t>
  </si>
  <si>
    <t>0118608</t>
  </si>
  <si>
    <t>8608</t>
  </si>
  <si>
    <t>Програма підтримки Кам'янської міської виборчої комісії у міжвиборчий період від 24.02.2017 №677-14/VII</t>
  </si>
  <si>
    <t>Здійснення підтримки міської виборчої комісії у міжвиборчий період</t>
  </si>
  <si>
    <t>з.ф</t>
  </si>
  <si>
    <t>с.ф.</t>
  </si>
  <si>
    <t>разом</t>
  </si>
  <si>
    <t xml:space="preserve">Про затвердження міської програми щодо створення сприятливого життєвого середовища та доступу до об'єктів  соціальної інфраструктури для осіб з обмеженими фізичними можливостями та інших маломобільних груп населення на 2014–2025 роки, рішення міської ради  від 29.11.2013 №944-43/VІІ (зі змінами) </t>
  </si>
  <si>
    <t>Про затвердження Програми підтримки та розвитку муніціпального телебачення ТРК "МІС" на 2017-2018 роки від 16.12.2016 №607-12/VII (зі змінами)</t>
  </si>
  <si>
    <t>Про Цільову соціальну програму розвитку цивільного захисту та забезпечення пожежної безпеки в місті Кам'янське на 2016 –2020 роки, рішення міської ради від 25.12.2015 №31-03/VІІ (зі змінами)</t>
  </si>
  <si>
    <t>«Програма розвитку земельних відносин у місті Дніпродзержинськ на 2012-2016 роки» до 2017 ріку, рішення міської ради від 28.10.2011 №228-14/VІ (зі змінами)</t>
  </si>
  <si>
    <t>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такіх торгів</t>
  </si>
  <si>
    <t>Про затвердження Програми підвищення боєздатності та функціонування Дніпродзержинського об’єднаного міського військового комісаріату щодо забезпечення виконання мобілізаційних заходів, призову громадян України на строкову військову службу до лав Збройних Сил України на 2017–2020 роки, рішення міської ради  від 16.12.2016  № 572-12/VII (зі змінами)</t>
  </si>
  <si>
    <t>Здійснення заходів по виготовленню та розміщенню соціальної реклами та інформації про загальнодержавні та загальноміські події, заходи та свята у м.Кам'янському</t>
  </si>
  <si>
    <t>Програма виготовлення  та розміщення соціальної реклами та інформації про загальнодержавні та загальноміські події, заходи та свята у м.Кам'янському на 2017-2021 роки від 16.12.2016 №575-12/VII</t>
  </si>
  <si>
    <t>0316010</t>
  </si>
  <si>
    <t>1419110</t>
  </si>
  <si>
    <t>4719110</t>
  </si>
  <si>
    <t>3217470</t>
  </si>
  <si>
    <t xml:space="preserve">Про затвердження Програми розвитку комунального підприємства Дніпродзержинської міської ради «Дніпродзержинський спецкомбінат» на 2015–2018 роки, рішення міської ради від  26.12.2014  №1183- 58/VI (зі змінами) </t>
  </si>
  <si>
    <t>Про затвердження Програми розвитку та утримання комунального підприємства Кам’янської  міської ради «Містшляхсервіс» на 2017–2020 роки, рішення міської ради від  24.02.2017  №641-14//VІI</t>
  </si>
  <si>
    <t xml:space="preserve">Про Цільову соціальну програму розвитку цивільного захисту та забезпечення пожежної безпеки в місті Дніпродзержинську на 2016 –2020 роки, рішення міської ради  від 25.12.2015 № 31-03/VII (зі змінами)
</t>
  </si>
  <si>
    <t>Про затвердження програми енергоефективності та зменшення споживання енергетичних ресурсів у м.Кам"янському на 2017рік, рішення міської ради від 16.12.2016 №591-12/VII (зі змінами)</t>
  </si>
  <si>
    <t>7318600</t>
  </si>
  <si>
    <t>Програма соціально-економічного та культурного розвитку міста на 2017 рік, рішення міської ради від 16.12.2016 №562-12/VII (зі змінами)</t>
  </si>
  <si>
    <t>3216310</t>
  </si>
  <si>
    <t>Здійснення заходів з  розвитку туристичної галузі міста Кам'янське</t>
  </si>
  <si>
    <t>Програма розвитку та збереження зелених насаджень в м.Дніпродзержинську на 2013-2017 роки",  рішенням міської ради від 30.01.2013 №668-31/VI (зі змінами)</t>
  </si>
  <si>
    <t>Програма розвитку комунального підприємства "Дніпродзержинське комунальне автотранспортне підприємство 042802" на 2016-2019 роки, рішення міської ради від 25.12.2015 №28-03/VII(зі змінами)</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</si>
  <si>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</si>
  <si>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'0910</t>
  </si>
  <si>
    <t>4716330</t>
  </si>
  <si>
    <t>Проведення невідкладних відновлювальних робіт, будівництво та реконструкція загальноосвітніх навчальних закладів</t>
  </si>
  <si>
    <t>Про затвердження Програми розвитку  комунального підприємства  «Лівобережний парк» на 2015-2020 роки, рішення міської ради від 27.03.2015  №1275-61/VI(зі змінами)</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</si>
  <si>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</si>
  <si>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 xml:space="preserve">Про затвердження Програми розвитку туристичної галузі міста Кам’янське на 2017–2022 роки,  рішення міської ради від 23.06.2017№741-17/VII  </t>
  </si>
  <si>
    <t>Про затвердження Програми "Шкільний автобус" на 2017-2020 роки, рішення міської ради від 24.02.2017 №652-14/VII</t>
  </si>
  <si>
    <t>1516320</t>
  </si>
  <si>
    <t>1516324</t>
  </si>
  <si>
    <t>Надання допомоги у вирішенні житлових питань</t>
  </si>
  <si>
    <t>Будівництво та придбання житла для окремих категорій населення</t>
  </si>
  <si>
    <t>в т.ч.за рахунок субвенції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</si>
  <si>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Про затвердження Програми розвитку комунального виробничого підприємства Дніпродзержинської міської ради «Міськводоканал» на 2016–2020 роки, рішення міської ради від  26.02.2016 № 92-05/VIІ (зі змінами)</t>
  </si>
  <si>
    <t>Про Програму безпеки та захисту населення і території від негативних наслідків надзвичайних ситуацій у місті Дніпродзержинськ на період  до 2020 року, рішення міської ради від 25.12.2015 №37-03/VII (зі змінами)</t>
  </si>
  <si>
    <t>Про затвердження Програми розвитку  комунального підприємства КМР «Кіноконцертний зал «МИР» на 2017рік, рішення міської ради від 24.02.2017 №651-14/VII (зі змінами)</t>
  </si>
  <si>
    <t>Про затвердження Програми розвитку комунального підприємства Кам"янської міської ради "Благоустрій" на 2016-2017 рік", рішення міської ради від 28.10.2016 №518-11/VII (зі змінами)</t>
  </si>
  <si>
    <t>Про затвердження Програми розвитку комунального підприємства Кам"янської міської ради «Тепломережі» на 2016–2020 роки, рішення міської ради від 29.01.2016 №58-04/VII  (зі змінами)</t>
  </si>
  <si>
    <t>Про затвердження Програми розвитку  комунального підприємства Дніпродзержинської міської ради «Комунальник» на 2015–2017 роки, рішення міської ради від 31.08.2015 № 1383-65/VI  (зі змінами)</t>
  </si>
  <si>
    <t>Про затвердження Програми розвитку та утримання комунального підприємства Дніпродзержинської міської ради «Управляюча компанія по обслуговуванню житлового фонду» на 2016–2020 роки, рішення міської ради від  17.06.2016 № 252-08/VІІ  (зі змінами)</t>
  </si>
  <si>
    <t>Про затвердження Програми розвитку комунального підприємства Кам"янської міської ради "Екосервіс" на 2016-2017 рік", рішення міської ради від 30.09.2016 №364-10/VII (зі змінами)</t>
  </si>
  <si>
    <t>0316310</t>
  </si>
  <si>
    <r>
      <t xml:space="preserve">від </t>
    </r>
    <r>
      <rPr>
        <u val="single"/>
        <sz val="14"/>
        <rFont val="Times New Roman"/>
        <family val="1"/>
      </rPr>
      <t>21.07.2017</t>
    </r>
    <r>
      <rPr>
        <sz val="14"/>
        <rFont val="Times New Roman"/>
        <family val="1"/>
      </rPr>
      <t xml:space="preserve"> №</t>
    </r>
    <r>
      <rPr>
        <u val="single"/>
        <sz val="14"/>
        <rFont val="Times New Roman"/>
        <family val="1"/>
      </rPr>
      <t xml:space="preserve"> 770-18/VII_</t>
    </r>
    <r>
      <rPr>
        <sz val="14"/>
        <rFont val="Times New Roman"/>
        <family val="1"/>
      </rPr>
      <t>)</t>
    </r>
  </si>
  <si>
    <t>Про затвердження Комплексної програми сприяння розвитку підприємництва в м.Дніпродзержинську на 2016–2018 роки, рішення міської ради від 30.10.2015 №1431-67/VІ (зі змінами)</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</si>
</sst>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s>
  <fonts count="50">
    <font>
      <sz val="10"/>
      <name val="Arial Cyr"/>
      <family val="0"/>
    </font>
    <font>
      <sz val="8"/>
      <name val="Arial Cyr"/>
      <family val="0"/>
    </font>
    <font>
      <sz val="11"/>
      <name val="Times New Roman"/>
      <family val="1"/>
    </font>
    <font>
      <sz val="10"/>
      <color indexed="8"/>
      <name val="Arial"/>
      <family val="2"/>
    </font>
    <font>
      <sz val="12"/>
      <name val="Times New Roman"/>
      <family val="1"/>
    </font>
    <font>
      <sz val="10"/>
      <name val="Times New Roman"/>
      <family val="1"/>
    </font>
    <font>
      <sz val="10"/>
      <name val="Arial"/>
      <family val="2"/>
    </font>
    <font>
      <sz val="12"/>
      <name val="Arial Cyr"/>
      <family val="0"/>
    </font>
    <font>
      <i/>
      <sz val="11"/>
      <name val="Times New Roman"/>
      <family val="1"/>
    </font>
    <font>
      <i/>
      <sz val="12"/>
      <name val="Times New Roman"/>
      <family val="1"/>
    </font>
    <font>
      <sz val="8"/>
      <name val="Times New Roman"/>
      <family val="1"/>
    </font>
    <font>
      <sz val="14"/>
      <name val="Times New Roman"/>
      <family val="1"/>
    </font>
    <font>
      <b/>
      <sz val="12"/>
      <name val="Times New Roman"/>
      <family val="1"/>
    </font>
    <font>
      <sz val="12"/>
      <color indexed="10"/>
      <name val="Times New Roman"/>
      <family val="1"/>
    </font>
    <font>
      <i/>
      <sz val="12"/>
      <color indexed="10"/>
      <name val="Times New Roman"/>
      <family val="1"/>
    </font>
    <font>
      <u val="single"/>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lignment vertical="top"/>
      <protection/>
    </xf>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1" borderId="0" applyNumberFormat="0" applyBorder="0" applyAlignment="0" applyProtection="0"/>
  </cellStyleXfs>
  <cellXfs count="202">
    <xf numFmtId="0" fontId="0" fillId="0" borderId="0" xfId="0" applyAlignment="1">
      <alignment/>
    </xf>
    <xf numFmtId="49" fontId="2" fillId="0" borderId="0" xfId="0" applyNumberFormat="1" applyFont="1" applyAlignment="1">
      <alignment horizontal="right"/>
    </xf>
    <xf numFmtId="0" fontId="2" fillId="0" borderId="0" xfId="0" applyFont="1" applyAlignment="1">
      <alignment/>
    </xf>
    <xf numFmtId="3" fontId="2" fillId="0" borderId="0" xfId="0" applyNumberFormat="1" applyFont="1" applyBorder="1" applyAlignment="1">
      <alignment vertical="center"/>
    </xf>
    <xf numFmtId="0" fontId="2" fillId="0" borderId="0" xfId="0" applyFont="1" applyBorder="1" applyAlignment="1">
      <alignment/>
    </xf>
    <xf numFmtId="4" fontId="2" fillId="0" borderId="0" xfId="0" applyNumberFormat="1" applyFont="1" applyBorder="1" applyAlignment="1">
      <alignment/>
    </xf>
    <xf numFmtId="188" fontId="2" fillId="0" borderId="0" xfId="0" applyNumberFormat="1" applyFont="1" applyBorder="1" applyAlignment="1">
      <alignment/>
    </xf>
    <xf numFmtId="4" fontId="2" fillId="0" borderId="0" xfId="0" applyNumberFormat="1" applyFont="1" applyAlignment="1">
      <alignment/>
    </xf>
    <xf numFmtId="0" fontId="2" fillId="0" borderId="0" xfId="0" applyFont="1" applyAlignment="1">
      <alignment vertical="center"/>
    </xf>
    <xf numFmtId="3" fontId="2" fillId="0" borderId="0" xfId="0" applyNumberFormat="1" applyFont="1" applyAlignment="1">
      <alignment vertical="center"/>
    </xf>
    <xf numFmtId="4" fontId="2" fillId="0" borderId="10" xfId="0" applyNumberFormat="1" applyFont="1" applyBorder="1" applyAlignment="1">
      <alignment horizontal="right" vertical="center" wrapText="1"/>
    </xf>
    <xf numFmtId="3" fontId="2" fillId="0" borderId="0" xfId="0" applyNumberFormat="1" applyFont="1" applyBorder="1" applyAlignment="1">
      <alignment vertical="center" wrapText="1"/>
    </xf>
    <xf numFmtId="4" fontId="2" fillId="0" borderId="0" xfId="0" applyNumberFormat="1" applyFont="1" applyBorder="1" applyAlignment="1">
      <alignment vertical="center" wrapText="1"/>
    </xf>
    <xf numFmtId="4" fontId="2" fillId="0" borderId="10" xfId="0" applyNumberFormat="1" applyFont="1" applyBorder="1" applyAlignment="1">
      <alignment horizontal="right"/>
    </xf>
    <xf numFmtId="4" fontId="2" fillId="0" borderId="10" xfId="0" applyNumberFormat="1" applyFont="1" applyFill="1" applyBorder="1" applyAlignment="1">
      <alignment horizontal="right"/>
    </xf>
    <xf numFmtId="4" fontId="2" fillId="0" borderId="0" xfId="0" applyNumberFormat="1" applyFont="1" applyBorder="1" applyAlignment="1">
      <alignment horizontal="right"/>
    </xf>
    <xf numFmtId="4" fontId="2" fillId="0" borderId="10" xfId="0" applyNumberFormat="1" applyFont="1" applyBorder="1" applyAlignment="1">
      <alignment/>
    </xf>
    <xf numFmtId="3" fontId="4" fillId="0" borderId="10" xfId="0" applyNumberFormat="1" applyFont="1" applyFill="1" applyBorder="1" applyAlignment="1" applyProtection="1">
      <alignment horizontal="center" vertical="center" wrapText="1"/>
      <protection/>
    </xf>
    <xf numFmtId="3" fontId="4" fillId="0" borderId="10" xfId="48" applyNumberFormat="1" applyFont="1" applyFill="1" applyBorder="1" applyAlignment="1">
      <alignment horizontal="center" vertical="center" wrapText="1"/>
      <protection/>
    </xf>
    <xf numFmtId="0" fontId="2" fillId="0" borderId="0" xfId="0" applyFont="1" applyAlignment="1">
      <alignment horizontal="right" vertical="center" wrapText="1"/>
    </xf>
    <xf numFmtId="0" fontId="2" fillId="0" borderId="0" xfId="0" applyFont="1" applyAlignment="1">
      <alignment horizontal="left" vertical="center"/>
    </xf>
    <xf numFmtId="3" fontId="4" fillId="0" borderId="10" xfId="0" applyNumberFormat="1" applyFont="1" applyFill="1" applyBorder="1" applyAlignment="1">
      <alignment horizontal="center" vertical="center" wrapText="1"/>
    </xf>
    <xf numFmtId="3" fontId="4" fillId="32" borderId="10" xfId="0" applyNumberFormat="1" applyFont="1" applyFill="1" applyBorder="1" applyAlignment="1">
      <alignment horizontal="center" vertical="center" wrapText="1"/>
    </xf>
    <xf numFmtId="3" fontId="4" fillId="0" borderId="10" xfId="0" applyNumberFormat="1" applyFont="1" applyBorder="1" applyAlignment="1">
      <alignment horizontal="center" vertical="center" wrapText="1"/>
    </xf>
    <xf numFmtId="2" fontId="4" fillId="0" borderId="10" xfId="0" applyNumberFormat="1" applyFont="1" applyBorder="1" applyAlignment="1">
      <alignment horizontal="center" vertical="center" wrapText="1"/>
    </xf>
    <xf numFmtId="193" fontId="4" fillId="0" borderId="10" xfId="48" applyNumberFormat="1" applyFont="1" applyFill="1" applyBorder="1" applyAlignment="1">
      <alignment horizontal="center" vertical="top" wrapText="1"/>
      <protection/>
    </xf>
    <xf numFmtId="4" fontId="4" fillId="0" borderId="10" xfId="0" applyNumberFormat="1" applyFont="1" applyFill="1" applyBorder="1" applyAlignment="1" applyProtection="1">
      <alignment horizontal="center" vertical="center" wrapText="1"/>
      <protection/>
    </xf>
    <xf numFmtId="2" fontId="4" fillId="0" borderId="10" xfId="0" applyNumberFormat="1" applyFont="1" applyFill="1" applyBorder="1" applyAlignment="1">
      <alignment horizontal="center" vertical="center" wrapText="1"/>
    </xf>
    <xf numFmtId="4" fontId="4" fillId="0" borderId="11" xfId="48" applyNumberFormat="1" applyFont="1" applyFill="1" applyBorder="1" applyAlignment="1">
      <alignment horizontal="center" vertical="center" wrapText="1"/>
      <protection/>
    </xf>
    <xf numFmtId="4" fontId="4" fillId="0" borderId="11" xfId="48" applyNumberFormat="1" applyFont="1" applyFill="1" applyBorder="1" applyAlignment="1">
      <alignment horizontal="right" vertical="center" wrapText="1"/>
      <protection/>
    </xf>
    <xf numFmtId="3" fontId="4" fillId="0" borderId="11" xfId="0" applyNumberFormat="1" applyFont="1" applyFill="1" applyBorder="1" applyAlignment="1" applyProtection="1">
      <alignment horizontal="center" vertical="center" wrapText="1"/>
      <protection/>
    </xf>
    <xf numFmtId="0" fontId="5" fillId="0" borderId="0" xfId="0" applyFont="1" applyFill="1" applyBorder="1" applyAlignment="1">
      <alignment horizontal="center" vertical="center" wrapText="1"/>
    </xf>
    <xf numFmtId="4" fontId="2" fillId="0" borderId="12" xfId="0" applyNumberFormat="1" applyFont="1" applyBorder="1" applyAlignment="1">
      <alignment/>
    </xf>
    <xf numFmtId="0" fontId="2" fillId="0" borderId="0" xfId="0" applyFont="1" applyBorder="1" applyAlignment="1">
      <alignment vertical="center"/>
    </xf>
    <xf numFmtId="0" fontId="2" fillId="0" borderId="0" xfId="0" applyFont="1" applyAlignment="1">
      <alignment horizontal="left"/>
    </xf>
    <xf numFmtId="0" fontId="4" fillId="4" borderId="10" xfId="0" applyFont="1" applyFill="1" applyBorder="1" applyAlignment="1" quotePrefix="1">
      <alignment horizontal="center" vertical="center" wrapText="1"/>
    </xf>
    <xf numFmtId="0" fontId="4" fillId="4" borderId="10" xfId="0" applyFont="1" applyFill="1" applyBorder="1" applyAlignment="1">
      <alignment horizontal="center" vertical="center" wrapText="1"/>
    </xf>
    <xf numFmtId="2" fontId="4" fillId="4" borderId="10" xfId="0" applyNumberFormat="1" applyFont="1" applyFill="1" applyBorder="1" applyAlignment="1">
      <alignment horizontal="center" vertical="center" wrapText="1"/>
    </xf>
    <xf numFmtId="2" fontId="4" fillId="4" borderId="10" xfId="0" applyNumberFormat="1" applyFont="1" applyFill="1" applyBorder="1" applyAlignment="1">
      <alignment horizontal="left" vertical="center" wrapText="1"/>
    </xf>
    <xf numFmtId="2" fontId="4" fillId="4" borderId="10" xfId="0" applyNumberFormat="1" applyFont="1" applyFill="1" applyBorder="1" applyAlignment="1">
      <alignment vertical="center" wrapText="1"/>
    </xf>
    <xf numFmtId="3" fontId="4" fillId="4" borderId="10" xfId="0" applyNumberFormat="1" applyFont="1" applyFill="1" applyBorder="1" applyAlignment="1">
      <alignment vertical="center" wrapText="1"/>
    </xf>
    <xf numFmtId="0" fontId="4" fillId="0" borderId="10" xfId="0" applyFont="1" applyBorder="1" applyAlignment="1" quotePrefix="1">
      <alignment horizontal="center" vertical="center" wrapText="1"/>
    </xf>
    <xf numFmtId="2" fontId="4" fillId="0" borderId="10" xfId="0" applyNumberFormat="1" applyFont="1" applyBorder="1" applyAlignment="1" quotePrefix="1">
      <alignment horizontal="center" vertical="center" wrapText="1"/>
    </xf>
    <xf numFmtId="2" fontId="4" fillId="0" borderId="10" xfId="0" applyNumberFormat="1" applyFont="1" applyBorder="1" applyAlignment="1">
      <alignment horizontal="left" vertical="center" wrapText="1"/>
    </xf>
    <xf numFmtId="2" fontId="4" fillId="0" borderId="10" xfId="0" applyNumberFormat="1" applyFont="1" applyBorder="1" applyAlignment="1">
      <alignment vertical="center" wrapText="1"/>
    </xf>
    <xf numFmtId="3" fontId="4" fillId="0" borderId="10" xfId="0" applyNumberFormat="1" applyFont="1" applyBorder="1" applyAlignment="1">
      <alignment vertical="center" wrapText="1"/>
    </xf>
    <xf numFmtId="3" fontId="4" fillId="0" borderId="10" xfId="0" applyNumberFormat="1" applyFont="1" applyFill="1" applyBorder="1" applyAlignment="1">
      <alignment vertical="center" wrapText="1"/>
    </xf>
    <xf numFmtId="0" fontId="4" fillId="33" borderId="10" xfId="0"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2" fontId="4" fillId="33" borderId="10" xfId="0" applyNumberFormat="1" applyFont="1" applyFill="1" applyBorder="1" applyAlignment="1">
      <alignment horizontal="left" vertical="center" wrapText="1"/>
    </xf>
    <xf numFmtId="3" fontId="4" fillId="33" borderId="10" xfId="0" applyNumberFormat="1" applyFont="1" applyFill="1" applyBorder="1" applyAlignment="1">
      <alignment vertical="center" wrapText="1"/>
    </xf>
    <xf numFmtId="0" fontId="4" fillId="33" borderId="10" xfId="0" applyFont="1" applyFill="1" applyBorder="1" applyAlignment="1" quotePrefix="1">
      <alignment horizontal="center" vertical="center" wrapText="1"/>
    </xf>
    <xf numFmtId="2" fontId="4" fillId="33" borderId="10" xfId="0" applyNumberFormat="1" applyFont="1" applyFill="1" applyBorder="1" applyAlignment="1" quotePrefix="1">
      <alignment horizontal="left" vertical="center" wrapText="1"/>
    </xf>
    <xf numFmtId="3" fontId="4" fillId="34" borderId="10" xfId="0" applyNumberFormat="1" applyFont="1" applyFill="1" applyBorder="1" applyAlignment="1">
      <alignment vertical="center" wrapText="1"/>
    </xf>
    <xf numFmtId="2" fontId="4" fillId="33" borderId="10" xfId="0" applyNumberFormat="1" applyFont="1" applyFill="1" applyBorder="1" applyAlignment="1" quotePrefix="1">
      <alignment vertical="center" wrapText="1"/>
    </xf>
    <xf numFmtId="3" fontId="4" fillId="4" borderId="10" xfId="0" applyNumberFormat="1" applyFont="1" applyFill="1" applyBorder="1" applyAlignment="1">
      <alignment horizontal="center" vertical="center" wrapText="1"/>
    </xf>
    <xf numFmtId="0" fontId="4" fillId="34" borderId="10" xfId="0" applyFont="1" applyFill="1" applyBorder="1" applyAlignment="1" quotePrefix="1">
      <alignment horizontal="center" vertical="center" wrapText="1"/>
    </xf>
    <xf numFmtId="0" fontId="4" fillId="34" borderId="10" xfId="0" applyFont="1" applyFill="1" applyBorder="1" applyAlignment="1">
      <alignment horizontal="center" vertical="center" wrapText="1"/>
    </xf>
    <xf numFmtId="2" fontId="4" fillId="34" borderId="10" xfId="0" applyNumberFormat="1" applyFont="1" applyFill="1" applyBorder="1" applyAlignment="1">
      <alignment horizontal="center" vertical="center" wrapText="1"/>
    </xf>
    <xf numFmtId="2" fontId="4" fillId="34" borderId="10" xfId="0" applyNumberFormat="1" applyFont="1" applyFill="1" applyBorder="1" applyAlignment="1" quotePrefix="1">
      <alignment vertical="center" wrapText="1"/>
    </xf>
    <xf numFmtId="3" fontId="4" fillId="34" borderId="10" xfId="0" applyNumberFormat="1" applyFont="1" applyFill="1" applyBorder="1" applyAlignment="1">
      <alignment horizontal="center" vertical="center" wrapText="1"/>
    </xf>
    <xf numFmtId="2" fontId="4" fillId="33" borderId="10" xfId="0" applyNumberFormat="1" applyFont="1" applyFill="1" applyBorder="1" applyAlignment="1">
      <alignment vertical="center" wrapText="1"/>
    </xf>
    <xf numFmtId="2" fontId="4" fillId="4" borderId="10" xfId="0" applyNumberFormat="1" applyFont="1" applyFill="1" applyBorder="1" applyAlignment="1" quotePrefix="1">
      <alignment horizontal="left" vertical="center" wrapText="1"/>
    </xf>
    <xf numFmtId="2" fontId="4" fillId="4" borderId="10" xfId="0" applyNumberFormat="1" applyFont="1" applyFill="1" applyBorder="1" applyAlignment="1" quotePrefix="1">
      <alignment vertical="center" wrapText="1"/>
    </xf>
    <xf numFmtId="2" fontId="4" fillId="34" borderId="10" xfId="0" applyNumberFormat="1" applyFont="1" applyFill="1" applyBorder="1" applyAlignment="1">
      <alignment vertical="center" wrapText="1"/>
    </xf>
    <xf numFmtId="2" fontId="4" fillId="33" borderId="10" xfId="0" applyNumberFormat="1" applyFont="1" applyFill="1" applyBorder="1" applyAlignment="1" quotePrefix="1">
      <alignment horizontal="center" vertical="center" wrapText="1"/>
    </xf>
    <xf numFmtId="1" fontId="4" fillId="0" borderId="10" xfId="0" applyNumberFormat="1" applyFont="1" applyBorder="1" applyAlignment="1" quotePrefix="1">
      <alignment horizontal="center" vertical="center" wrapText="1"/>
    </xf>
    <xf numFmtId="1" fontId="4" fillId="0" borderId="11" xfId="0" applyNumberFormat="1" applyFont="1" applyBorder="1" applyAlignment="1" quotePrefix="1">
      <alignment horizontal="center" vertical="center" wrapText="1"/>
    </xf>
    <xf numFmtId="2" fontId="4" fillId="34" borderId="10" xfId="0" applyNumberFormat="1" applyFont="1" applyFill="1" applyBorder="1" applyAlignment="1" quotePrefix="1">
      <alignment horizontal="left" vertical="center" wrapText="1"/>
    </xf>
    <xf numFmtId="2" fontId="4" fillId="34" borderId="10" xfId="0" applyNumberFormat="1" applyFont="1" applyFill="1" applyBorder="1" applyAlignment="1">
      <alignment horizontal="left" vertical="center" wrapText="1"/>
    </xf>
    <xf numFmtId="4" fontId="2" fillId="0" borderId="0" xfId="0" applyNumberFormat="1" applyFont="1" applyBorder="1" applyAlignment="1">
      <alignment horizontal="right" vertical="center" wrapText="1"/>
    </xf>
    <xf numFmtId="4" fontId="2" fillId="0" borderId="0" xfId="0" applyNumberFormat="1" applyFont="1" applyFill="1" applyBorder="1" applyAlignment="1">
      <alignment horizontal="right"/>
    </xf>
    <xf numFmtId="2" fontId="4" fillId="0" borderId="10" xfId="0" applyNumberFormat="1" applyFont="1" applyBorder="1" applyAlignment="1" quotePrefix="1">
      <alignment horizontal="left" vertical="center" wrapText="1"/>
    </xf>
    <xf numFmtId="0" fontId="4" fillId="0" borderId="0" xfId="0" applyFont="1" applyAlignment="1">
      <alignment wrapText="1"/>
    </xf>
    <xf numFmtId="0" fontId="4" fillId="33" borderId="10" xfId="0" applyFont="1" applyFill="1" applyBorder="1" applyAlignment="1">
      <alignment horizontal="center" vertical="center"/>
    </xf>
    <xf numFmtId="0" fontId="4" fillId="0" borderId="10" xfId="0" applyFont="1" applyFill="1" applyBorder="1" applyAlignment="1" quotePrefix="1">
      <alignment horizontal="center" vertical="center" wrapText="1"/>
    </xf>
    <xf numFmtId="2" fontId="4" fillId="0" borderId="10" xfId="0" applyNumberFormat="1" applyFont="1" applyFill="1" applyBorder="1" applyAlignment="1" quotePrefix="1">
      <alignment horizontal="center" vertical="center" wrapText="1"/>
    </xf>
    <xf numFmtId="2" fontId="4" fillId="0" borderId="10" xfId="0" applyNumberFormat="1" applyFont="1" applyFill="1" applyBorder="1" applyAlignment="1">
      <alignment horizontal="left" vertical="center" wrapText="1"/>
    </xf>
    <xf numFmtId="0" fontId="4" fillId="0" borderId="10" xfId="0" applyFont="1" applyBorder="1" applyAlignment="1">
      <alignment horizontal="left" vertical="center" wrapText="1"/>
    </xf>
    <xf numFmtId="4" fontId="2" fillId="0" borderId="0" xfId="0" applyNumberFormat="1" applyFont="1" applyBorder="1" applyAlignment="1">
      <alignment vertical="center"/>
    </xf>
    <xf numFmtId="0" fontId="8" fillId="0" borderId="0" xfId="0" applyFont="1" applyFill="1" applyAlignment="1">
      <alignment horizontal="right"/>
    </xf>
    <xf numFmtId="0" fontId="9" fillId="0" borderId="10" xfId="0" applyFont="1" applyBorder="1" applyAlignment="1" quotePrefix="1">
      <alignment horizontal="center" vertical="center" wrapText="1"/>
    </xf>
    <xf numFmtId="2" fontId="9" fillId="0" borderId="10" xfId="0" applyNumberFormat="1" applyFont="1" applyBorder="1" applyAlignment="1" quotePrefix="1">
      <alignment horizontal="center" vertical="center" wrapText="1"/>
    </xf>
    <xf numFmtId="3" fontId="9" fillId="0" borderId="10" xfId="0" applyNumberFormat="1" applyFont="1" applyFill="1" applyBorder="1" applyAlignment="1" applyProtection="1">
      <alignment horizontal="center" vertical="center" wrapText="1"/>
      <protection/>
    </xf>
    <xf numFmtId="3" fontId="9" fillId="0" borderId="10" xfId="0" applyNumberFormat="1" applyFont="1" applyBorder="1" applyAlignment="1">
      <alignment vertical="center" wrapText="1"/>
    </xf>
    <xf numFmtId="3" fontId="9" fillId="0" borderId="10" xfId="0" applyNumberFormat="1" applyFont="1" applyFill="1" applyBorder="1" applyAlignment="1">
      <alignment vertical="center" wrapText="1"/>
    </xf>
    <xf numFmtId="2" fontId="9" fillId="0" borderId="10" xfId="0" applyNumberFormat="1" applyFont="1" applyBorder="1" applyAlignment="1">
      <alignment horizontal="right" vertical="center" wrapText="1"/>
    </xf>
    <xf numFmtId="0" fontId="4" fillId="0" borderId="10" xfId="0" applyFont="1" applyBorder="1" applyAlignment="1">
      <alignment wrapText="1"/>
    </xf>
    <xf numFmtId="2" fontId="9" fillId="0" borderId="10" xfId="0" applyNumberFormat="1" applyFont="1" applyBorder="1" applyAlignment="1">
      <alignment horizontal="left" vertical="center" wrapText="1"/>
    </xf>
    <xf numFmtId="1" fontId="9" fillId="0" borderId="10" xfId="0" applyNumberFormat="1" applyFont="1" applyBorder="1" applyAlignment="1" quotePrefix="1">
      <alignment horizontal="center" vertical="center" wrapText="1"/>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4" fillId="0" borderId="0" xfId="0" applyFont="1" applyBorder="1" applyAlignment="1">
      <alignment horizontal="right" vertical="center"/>
    </xf>
    <xf numFmtId="3" fontId="4" fillId="4" borderId="0" xfId="0" applyNumberFormat="1" applyFont="1" applyFill="1" applyBorder="1" applyAlignment="1">
      <alignment vertical="center" wrapText="1"/>
    </xf>
    <xf numFmtId="3" fontId="4" fillId="0" borderId="0" xfId="0" applyNumberFormat="1" applyFont="1" applyAlignment="1">
      <alignment vertical="center"/>
    </xf>
    <xf numFmtId="3" fontId="4" fillId="34" borderId="0" xfId="0" applyNumberFormat="1" applyFont="1" applyFill="1" applyBorder="1" applyAlignment="1">
      <alignment vertical="center" wrapText="1"/>
    </xf>
    <xf numFmtId="3" fontId="4" fillId="33" borderId="0" xfId="0" applyNumberFormat="1" applyFont="1" applyFill="1" applyBorder="1" applyAlignment="1">
      <alignment vertical="center" wrapText="1"/>
    </xf>
    <xf numFmtId="3" fontId="4" fillId="0" borderId="0" xfId="0" applyNumberFormat="1" applyFont="1" applyFill="1" applyBorder="1" applyAlignment="1">
      <alignment vertical="center" wrapText="1"/>
    </xf>
    <xf numFmtId="0" fontId="4" fillId="33" borderId="10" xfId="0" applyFont="1" applyFill="1" applyBorder="1" applyAlignment="1">
      <alignment vertical="center"/>
    </xf>
    <xf numFmtId="0" fontId="4" fillId="33" borderId="0" xfId="0" applyFont="1" applyFill="1" applyAlignment="1">
      <alignment vertical="center"/>
    </xf>
    <xf numFmtId="3" fontId="4" fillId="0" borderId="0" xfId="0" applyNumberFormat="1" applyFont="1" applyFill="1" applyAlignment="1">
      <alignment vertical="center"/>
    </xf>
    <xf numFmtId="0" fontId="4" fillId="0" borderId="0" xfId="0" applyFont="1" applyFill="1" applyAlignment="1">
      <alignment vertical="center"/>
    </xf>
    <xf numFmtId="3" fontId="4" fillId="33" borderId="0" xfId="0" applyNumberFormat="1" applyFont="1" applyFill="1" applyAlignment="1">
      <alignment vertical="center"/>
    </xf>
    <xf numFmtId="3" fontId="9" fillId="0" borderId="0" xfId="0" applyNumberFormat="1" applyFont="1" applyFill="1" applyBorder="1" applyAlignment="1">
      <alignment vertical="center" wrapText="1"/>
    </xf>
    <xf numFmtId="3" fontId="9" fillId="0" borderId="0" xfId="0" applyNumberFormat="1" applyFont="1" applyAlignment="1">
      <alignment vertical="center"/>
    </xf>
    <xf numFmtId="0" fontId="9" fillId="0" borderId="0" xfId="0" applyFont="1" applyAlignment="1">
      <alignment vertical="center"/>
    </xf>
    <xf numFmtId="1" fontId="4" fillId="0" borderId="10" xfId="0" applyNumberFormat="1" applyFont="1" applyBorder="1" applyAlignment="1">
      <alignment horizontal="center" vertical="center"/>
    </xf>
    <xf numFmtId="3" fontId="4" fillId="0" borderId="10" xfId="0" applyNumberFormat="1" applyFont="1" applyBorder="1" applyAlignment="1">
      <alignment horizontal="center" vertical="center"/>
    </xf>
    <xf numFmtId="3" fontId="4" fillId="0" borderId="0" xfId="0" applyNumberFormat="1" applyFont="1" applyBorder="1" applyAlignment="1">
      <alignment vertical="center"/>
    </xf>
    <xf numFmtId="0" fontId="5" fillId="0" borderId="0" xfId="0" applyFont="1" applyAlignment="1">
      <alignment horizontal="center" vertical="center"/>
    </xf>
    <xf numFmtId="0" fontId="10" fillId="0" borderId="10" xfId="0" applyFont="1" applyBorder="1" applyAlignment="1">
      <alignment horizontal="center" vertical="center" wrapText="1"/>
    </xf>
    <xf numFmtId="0" fontId="10" fillId="34" borderId="10"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10" fillId="0" borderId="0" xfId="0" applyFont="1" applyAlignment="1">
      <alignment horizontal="center" vertical="center"/>
    </xf>
    <xf numFmtId="3" fontId="4" fillId="0" borderId="10" xfId="0" applyNumberFormat="1" applyFont="1" applyFill="1" applyBorder="1" applyAlignment="1" applyProtection="1">
      <alignment horizontal="right" vertical="center" wrapText="1"/>
      <protection/>
    </xf>
    <xf numFmtId="0" fontId="2" fillId="0" borderId="10" xfId="0" applyFont="1" applyBorder="1" applyAlignment="1" quotePrefix="1">
      <alignment horizontal="center" vertical="center" wrapText="1"/>
    </xf>
    <xf numFmtId="2" fontId="2" fillId="0" borderId="10" xfId="0" applyNumberFormat="1" applyFont="1" applyBorder="1" applyAlignment="1" quotePrefix="1">
      <alignment horizontal="center" vertical="center" wrapText="1"/>
    </xf>
    <xf numFmtId="2" fontId="2" fillId="0" borderId="10" xfId="0" applyNumberFormat="1" applyFont="1" applyBorder="1" applyAlignment="1">
      <alignment vertical="center" wrapText="1"/>
    </xf>
    <xf numFmtId="0" fontId="11" fillId="0" borderId="0" xfId="0" applyFont="1" applyAlignment="1">
      <alignment vertical="center"/>
    </xf>
    <xf numFmtId="0" fontId="11" fillId="0" borderId="0" xfId="0" applyFont="1" applyAlignment="1">
      <alignment horizontal="left" vertical="center"/>
    </xf>
    <xf numFmtId="0" fontId="11" fillId="0" borderId="0" xfId="0" applyFont="1" applyFill="1" applyAlignment="1">
      <alignment vertical="center"/>
    </xf>
    <xf numFmtId="0" fontId="11" fillId="0" borderId="0" xfId="0" applyNumberFormat="1" applyFont="1" applyFill="1" applyAlignment="1" applyProtection="1">
      <alignment vertical="center"/>
      <protection/>
    </xf>
    <xf numFmtId="0" fontId="11" fillId="0" borderId="0" xfId="0" applyNumberFormat="1" applyFont="1" applyFill="1" applyAlignment="1" applyProtection="1">
      <alignment vertical="center" wrapText="1"/>
      <protection/>
    </xf>
    <xf numFmtId="0" fontId="12" fillId="34" borderId="10" xfId="0" applyFont="1" applyFill="1" applyBorder="1" applyAlignment="1">
      <alignment horizontal="center" vertical="center" wrapText="1"/>
    </xf>
    <xf numFmtId="0" fontId="12" fillId="34" borderId="10" xfId="0" applyFont="1" applyFill="1" applyBorder="1" applyAlignment="1" quotePrefix="1">
      <alignment horizontal="center" vertical="center" wrapText="1"/>
    </xf>
    <xf numFmtId="2" fontId="12" fillId="34" borderId="10" xfId="0" applyNumberFormat="1" applyFont="1" applyFill="1" applyBorder="1" applyAlignment="1">
      <alignment horizontal="center" vertical="center" wrapText="1"/>
    </xf>
    <xf numFmtId="2" fontId="12" fillId="34" borderId="10" xfId="0" applyNumberFormat="1" applyFont="1" applyFill="1" applyBorder="1" applyAlignment="1">
      <alignment horizontal="left" vertical="center" wrapText="1"/>
    </xf>
    <xf numFmtId="2" fontId="12" fillId="34" borderId="10" xfId="0" applyNumberFormat="1" applyFont="1" applyFill="1" applyBorder="1" applyAlignment="1">
      <alignment vertical="center" wrapText="1"/>
    </xf>
    <xf numFmtId="3" fontId="12" fillId="34" borderId="10" xfId="0" applyNumberFormat="1" applyFont="1" applyFill="1" applyBorder="1" applyAlignment="1">
      <alignment vertical="center" wrapText="1"/>
    </xf>
    <xf numFmtId="3" fontId="12" fillId="4" borderId="0" xfId="0" applyNumberFormat="1" applyFont="1" applyFill="1" applyBorder="1" applyAlignment="1">
      <alignment vertical="center" wrapText="1"/>
    </xf>
    <xf numFmtId="3" fontId="12" fillId="0" borderId="0" xfId="0" applyNumberFormat="1" applyFont="1" applyAlignment="1">
      <alignment vertical="center"/>
    </xf>
    <xf numFmtId="0" fontId="12" fillId="0" borderId="0" xfId="0" applyFont="1" applyAlignment="1">
      <alignment vertical="center"/>
    </xf>
    <xf numFmtId="49" fontId="4" fillId="0" borderId="10" xfId="0" applyNumberFormat="1" applyFont="1" applyBorder="1" applyAlignment="1">
      <alignment horizontal="center" vertical="center" wrapText="1"/>
    </xf>
    <xf numFmtId="0" fontId="4" fillId="0" borderId="0" xfId="0" applyFont="1" applyAlignment="1">
      <alignment horizontal="center" vertical="center"/>
    </xf>
    <xf numFmtId="3" fontId="13" fillId="35" borderId="0" xfId="0" applyNumberFormat="1" applyFont="1" applyFill="1" applyBorder="1" applyAlignment="1">
      <alignment vertical="center" wrapText="1"/>
    </xf>
    <xf numFmtId="3" fontId="13" fillId="35" borderId="0" xfId="0" applyNumberFormat="1" applyFont="1" applyFill="1" applyAlignment="1">
      <alignment vertical="center"/>
    </xf>
    <xf numFmtId="0" fontId="13" fillId="35" borderId="0" xfId="0" applyFont="1" applyFill="1" applyAlignment="1">
      <alignment vertical="center"/>
    </xf>
    <xf numFmtId="1" fontId="4" fillId="0" borderId="0" xfId="0" applyNumberFormat="1" applyFont="1" applyAlignment="1">
      <alignment vertical="center"/>
    </xf>
    <xf numFmtId="3" fontId="4" fillId="0" borderId="0" xfId="0" applyNumberFormat="1" applyFont="1" applyAlignment="1">
      <alignment horizontal="center" vertical="center"/>
    </xf>
    <xf numFmtId="3" fontId="4" fillId="0" borderId="10" xfId="0" applyNumberFormat="1" applyFont="1" applyBorder="1" applyAlignment="1">
      <alignment vertical="center"/>
    </xf>
    <xf numFmtId="3" fontId="4" fillId="0" borderId="0" xfId="0" applyNumberFormat="1" applyFont="1" applyFill="1" applyBorder="1" applyAlignment="1" applyProtection="1">
      <alignment horizontal="center" vertical="center" wrapText="1"/>
      <protection/>
    </xf>
    <xf numFmtId="49" fontId="4" fillId="0" borderId="10" xfId="0" applyNumberFormat="1" applyFont="1" applyBorder="1" applyAlignment="1" quotePrefix="1">
      <alignment horizontal="center" vertical="center" wrapText="1"/>
    </xf>
    <xf numFmtId="3" fontId="13" fillId="0" borderId="0" xfId="0" applyNumberFormat="1" applyFont="1" applyFill="1" applyBorder="1" applyAlignment="1">
      <alignment vertical="center" wrapText="1"/>
    </xf>
    <xf numFmtId="3" fontId="13" fillId="0" borderId="0" xfId="0" applyNumberFormat="1" applyFont="1" applyAlignment="1">
      <alignment vertical="center"/>
    </xf>
    <xf numFmtId="0" fontId="13" fillId="0" borderId="0" xfId="0" applyFont="1" applyAlignment="1">
      <alignment vertical="center"/>
    </xf>
    <xf numFmtId="4" fontId="4" fillId="0" borderId="10" xfId="0" applyNumberFormat="1" applyFont="1" applyBorder="1" applyAlignment="1">
      <alignment vertical="center" wrapText="1"/>
    </xf>
    <xf numFmtId="4" fontId="4" fillId="0" borderId="10" xfId="0" applyNumberFormat="1" applyFont="1" applyFill="1" applyBorder="1" applyAlignment="1">
      <alignment vertical="center" wrapText="1"/>
    </xf>
    <xf numFmtId="3" fontId="14" fillId="0" borderId="10" xfId="0" applyNumberFormat="1" applyFont="1" applyFill="1" applyBorder="1" applyAlignment="1" applyProtection="1">
      <alignment horizontal="center" vertical="center" wrapText="1"/>
      <protection/>
    </xf>
    <xf numFmtId="3" fontId="14" fillId="0" borderId="10" xfId="0" applyNumberFormat="1" applyFont="1" applyFill="1" applyBorder="1" applyAlignment="1">
      <alignment vertical="center" wrapText="1"/>
    </xf>
    <xf numFmtId="3" fontId="14" fillId="0" borderId="0" xfId="0" applyNumberFormat="1" applyFont="1" applyFill="1" applyBorder="1" applyAlignment="1">
      <alignment vertical="center" wrapText="1"/>
    </xf>
    <xf numFmtId="3" fontId="14" fillId="0" borderId="0" xfId="0" applyNumberFormat="1" applyFont="1" applyAlignment="1">
      <alignment vertical="center"/>
    </xf>
    <xf numFmtId="0" fontId="14" fillId="0" borderId="0" xfId="0" applyFont="1" applyAlignment="1">
      <alignment vertical="center"/>
    </xf>
    <xf numFmtId="0" fontId="8" fillId="0" borderId="10" xfId="0" applyFont="1" applyFill="1" applyBorder="1" applyAlignment="1" quotePrefix="1">
      <alignment horizontal="center" vertical="center" wrapText="1"/>
    </xf>
    <xf numFmtId="49" fontId="8" fillId="0" borderId="10" xfId="0" applyNumberFormat="1" applyFont="1" applyFill="1" applyBorder="1" applyAlignment="1">
      <alignment horizontal="center" vertical="center" wrapText="1"/>
    </xf>
    <xf numFmtId="2" fontId="8" fillId="0" borderId="10" xfId="0" applyNumberFormat="1" applyFont="1" applyFill="1" applyBorder="1" applyAlignment="1" quotePrefix="1">
      <alignment horizontal="center" vertical="center" wrapText="1"/>
    </xf>
    <xf numFmtId="2" fontId="9" fillId="0" borderId="10" xfId="0" applyNumberFormat="1" applyFont="1" applyFill="1" applyBorder="1" applyAlignment="1">
      <alignment horizontal="left" vertical="center" wrapText="1"/>
    </xf>
    <xf numFmtId="3" fontId="11" fillId="0" borderId="0" xfId="0" applyNumberFormat="1" applyFont="1" applyAlignment="1">
      <alignment vertical="center"/>
    </xf>
    <xf numFmtId="4" fontId="13" fillId="0" borderId="0" xfId="0" applyNumberFormat="1" applyFont="1" applyAlignment="1">
      <alignment vertical="center"/>
    </xf>
    <xf numFmtId="3" fontId="13" fillId="0" borderId="0" xfId="0" applyNumberFormat="1" applyFont="1" applyAlignment="1">
      <alignment vertical="center"/>
    </xf>
    <xf numFmtId="2" fontId="4" fillId="0" borderId="13" xfId="0" applyNumberFormat="1" applyFont="1" applyBorder="1" applyAlignment="1">
      <alignment horizontal="center" vertical="center" wrapText="1"/>
    </xf>
    <xf numFmtId="0" fontId="4" fillId="0" borderId="10" xfId="0" applyFont="1" applyBorder="1" applyAlignment="1">
      <alignment vertical="center" wrapText="1"/>
    </xf>
    <xf numFmtId="0" fontId="9" fillId="0" borderId="10" xfId="0" applyNumberFormat="1" applyFont="1" applyBorder="1" applyAlignment="1">
      <alignment vertical="center" wrapText="1"/>
    </xf>
    <xf numFmtId="2" fontId="4" fillId="0" borderId="0" xfId="0" applyNumberFormat="1" applyFont="1" applyAlignment="1">
      <alignment vertical="center" wrapText="1"/>
    </xf>
    <xf numFmtId="3" fontId="4" fillId="0" borderId="12" xfId="0" applyNumberFormat="1" applyFont="1" applyFill="1" applyBorder="1" applyAlignment="1">
      <alignment vertical="center" wrapText="1"/>
    </xf>
    <xf numFmtId="1" fontId="4" fillId="0" borderId="0" xfId="0" applyNumberFormat="1" applyFont="1" applyBorder="1" applyAlignment="1">
      <alignment vertical="center"/>
    </xf>
    <xf numFmtId="3" fontId="4" fillId="0" borderId="0" xfId="0" applyNumberFormat="1" applyFont="1" applyBorder="1" applyAlignment="1">
      <alignment horizontal="center" vertical="center"/>
    </xf>
    <xf numFmtId="0" fontId="4" fillId="0" borderId="11" xfId="0" applyFont="1" applyBorder="1" applyAlignment="1" quotePrefix="1">
      <alignment horizontal="center" vertical="center" wrapText="1"/>
    </xf>
    <xf numFmtId="0" fontId="4" fillId="0" borderId="13" xfId="0" applyFont="1" applyBorder="1" applyAlignment="1" quotePrefix="1">
      <alignment horizontal="center"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3" fontId="4" fillId="0" borderId="11" xfId="0" applyNumberFormat="1"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2" fontId="4" fillId="0" borderId="11" xfId="0" applyNumberFormat="1" applyFont="1" applyBorder="1" applyAlignment="1">
      <alignment horizontal="center" vertical="center" wrapText="1"/>
    </xf>
    <xf numFmtId="2" fontId="4" fillId="0" borderId="14" xfId="0" applyNumberFormat="1" applyFont="1" applyBorder="1" applyAlignment="1">
      <alignment horizontal="center" vertical="center" wrapText="1"/>
    </xf>
    <xf numFmtId="2" fontId="4" fillId="0" borderId="13" xfId="0" applyNumberFormat="1" applyFont="1" applyBorder="1" applyAlignment="1">
      <alignment horizontal="center" vertical="center" wrapText="1"/>
    </xf>
    <xf numFmtId="3" fontId="4" fillId="0" borderId="11"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3" fontId="4" fillId="0" borderId="11" xfId="48" applyNumberFormat="1" applyFont="1" applyFill="1" applyBorder="1" applyAlignment="1">
      <alignment horizontal="center" vertical="center" wrapText="1"/>
      <protection/>
    </xf>
    <xf numFmtId="3" fontId="4" fillId="0" borderId="13" xfId="48" applyNumberFormat="1" applyFont="1" applyFill="1" applyBorder="1" applyAlignment="1">
      <alignment horizontal="center" vertical="center" wrapText="1"/>
      <protection/>
    </xf>
    <xf numFmtId="0" fontId="11" fillId="0" borderId="0" xfId="0" applyFont="1" applyAlignment="1">
      <alignment horizontal="center" vertical="center"/>
    </xf>
    <xf numFmtId="0" fontId="11"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3" fontId="4" fillId="0" borderId="11" xfId="0" applyNumberFormat="1" applyFont="1" applyFill="1" applyBorder="1" applyAlignment="1" applyProtection="1">
      <alignment horizontal="center" vertical="center" wrapText="1"/>
      <protection/>
    </xf>
    <xf numFmtId="3" fontId="4" fillId="0" borderId="14" xfId="0" applyNumberFormat="1" applyFont="1" applyFill="1" applyBorder="1" applyAlignment="1" applyProtection="1">
      <alignment horizontal="center" vertical="center" wrapText="1"/>
      <protection/>
    </xf>
    <xf numFmtId="3" fontId="4" fillId="0" borderId="13" xfId="0" applyNumberFormat="1" applyFont="1" applyFill="1" applyBorder="1" applyAlignment="1" applyProtection="1">
      <alignment horizontal="center" vertical="center" wrapText="1"/>
      <protection/>
    </xf>
    <xf numFmtId="2" fontId="4" fillId="0" borderId="11" xfId="0" applyNumberFormat="1" applyFont="1" applyBorder="1" applyAlignment="1" quotePrefix="1">
      <alignment horizontal="center" vertical="center" wrapText="1"/>
    </xf>
    <xf numFmtId="2" fontId="4" fillId="0" borderId="13" xfId="0" applyNumberFormat="1" applyFont="1" applyBorder="1" applyAlignment="1" quotePrefix="1">
      <alignment horizontal="center" vertical="center" wrapText="1"/>
    </xf>
    <xf numFmtId="2" fontId="4" fillId="0" borderId="11" xfId="0" applyNumberFormat="1" applyFont="1" applyBorder="1" applyAlignment="1">
      <alignment horizontal="left" vertical="center" wrapText="1"/>
    </xf>
    <xf numFmtId="2" fontId="4" fillId="0" borderId="13" xfId="0" applyNumberFormat="1" applyFont="1" applyBorder="1" applyAlignment="1">
      <alignment horizontal="left" vertical="center" wrapText="1"/>
    </xf>
    <xf numFmtId="2" fontId="4" fillId="0" borderId="14" xfId="0" applyNumberFormat="1" applyFont="1" applyBorder="1" applyAlignment="1">
      <alignment horizontal="left" vertical="center" wrapText="1"/>
    </xf>
    <xf numFmtId="3" fontId="4" fillId="0" borderId="15" xfId="0" applyNumberFormat="1" applyFont="1" applyFill="1" applyBorder="1" applyAlignment="1" applyProtection="1">
      <alignment horizontal="center" vertical="center" wrapText="1"/>
      <protection/>
    </xf>
    <xf numFmtId="0" fontId="7" fillId="0" borderId="13" xfId="0" applyFont="1" applyBorder="1" applyAlignment="1">
      <alignment horizontal="center" vertical="center" wrapText="1"/>
    </xf>
    <xf numFmtId="3" fontId="4" fillId="32" borderId="11" xfId="0" applyNumberFormat="1" applyFont="1" applyFill="1" applyBorder="1" applyAlignment="1">
      <alignment horizontal="center" vertical="center" wrapText="1"/>
    </xf>
    <xf numFmtId="3" fontId="4" fillId="32" borderId="13" xfId="0" applyNumberFormat="1"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вичайний_Додаток _ 3 зм_ни 4575"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07"/>
  <sheetViews>
    <sheetView tabSelected="1" view="pageBreakPreview" zoomScale="65" zoomScaleSheetLayoutView="65" zoomScalePageLayoutView="0" workbookViewId="0" topLeftCell="A1">
      <pane xSplit="4" ySplit="14" topLeftCell="E247" activePane="bottomRight" state="frozen"/>
      <selection pane="topLeft" activeCell="A1" sqref="A1"/>
      <selection pane="topRight" activeCell="E1" sqref="E1"/>
      <selection pane="bottomLeft" activeCell="A13" sqref="A13"/>
      <selection pane="bottomRight" activeCell="G154" sqref="G154"/>
    </sheetView>
  </sheetViews>
  <sheetFormatPr defaultColWidth="9.00390625" defaultRowHeight="12.75"/>
  <cols>
    <col min="1" max="1" width="14.375" style="8" customWidth="1"/>
    <col min="2" max="2" width="11.75390625" style="8" customWidth="1"/>
    <col min="3" max="3" width="12.00390625" style="8" customWidth="1"/>
    <col min="4" max="4" width="44.25390625" style="20" customWidth="1"/>
    <col min="5" max="5" width="63.00390625" style="8" customWidth="1"/>
    <col min="6" max="6" width="14.625" style="8" customWidth="1"/>
    <col min="7" max="7" width="14.25390625" style="8" customWidth="1"/>
    <col min="8" max="8" width="14.875" style="8" customWidth="1"/>
    <col min="9" max="9" width="17.75390625" style="33" customWidth="1"/>
    <col min="10" max="10" width="11.00390625" style="8" customWidth="1"/>
    <col min="11" max="11" width="14.375" style="8" bestFit="1" customWidth="1"/>
    <col min="12" max="13" width="11.625" style="8" bestFit="1" customWidth="1"/>
    <col min="14" max="16384" width="9.125" style="8" customWidth="1"/>
  </cols>
  <sheetData>
    <row r="1" spans="1:9" s="90" customFormat="1" ht="18.75">
      <c r="A1" s="121"/>
      <c r="B1" s="121"/>
      <c r="C1" s="121"/>
      <c r="D1" s="122"/>
      <c r="E1" s="121"/>
      <c r="F1" s="121" t="s">
        <v>336</v>
      </c>
      <c r="G1" s="121"/>
      <c r="H1" s="121"/>
      <c r="I1" s="92"/>
    </row>
    <row r="2" spans="1:9" s="90" customFormat="1" ht="18.75">
      <c r="A2" s="121"/>
      <c r="B2" s="121"/>
      <c r="C2" s="121"/>
      <c r="D2" s="122"/>
      <c r="E2" s="121"/>
      <c r="F2" s="121" t="s">
        <v>337</v>
      </c>
      <c r="G2" s="121"/>
      <c r="H2" s="121"/>
      <c r="I2" s="92"/>
    </row>
    <row r="3" spans="1:9" s="90" customFormat="1" ht="24" customHeight="1">
      <c r="A3" s="121"/>
      <c r="B3" s="121"/>
      <c r="C3" s="121"/>
      <c r="D3" s="122"/>
      <c r="E3" s="121"/>
      <c r="F3" s="121" t="s">
        <v>341</v>
      </c>
      <c r="G3" s="121"/>
      <c r="H3" s="121"/>
      <c r="I3" s="92"/>
    </row>
    <row r="4" spans="1:9" s="90" customFormat="1" ht="18.75">
      <c r="A4" s="121"/>
      <c r="B4" s="121"/>
      <c r="C4" s="121"/>
      <c r="D4" s="122"/>
      <c r="E4" s="121"/>
      <c r="F4" s="121" t="s">
        <v>342</v>
      </c>
      <c r="G4" s="121"/>
      <c r="H4" s="121"/>
      <c r="I4" s="92"/>
    </row>
    <row r="5" spans="1:9" s="90" customFormat="1" ht="18.75">
      <c r="A5" s="121"/>
      <c r="B5" s="121"/>
      <c r="C5" s="121"/>
      <c r="D5" s="122"/>
      <c r="E5" s="159"/>
      <c r="F5" s="121" t="s">
        <v>411</v>
      </c>
      <c r="G5" s="121"/>
      <c r="H5" s="121"/>
      <c r="I5" s="92"/>
    </row>
    <row r="6" spans="1:9" s="90" customFormat="1" ht="18.75">
      <c r="A6" s="121"/>
      <c r="B6" s="121"/>
      <c r="C6" s="121"/>
      <c r="D6" s="122"/>
      <c r="E6" s="121"/>
      <c r="F6" s="121"/>
      <c r="G6" s="121"/>
      <c r="H6" s="121"/>
      <c r="I6" s="92"/>
    </row>
    <row r="7" spans="1:9" s="90" customFormat="1" ht="18.75">
      <c r="A7" s="121"/>
      <c r="B7" s="121"/>
      <c r="C7" s="121"/>
      <c r="D7" s="186" t="s">
        <v>334</v>
      </c>
      <c r="E7" s="186"/>
      <c r="F7" s="121"/>
      <c r="G7" s="121"/>
      <c r="H7" s="121"/>
      <c r="I7" s="92"/>
    </row>
    <row r="8" spans="1:9" s="90" customFormat="1" ht="38.25" customHeight="1">
      <c r="A8" s="187" t="s">
        <v>333</v>
      </c>
      <c r="B8" s="186"/>
      <c r="C8" s="186"/>
      <c r="D8" s="186"/>
      <c r="E8" s="186"/>
      <c r="F8" s="186"/>
      <c r="G8" s="186"/>
      <c r="H8" s="186"/>
      <c r="I8" s="93"/>
    </row>
    <row r="9" spans="1:9" s="90" customFormat="1" ht="15.75">
      <c r="A9" s="188"/>
      <c r="B9" s="189"/>
      <c r="C9" s="189"/>
      <c r="D9" s="189"/>
      <c r="E9" s="189"/>
      <c r="F9" s="189"/>
      <c r="G9" s="189"/>
      <c r="H9" s="189"/>
      <c r="I9" s="93"/>
    </row>
    <row r="10" spans="4:9" s="90" customFormat="1" ht="15.75">
      <c r="D10" s="91"/>
      <c r="H10" s="94" t="s">
        <v>0</v>
      </c>
      <c r="I10" s="95"/>
    </row>
    <row r="11" spans="1:9" s="112" customFormat="1" ht="15" customHeight="1">
      <c r="A11" s="172" t="s">
        <v>252</v>
      </c>
      <c r="B11" s="172" t="s">
        <v>251</v>
      </c>
      <c r="C11" s="172" t="s">
        <v>335</v>
      </c>
      <c r="D11" s="173" t="s">
        <v>338</v>
      </c>
      <c r="E11" s="176" t="s">
        <v>224</v>
      </c>
      <c r="F11" s="176" t="s">
        <v>1</v>
      </c>
      <c r="G11" s="176" t="s">
        <v>3</v>
      </c>
      <c r="H11" s="171" t="s">
        <v>250</v>
      </c>
      <c r="I11" s="31"/>
    </row>
    <row r="12" spans="1:9" s="112" customFormat="1" ht="15" customHeight="1">
      <c r="A12" s="172"/>
      <c r="B12" s="172"/>
      <c r="C12" s="172"/>
      <c r="D12" s="173"/>
      <c r="E12" s="177"/>
      <c r="F12" s="177"/>
      <c r="G12" s="177"/>
      <c r="H12" s="171"/>
      <c r="I12" s="31"/>
    </row>
    <row r="13" spans="1:9" s="112" customFormat="1" ht="15" customHeight="1">
      <c r="A13" s="172"/>
      <c r="B13" s="172"/>
      <c r="C13" s="172"/>
      <c r="D13" s="173"/>
      <c r="E13" s="177"/>
      <c r="F13" s="177"/>
      <c r="G13" s="177"/>
      <c r="H13" s="171"/>
      <c r="I13" s="31"/>
    </row>
    <row r="14" spans="1:9" s="112" customFormat="1" ht="37.5" customHeight="1">
      <c r="A14" s="172"/>
      <c r="B14" s="172"/>
      <c r="C14" s="172"/>
      <c r="D14" s="173"/>
      <c r="E14" s="178"/>
      <c r="F14" s="178"/>
      <c r="G14" s="178"/>
      <c r="H14" s="171"/>
      <c r="I14" s="31"/>
    </row>
    <row r="15" spans="1:9" s="116" customFormat="1" ht="9" customHeight="1">
      <c r="A15" s="113">
        <v>1</v>
      </c>
      <c r="B15" s="113">
        <v>2</v>
      </c>
      <c r="C15" s="113">
        <v>3</v>
      </c>
      <c r="D15" s="113">
        <v>4</v>
      </c>
      <c r="E15" s="113">
        <v>5</v>
      </c>
      <c r="F15" s="113">
        <v>6</v>
      </c>
      <c r="G15" s="114">
        <v>7</v>
      </c>
      <c r="H15" s="114">
        <v>8</v>
      </c>
      <c r="I15" s="115"/>
    </row>
    <row r="16" spans="1:10" s="90" customFormat="1" ht="15.75">
      <c r="A16" s="35" t="s">
        <v>4</v>
      </c>
      <c r="B16" s="36"/>
      <c r="C16" s="37"/>
      <c r="D16" s="62" t="s">
        <v>5</v>
      </c>
      <c r="E16" s="63"/>
      <c r="F16" s="40">
        <f>F17</f>
        <v>1285838</v>
      </c>
      <c r="G16" s="40">
        <f>G17</f>
        <v>40000</v>
      </c>
      <c r="H16" s="40">
        <f>F16+G16</f>
        <v>1325838</v>
      </c>
      <c r="I16" s="96"/>
      <c r="J16" s="97"/>
    </row>
    <row r="17" spans="1:10" s="90" customFormat="1" ht="15.75">
      <c r="A17" s="56" t="s">
        <v>6</v>
      </c>
      <c r="B17" s="57"/>
      <c r="C17" s="58"/>
      <c r="D17" s="69" t="s">
        <v>216</v>
      </c>
      <c r="E17" s="64"/>
      <c r="F17" s="53">
        <f>F19+F20+F21+F22</f>
        <v>1285838</v>
      </c>
      <c r="G17" s="53">
        <f>G19+G20+G21</f>
        <v>40000</v>
      </c>
      <c r="H17" s="53">
        <f aca="true" t="shared" si="0" ref="H17:H76">F17+G17</f>
        <v>1325838</v>
      </c>
      <c r="I17" s="98"/>
      <c r="J17" s="97"/>
    </row>
    <row r="18" spans="1:10" s="90" customFormat="1" ht="15.75">
      <c r="A18" s="51" t="s">
        <v>7</v>
      </c>
      <c r="B18" s="47"/>
      <c r="C18" s="48"/>
      <c r="D18" s="52" t="s">
        <v>8</v>
      </c>
      <c r="E18" s="54"/>
      <c r="F18" s="50">
        <f>F19+F20</f>
        <v>969300</v>
      </c>
      <c r="G18" s="50">
        <f>G19+G20</f>
        <v>40000</v>
      </c>
      <c r="H18" s="50">
        <f t="shared" si="0"/>
        <v>1009300</v>
      </c>
      <c r="I18" s="99"/>
      <c r="J18" s="97"/>
    </row>
    <row r="19" spans="1:10" s="90" customFormat="1" ht="53.25" customHeight="1">
      <c r="A19" s="41" t="s">
        <v>9</v>
      </c>
      <c r="B19" s="41">
        <v>7211</v>
      </c>
      <c r="C19" s="42" t="s">
        <v>10</v>
      </c>
      <c r="D19" s="43" t="s">
        <v>297</v>
      </c>
      <c r="E19" s="24" t="s">
        <v>368</v>
      </c>
      <c r="F19" s="45">
        <f>450000+59300-40000</f>
        <v>469300</v>
      </c>
      <c r="G19" s="46">
        <v>40000</v>
      </c>
      <c r="H19" s="46">
        <f t="shared" si="0"/>
        <v>509300</v>
      </c>
      <c r="I19" s="100"/>
      <c r="J19" s="97"/>
    </row>
    <row r="20" spans="1:10" s="90" customFormat="1" ht="63">
      <c r="A20" s="41" t="s">
        <v>11</v>
      </c>
      <c r="B20" s="41">
        <v>7212</v>
      </c>
      <c r="C20" s="42" t="s">
        <v>10</v>
      </c>
      <c r="D20" s="43" t="s">
        <v>298</v>
      </c>
      <c r="E20" s="24" t="s">
        <v>299</v>
      </c>
      <c r="F20" s="45">
        <f>400000+100000</f>
        <v>500000</v>
      </c>
      <c r="G20" s="46"/>
      <c r="H20" s="46">
        <f t="shared" si="0"/>
        <v>500000</v>
      </c>
      <c r="I20" s="100"/>
      <c r="J20" s="97"/>
    </row>
    <row r="21" spans="1:10" s="90" customFormat="1" ht="51.75" customHeight="1">
      <c r="A21" s="41" t="s">
        <v>321</v>
      </c>
      <c r="B21" s="41">
        <v>8601</v>
      </c>
      <c r="C21" s="42" t="s">
        <v>12</v>
      </c>
      <c r="D21" s="44" t="s">
        <v>325</v>
      </c>
      <c r="E21" s="18" t="s">
        <v>267</v>
      </c>
      <c r="F21" s="45">
        <f>209300-25580+12818</f>
        <v>196538</v>
      </c>
      <c r="G21" s="46"/>
      <c r="H21" s="46">
        <f t="shared" si="0"/>
        <v>196538</v>
      </c>
      <c r="I21" s="100"/>
      <c r="J21" s="97"/>
    </row>
    <row r="22" spans="1:10" s="90" customFormat="1" ht="41.25" customHeight="1">
      <c r="A22" s="135" t="s">
        <v>360</v>
      </c>
      <c r="B22" s="135" t="s">
        <v>361</v>
      </c>
      <c r="C22" s="135" t="s">
        <v>12</v>
      </c>
      <c r="D22" s="44" t="s">
        <v>363</v>
      </c>
      <c r="E22" s="18" t="s">
        <v>362</v>
      </c>
      <c r="F22" s="45">
        <v>120000</v>
      </c>
      <c r="G22" s="46"/>
      <c r="H22" s="46">
        <f t="shared" si="0"/>
        <v>120000</v>
      </c>
      <c r="I22" s="100"/>
      <c r="J22" s="97"/>
    </row>
    <row r="23" spans="1:10" s="90" customFormat="1" ht="110.25">
      <c r="A23" s="35" t="s">
        <v>14</v>
      </c>
      <c r="B23" s="36"/>
      <c r="C23" s="37"/>
      <c r="D23" s="62" t="s">
        <v>318</v>
      </c>
      <c r="E23" s="63"/>
      <c r="F23" s="40">
        <f>F24+F30+F34</f>
        <v>9149414</v>
      </c>
      <c r="G23" s="40">
        <f>G24+G30+G34</f>
        <v>512550</v>
      </c>
      <c r="H23" s="40">
        <f t="shared" si="0"/>
        <v>9661964</v>
      </c>
      <c r="I23" s="96"/>
      <c r="J23" s="97"/>
    </row>
    <row r="24" spans="1:10" s="90" customFormat="1" ht="31.5">
      <c r="A24" s="56" t="s">
        <v>261</v>
      </c>
      <c r="B24" s="57"/>
      <c r="C24" s="58"/>
      <c r="D24" s="68" t="s">
        <v>213</v>
      </c>
      <c r="E24" s="59"/>
      <c r="F24" s="53">
        <f>F25+F26+F27+F28+F29</f>
        <v>3268353</v>
      </c>
      <c r="G24" s="53">
        <f>G25+G26+G27+G28+G29</f>
        <v>340550</v>
      </c>
      <c r="H24" s="53">
        <f>H25+H26+H27+H28+H29</f>
        <v>3608903</v>
      </c>
      <c r="I24" s="98"/>
      <c r="J24" s="97"/>
    </row>
    <row r="25" spans="1:10" s="90" customFormat="1" ht="47.25">
      <c r="A25" s="41" t="s">
        <v>262</v>
      </c>
      <c r="B25" s="41">
        <v>3240</v>
      </c>
      <c r="C25" s="42" t="s">
        <v>15</v>
      </c>
      <c r="D25" s="43" t="s">
        <v>16</v>
      </c>
      <c r="E25" s="27" t="s">
        <v>237</v>
      </c>
      <c r="F25" s="29">
        <v>60900</v>
      </c>
      <c r="G25" s="46">
        <v>0</v>
      </c>
      <c r="H25" s="46">
        <f t="shared" si="0"/>
        <v>60900</v>
      </c>
      <c r="I25" s="100"/>
      <c r="J25" s="97"/>
    </row>
    <row r="26" spans="1:10" s="90" customFormat="1" ht="51.75" customHeight="1">
      <c r="A26" s="41" t="s">
        <v>375</v>
      </c>
      <c r="B26" s="41">
        <v>6010</v>
      </c>
      <c r="C26" s="42" t="s">
        <v>143</v>
      </c>
      <c r="D26" s="43" t="s">
        <v>305</v>
      </c>
      <c r="E26" s="24" t="s">
        <v>237</v>
      </c>
      <c r="F26" s="29">
        <v>0</v>
      </c>
      <c r="G26" s="46">
        <v>30550</v>
      </c>
      <c r="H26" s="46">
        <f t="shared" si="0"/>
        <v>30550</v>
      </c>
      <c r="I26" s="100"/>
      <c r="J26" s="97"/>
    </row>
    <row r="27" spans="1:13" s="90" customFormat="1" ht="50.25" customHeight="1">
      <c r="A27" s="41" t="s">
        <v>263</v>
      </c>
      <c r="B27" s="41">
        <v>6060</v>
      </c>
      <c r="C27" s="42" t="s">
        <v>17</v>
      </c>
      <c r="D27" s="43" t="s">
        <v>18</v>
      </c>
      <c r="E27" s="24" t="s">
        <v>237</v>
      </c>
      <c r="F27" s="45">
        <f>2400000-20000</f>
        <v>2380000</v>
      </c>
      <c r="G27" s="46">
        <v>0</v>
      </c>
      <c r="H27" s="166">
        <f t="shared" si="0"/>
        <v>2380000</v>
      </c>
      <c r="I27" s="100"/>
      <c r="J27" s="111"/>
      <c r="K27" s="92"/>
      <c r="L27" s="92"/>
      <c r="M27" s="92"/>
    </row>
    <row r="28" spans="1:13" s="90" customFormat="1" ht="52.5" customHeight="1">
      <c r="A28" s="66" t="s">
        <v>410</v>
      </c>
      <c r="B28" s="41">
        <v>6310</v>
      </c>
      <c r="C28" s="42" t="s">
        <v>68</v>
      </c>
      <c r="D28" s="43" t="s">
        <v>311</v>
      </c>
      <c r="E28" s="18" t="s">
        <v>384</v>
      </c>
      <c r="F28" s="45">
        <v>0</v>
      </c>
      <c r="G28" s="46">
        <v>310000</v>
      </c>
      <c r="H28" s="166">
        <f t="shared" si="0"/>
        <v>310000</v>
      </c>
      <c r="I28" s="167"/>
      <c r="J28" s="168"/>
      <c r="K28" s="168"/>
      <c r="L28" s="111"/>
      <c r="M28" s="92"/>
    </row>
    <row r="29" spans="1:10" s="90" customFormat="1" ht="47.25">
      <c r="A29" s="41" t="s">
        <v>322</v>
      </c>
      <c r="B29" s="41">
        <v>8602</v>
      </c>
      <c r="C29" s="42" t="s">
        <v>12</v>
      </c>
      <c r="D29" s="43" t="s">
        <v>326</v>
      </c>
      <c r="E29" s="24" t="s">
        <v>235</v>
      </c>
      <c r="F29" s="45">
        <v>827453</v>
      </c>
      <c r="G29" s="46"/>
      <c r="H29" s="46">
        <f t="shared" si="0"/>
        <v>827453</v>
      </c>
      <c r="I29" s="100"/>
      <c r="J29" s="97"/>
    </row>
    <row r="30" spans="1:10" s="90" customFormat="1" ht="31.5">
      <c r="A30" s="56" t="s">
        <v>261</v>
      </c>
      <c r="B30" s="57"/>
      <c r="C30" s="58"/>
      <c r="D30" s="68" t="s">
        <v>214</v>
      </c>
      <c r="E30" s="59"/>
      <c r="F30" s="53">
        <f>SUM(F31:F33)</f>
        <v>2852772</v>
      </c>
      <c r="G30" s="53">
        <f>SUM(G31:G33)</f>
        <v>172000</v>
      </c>
      <c r="H30" s="53">
        <f>F30+G30</f>
        <v>3024772</v>
      </c>
      <c r="I30" s="98"/>
      <c r="J30" s="97"/>
    </row>
    <row r="31" spans="1:10" s="90" customFormat="1" ht="47.25">
      <c r="A31" s="41" t="s">
        <v>262</v>
      </c>
      <c r="B31" s="41">
        <v>3240</v>
      </c>
      <c r="C31" s="42" t="s">
        <v>15</v>
      </c>
      <c r="D31" s="43" t="s">
        <v>16</v>
      </c>
      <c r="E31" s="27" t="s">
        <v>237</v>
      </c>
      <c r="F31" s="28">
        <v>40000</v>
      </c>
      <c r="G31" s="46"/>
      <c r="H31" s="46">
        <f t="shared" si="0"/>
        <v>40000</v>
      </c>
      <c r="I31" s="100"/>
      <c r="J31" s="97"/>
    </row>
    <row r="32" spans="1:10" s="90" customFormat="1" ht="47.25">
      <c r="A32" s="41" t="s">
        <v>263</v>
      </c>
      <c r="B32" s="41">
        <v>6060</v>
      </c>
      <c r="C32" s="42" t="s">
        <v>17</v>
      </c>
      <c r="D32" s="43" t="s">
        <v>18</v>
      </c>
      <c r="E32" s="25" t="s">
        <v>237</v>
      </c>
      <c r="F32" s="45">
        <f>2035000+121958-12000+35000</f>
        <v>2179958</v>
      </c>
      <c r="G32" s="46">
        <f>160000+12000</f>
        <v>172000</v>
      </c>
      <c r="H32" s="46">
        <f t="shared" si="0"/>
        <v>2351958</v>
      </c>
      <c r="I32" s="100"/>
      <c r="J32" s="97"/>
    </row>
    <row r="33" spans="1:10" s="90" customFormat="1" ht="47.25">
      <c r="A33" s="41" t="s">
        <v>322</v>
      </c>
      <c r="B33" s="41">
        <v>8602</v>
      </c>
      <c r="C33" s="42" t="s">
        <v>12</v>
      </c>
      <c r="D33" s="43" t="s">
        <v>326</v>
      </c>
      <c r="E33" s="24" t="s">
        <v>235</v>
      </c>
      <c r="F33" s="45">
        <v>632814</v>
      </c>
      <c r="G33" s="46"/>
      <c r="H33" s="46">
        <f t="shared" si="0"/>
        <v>632814</v>
      </c>
      <c r="I33" s="100"/>
      <c r="J33" s="97"/>
    </row>
    <row r="34" spans="1:10" s="90" customFormat="1" ht="31.5">
      <c r="A34" s="56" t="s">
        <v>261</v>
      </c>
      <c r="B34" s="57"/>
      <c r="C34" s="58"/>
      <c r="D34" s="68" t="s">
        <v>215</v>
      </c>
      <c r="E34" s="59"/>
      <c r="F34" s="53">
        <f>SUM(F35:F37)</f>
        <v>3028289</v>
      </c>
      <c r="G34" s="53">
        <f>SUM(G35:G37)</f>
        <v>0</v>
      </c>
      <c r="H34" s="53">
        <f t="shared" si="0"/>
        <v>3028289</v>
      </c>
      <c r="I34" s="98"/>
      <c r="J34" s="97"/>
    </row>
    <row r="35" spans="1:10" s="90" customFormat="1" ht="47.25">
      <c r="A35" s="41" t="s">
        <v>262</v>
      </c>
      <c r="B35" s="41">
        <v>3240</v>
      </c>
      <c r="C35" s="42" t="s">
        <v>15</v>
      </c>
      <c r="D35" s="43" t="s">
        <v>16</v>
      </c>
      <c r="E35" s="27" t="s">
        <v>237</v>
      </c>
      <c r="F35" s="29">
        <v>100000</v>
      </c>
      <c r="G35" s="46"/>
      <c r="H35" s="46">
        <f t="shared" si="0"/>
        <v>100000</v>
      </c>
      <c r="I35" s="100"/>
      <c r="J35" s="97"/>
    </row>
    <row r="36" spans="1:10" s="90" customFormat="1" ht="47.25">
      <c r="A36" s="41" t="s">
        <v>263</v>
      </c>
      <c r="B36" s="41">
        <v>6060</v>
      </c>
      <c r="C36" s="42" t="s">
        <v>17</v>
      </c>
      <c r="D36" s="43" t="s">
        <v>18</v>
      </c>
      <c r="E36" s="25" t="s">
        <v>237</v>
      </c>
      <c r="F36" s="45">
        <v>2405000</v>
      </c>
      <c r="G36" s="46"/>
      <c r="H36" s="46">
        <f t="shared" si="0"/>
        <v>2405000</v>
      </c>
      <c r="I36" s="100"/>
      <c r="J36" s="97"/>
    </row>
    <row r="37" spans="1:10" s="90" customFormat="1" ht="47.25">
      <c r="A37" s="41" t="s">
        <v>322</v>
      </c>
      <c r="B37" s="41">
        <v>8602</v>
      </c>
      <c r="C37" s="42" t="s">
        <v>12</v>
      </c>
      <c r="D37" s="43" t="s">
        <v>326</v>
      </c>
      <c r="E37" s="24" t="s">
        <v>235</v>
      </c>
      <c r="F37" s="45">
        <v>523289</v>
      </c>
      <c r="G37" s="46"/>
      <c r="H37" s="46">
        <f t="shared" si="0"/>
        <v>523289</v>
      </c>
      <c r="I37" s="100"/>
      <c r="J37" s="97"/>
    </row>
    <row r="38" spans="1:10" s="90" customFormat="1" ht="31.5">
      <c r="A38" s="35" t="s">
        <v>19</v>
      </c>
      <c r="B38" s="36"/>
      <c r="C38" s="37"/>
      <c r="D38" s="38" t="s">
        <v>257</v>
      </c>
      <c r="E38" s="39"/>
      <c r="F38" s="40">
        <f>F39</f>
        <v>11114500</v>
      </c>
      <c r="G38" s="40">
        <f>G39</f>
        <v>24986876</v>
      </c>
      <c r="H38" s="40">
        <f>F38+G38</f>
        <v>36101376</v>
      </c>
      <c r="I38" s="96"/>
      <c r="J38" s="97"/>
    </row>
    <row r="39" spans="1:11" s="90" customFormat="1" ht="31.5">
      <c r="A39" s="56" t="s">
        <v>21</v>
      </c>
      <c r="B39" s="57"/>
      <c r="C39" s="58"/>
      <c r="D39" s="68" t="s">
        <v>20</v>
      </c>
      <c r="E39" s="59"/>
      <c r="F39" s="53">
        <f>F40+F41+F42+F43+F44+F45+F46+F49+F50+F51+F53+F54+F56+F57+F66+F67+F69+F70+F71+F72+F73+F47</f>
        <v>11114500</v>
      </c>
      <c r="G39" s="53">
        <f>G40+G41+G42+G43+G44+G45+G46+G49+G50+G51+G53+G54+G56+G57+G66+G67+G69+G70+G71+G72+G73+G47</f>
        <v>24986876</v>
      </c>
      <c r="H39" s="53">
        <f>H40+H41+H42+H43+H44+H45+H46+H49+H50+H51+H53+H54+H56+H57+H66+H67+H69+H70+H71+H72+H73+H47</f>
        <v>36101376</v>
      </c>
      <c r="I39" s="98"/>
      <c r="J39" s="97"/>
      <c r="K39" s="97"/>
    </row>
    <row r="40" spans="1:10" s="90" customFormat="1" ht="15.75">
      <c r="A40" s="41" t="s">
        <v>22</v>
      </c>
      <c r="B40" s="41">
        <v>1010</v>
      </c>
      <c r="C40" s="42" t="s">
        <v>23</v>
      </c>
      <c r="D40" s="43" t="s">
        <v>24</v>
      </c>
      <c r="E40" s="179" t="s">
        <v>332</v>
      </c>
      <c r="F40" s="45">
        <v>1773500</v>
      </c>
      <c r="G40" s="46">
        <v>5550000</v>
      </c>
      <c r="H40" s="46">
        <f t="shared" si="0"/>
        <v>7323500</v>
      </c>
      <c r="I40" s="100"/>
      <c r="J40" s="97"/>
    </row>
    <row r="41" spans="1:10" s="90" customFormat="1" ht="63">
      <c r="A41" s="41" t="s">
        <v>25</v>
      </c>
      <c r="B41" s="41">
        <v>1020</v>
      </c>
      <c r="C41" s="42" t="s">
        <v>26</v>
      </c>
      <c r="D41" s="43" t="s">
        <v>27</v>
      </c>
      <c r="E41" s="180"/>
      <c r="F41" s="45">
        <v>975000</v>
      </c>
      <c r="G41" s="46">
        <f>8900000+4410000</f>
        <v>13310000</v>
      </c>
      <c r="H41" s="46">
        <f t="shared" si="0"/>
        <v>14285000</v>
      </c>
      <c r="I41" s="100"/>
      <c r="J41" s="97"/>
    </row>
    <row r="42" spans="1:10" s="90" customFormat="1" ht="78.75">
      <c r="A42" s="41"/>
      <c r="B42" s="41"/>
      <c r="C42" s="42"/>
      <c r="D42" s="88" t="s">
        <v>394</v>
      </c>
      <c r="E42" s="180"/>
      <c r="F42" s="45"/>
      <c r="G42" s="46">
        <v>4100000</v>
      </c>
      <c r="H42" s="46">
        <f t="shared" si="0"/>
        <v>4100000</v>
      </c>
      <c r="I42" s="100"/>
      <c r="J42" s="97"/>
    </row>
    <row r="43" spans="1:10" s="90" customFormat="1" ht="31.5">
      <c r="A43" s="41" t="s">
        <v>28</v>
      </c>
      <c r="B43" s="41">
        <v>1040</v>
      </c>
      <c r="C43" s="42" t="s">
        <v>29</v>
      </c>
      <c r="D43" s="43" t="s">
        <v>30</v>
      </c>
      <c r="E43" s="180"/>
      <c r="F43" s="45">
        <v>192800</v>
      </c>
      <c r="G43" s="46"/>
      <c r="H43" s="46">
        <f t="shared" si="0"/>
        <v>192800</v>
      </c>
      <c r="I43" s="100"/>
      <c r="J43" s="97"/>
    </row>
    <row r="44" spans="1:10" s="90" customFormat="1" ht="31.5">
      <c r="A44" s="41"/>
      <c r="B44" s="41"/>
      <c r="C44" s="42"/>
      <c r="D44" s="43" t="s">
        <v>223</v>
      </c>
      <c r="E44" s="180"/>
      <c r="F44" s="45"/>
      <c r="G44" s="46"/>
      <c r="H44" s="46">
        <f t="shared" si="0"/>
        <v>0</v>
      </c>
      <c r="I44" s="100"/>
      <c r="J44" s="97"/>
    </row>
    <row r="45" spans="1:10" s="90" customFormat="1" ht="31.5">
      <c r="A45" s="41" t="s">
        <v>31</v>
      </c>
      <c r="B45" s="41">
        <v>1090</v>
      </c>
      <c r="C45" s="42" t="s">
        <v>32</v>
      </c>
      <c r="D45" s="43" t="s">
        <v>33</v>
      </c>
      <c r="E45" s="180"/>
      <c r="F45" s="45">
        <v>200000</v>
      </c>
      <c r="G45" s="46"/>
      <c r="H45" s="46">
        <f t="shared" si="0"/>
        <v>200000</v>
      </c>
      <c r="I45" s="100"/>
      <c r="J45" s="97"/>
    </row>
    <row r="46" spans="1:10" s="90" customFormat="1" ht="31.5">
      <c r="A46" s="41" t="s">
        <v>34</v>
      </c>
      <c r="B46" s="41">
        <v>1170</v>
      </c>
      <c r="C46" s="42" t="s">
        <v>35</v>
      </c>
      <c r="D46" s="43" t="s">
        <v>36</v>
      </c>
      <c r="E46" s="181"/>
      <c r="F46" s="45">
        <v>305800</v>
      </c>
      <c r="G46" s="46"/>
      <c r="H46" s="46">
        <f t="shared" si="0"/>
        <v>305800</v>
      </c>
      <c r="I46" s="100"/>
      <c r="J46" s="97"/>
    </row>
    <row r="47" spans="1:10" s="90" customFormat="1" ht="63">
      <c r="A47" s="41" t="s">
        <v>25</v>
      </c>
      <c r="B47" s="41">
        <v>1020</v>
      </c>
      <c r="C47" s="42" t="s">
        <v>26</v>
      </c>
      <c r="D47" s="43" t="s">
        <v>27</v>
      </c>
      <c r="E47" s="162" t="s">
        <v>396</v>
      </c>
      <c r="F47" s="45">
        <v>52000</v>
      </c>
      <c r="G47" s="46"/>
      <c r="H47" s="46">
        <f t="shared" si="0"/>
        <v>52000</v>
      </c>
      <c r="I47" s="100"/>
      <c r="J47" s="97"/>
    </row>
    <row r="48" spans="1:10" s="90" customFormat="1" ht="31.5">
      <c r="A48" s="47">
        <v>1013140</v>
      </c>
      <c r="B48" s="48"/>
      <c r="C48" s="47"/>
      <c r="D48" s="49" t="s">
        <v>303</v>
      </c>
      <c r="E48" s="47"/>
      <c r="F48" s="50">
        <v>59000</v>
      </c>
      <c r="G48" s="50"/>
      <c r="H48" s="50">
        <f t="shared" si="0"/>
        <v>59000</v>
      </c>
      <c r="I48" s="100"/>
      <c r="J48" s="97"/>
    </row>
    <row r="49" spans="1:13" s="90" customFormat="1" ht="47.25">
      <c r="A49" s="41" t="s">
        <v>280</v>
      </c>
      <c r="B49" s="41">
        <v>3141</v>
      </c>
      <c r="C49" s="42" t="s">
        <v>37</v>
      </c>
      <c r="D49" s="43" t="s">
        <v>281</v>
      </c>
      <c r="E49" s="17" t="s">
        <v>260</v>
      </c>
      <c r="F49" s="45">
        <f>59000+18300</f>
        <v>77300</v>
      </c>
      <c r="G49" s="46"/>
      <c r="H49" s="46">
        <f t="shared" si="0"/>
        <v>77300</v>
      </c>
      <c r="I49" s="100"/>
      <c r="J49" s="97"/>
      <c r="L49" s="97"/>
      <c r="M49" s="97"/>
    </row>
    <row r="50" spans="1:10" s="90" customFormat="1" ht="90" customHeight="1">
      <c r="A50" s="41" t="s">
        <v>38</v>
      </c>
      <c r="B50" s="41">
        <v>3160</v>
      </c>
      <c r="C50" s="42" t="s">
        <v>37</v>
      </c>
      <c r="D50" s="72" t="s">
        <v>282</v>
      </c>
      <c r="E50" s="18" t="s">
        <v>320</v>
      </c>
      <c r="F50" s="45">
        <f>3752100+340000</f>
        <v>4092100</v>
      </c>
      <c r="G50" s="46">
        <v>450000</v>
      </c>
      <c r="H50" s="46">
        <f t="shared" si="0"/>
        <v>4542100</v>
      </c>
      <c r="I50" s="100"/>
      <c r="J50" s="97"/>
    </row>
    <row r="51" spans="1:10" s="90" customFormat="1" ht="15.75">
      <c r="A51" s="169" t="s">
        <v>39</v>
      </c>
      <c r="B51" s="169">
        <v>3500</v>
      </c>
      <c r="C51" s="193" t="s">
        <v>37</v>
      </c>
      <c r="D51" s="195" t="s">
        <v>13</v>
      </c>
      <c r="E51" s="184" t="s">
        <v>260</v>
      </c>
      <c r="F51" s="182">
        <v>375900</v>
      </c>
      <c r="G51" s="174"/>
      <c r="H51" s="174">
        <f>F51+G52</f>
        <v>375900</v>
      </c>
      <c r="I51" s="100"/>
      <c r="J51" s="97"/>
    </row>
    <row r="52" spans="1:10" s="90" customFormat="1" ht="33" customHeight="1">
      <c r="A52" s="170"/>
      <c r="B52" s="170"/>
      <c r="C52" s="194"/>
      <c r="D52" s="196"/>
      <c r="E52" s="185"/>
      <c r="F52" s="183"/>
      <c r="G52" s="175"/>
      <c r="H52" s="175"/>
      <c r="I52" s="100"/>
      <c r="J52" s="97"/>
    </row>
    <row r="53" spans="1:10" s="90" customFormat="1" ht="52.5" customHeight="1">
      <c r="A53" s="169" t="s">
        <v>40</v>
      </c>
      <c r="B53" s="169">
        <v>4030</v>
      </c>
      <c r="C53" s="193" t="s">
        <v>41</v>
      </c>
      <c r="D53" s="195" t="s">
        <v>42</v>
      </c>
      <c r="E53" s="21" t="s">
        <v>259</v>
      </c>
      <c r="F53" s="45">
        <f>700000+500000</f>
        <v>1200000</v>
      </c>
      <c r="G53" s="46"/>
      <c r="H53" s="46">
        <f t="shared" si="0"/>
        <v>1200000</v>
      </c>
      <c r="I53" s="100"/>
      <c r="J53" s="97"/>
    </row>
    <row r="54" spans="1:10" s="90" customFormat="1" ht="45.75" customHeight="1">
      <c r="A54" s="199"/>
      <c r="B54" s="170"/>
      <c r="C54" s="194"/>
      <c r="D54" s="196"/>
      <c r="E54" s="21" t="s">
        <v>258</v>
      </c>
      <c r="F54" s="45">
        <v>47200</v>
      </c>
      <c r="G54" s="46"/>
      <c r="H54" s="46">
        <f t="shared" si="0"/>
        <v>47200</v>
      </c>
      <c r="I54" s="100"/>
      <c r="J54" s="97"/>
    </row>
    <row r="55" spans="1:10" s="90" customFormat="1" ht="22.5" customHeight="1">
      <c r="A55" s="47" t="s">
        <v>43</v>
      </c>
      <c r="B55" s="48"/>
      <c r="C55" s="47"/>
      <c r="D55" s="49" t="s">
        <v>44</v>
      </c>
      <c r="E55" s="47"/>
      <c r="F55" s="50">
        <f>F56+F57</f>
        <v>531400</v>
      </c>
      <c r="G55" s="50">
        <f>G56+G57</f>
        <v>0</v>
      </c>
      <c r="H55" s="50">
        <f t="shared" si="0"/>
        <v>531400</v>
      </c>
      <c r="I55" s="99"/>
      <c r="J55" s="97"/>
    </row>
    <row r="56" spans="1:10" s="90" customFormat="1" ht="38.25" customHeight="1">
      <c r="A56" s="41" t="s">
        <v>45</v>
      </c>
      <c r="B56" s="41">
        <v>5011</v>
      </c>
      <c r="C56" s="42" t="s">
        <v>46</v>
      </c>
      <c r="D56" s="43" t="s">
        <v>300</v>
      </c>
      <c r="E56" s="174" t="s">
        <v>304</v>
      </c>
      <c r="F56" s="45">
        <v>313500</v>
      </c>
      <c r="G56" s="46"/>
      <c r="H56" s="46">
        <f t="shared" si="0"/>
        <v>313500</v>
      </c>
      <c r="I56" s="100"/>
      <c r="J56" s="97"/>
    </row>
    <row r="57" spans="1:10" s="90" customFormat="1" ht="39" customHeight="1">
      <c r="A57" s="41" t="s">
        <v>47</v>
      </c>
      <c r="B57" s="41">
        <v>5012</v>
      </c>
      <c r="C57" s="42" t="s">
        <v>46</v>
      </c>
      <c r="D57" s="43" t="s">
        <v>48</v>
      </c>
      <c r="E57" s="175"/>
      <c r="F57" s="45">
        <v>217900</v>
      </c>
      <c r="G57" s="46"/>
      <c r="H57" s="46">
        <f t="shared" si="0"/>
        <v>217900</v>
      </c>
      <c r="I57" s="100"/>
      <c r="J57" s="97"/>
    </row>
    <row r="58" spans="1:10" s="90" customFormat="1" ht="31.5" hidden="1">
      <c r="A58" s="51" t="s">
        <v>49</v>
      </c>
      <c r="B58" s="47"/>
      <c r="C58" s="48"/>
      <c r="D58" s="52" t="s">
        <v>50</v>
      </c>
      <c r="E58" s="21"/>
      <c r="F58" s="50">
        <f>F59+F60+F61</f>
        <v>0</v>
      </c>
      <c r="G58" s="50"/>
      <c r="H58" s="40">
        <f t="shared" si="0"/>
        <v>0</v>
      </c>
      <c r="I58" s="96"/>
      <c r="J58" s="97"/>
    </row>
    <row r="59" spans="1:10" s="90" customFormat="1" ht="31.5" hidden="1">
      <c r="A59" s="41" t="s">
        <v>51</v>
      </c>
      <c r="B59" s="41">
        <v>5022</v>
      </c>
      <c r="C59" s="42" t="s">
        <v>46</v>
      </c>
      <c r="D59" s="43" t="s">
        <v>52</v>
      </c>
      <c r="E59" s="44"/>
      <c r="F59" s="45"/>
      <c r="G59" s="53"/>
      <c r="H59" s="40">
        <f t="shared" si="0"/>
        <v>0</v>
      </c>
      <c r="I59" s="96"/>
      <c r="J59" s="97"/>
    </row>
    <row r="60" spans="1:10" s="90" customFormat="1" ht="78.75" hidden="1">
      <c r="A60" s="41" t="s">
        <v>53</v>
      </c>
      <c r="B60" s="41">
        <v>5023</v>
      </c>
      <c r="C60" s="42" t="s">
        <v>46</v>
      </c>
      <c r="D60" s="43" t="s">
        <v>54</v>
      </c>
      <c r="E60" s="44"/>
      <c r="F60" s="45"/>
      <c r="G60" s="53"/>
      <c r="H60" s="40">
        <f t="shared" si="0"/>
        <v>0</v>
      </c>
      <c r="I60" s="96"/>
      <c r="J60" s="97"/>
    </row>
    <row r="61" spans="1:10" s="90" customFormat="1" ht="15.75" hidden="1">
      <c r="A61" s="41" t="s">
        <v>55</v>
      </c>
      <c r="B61" s="41">
        <v>5024</v>
      </c>
      <c r="C61" s="42" t="s">
        <v>46</v>
      </c>
      <c r="D61" s="43" t="s">
        <v>56</v>
      </c>
      <c r="E61" s="44"/>
      <c r="F61" s="45"/>
      <c r="G61" s="53"/>
      <c r="H61" s="40">
        <f t="shared" si="0"/>
        <v>0</v>
      </c>
      <c r="I61" s="96"/>
      <c r="J61" s="97"/>
    </row>
    <row r="62" spans="1:10" s="90" customFormat="1" ht="31.5" hidden="1">
      <c r="A62" s="51" t="s">
        <v>57</v>
      </c>
      <c r="B62" s="47">
        <v>5033</v>
      </c>
      <c r="C62" s="48"/>
      <c r="D62" s="52" t="s">
        <v>58</v>
      </c>
      <c r="E62" s="54"/>
      <c r="F62" s="50">
        <f>F63</f>
        <v>0</v>
      </c>
      <c r="G62" s="50"/>
      <c r="H62" s="40">
        <f t="shared" si="0"/>
        <v>0</v>
      </c>
      <c r="I62" s="96"/>
      <c r="J62" s="97"/>
    </row>
    <row r="63" spans="1:10" s="90" customFormat="1" ht="47.25" hidden="1">
      <c r="A63" s="41" t="s">
        <v>59</v>
      </c>
      <c r="B63" s="41">
        <v>5033</v>
      </c>
      <c r="C63" s="42" t="s">
        <v>46</v>
      </c>
      <c r="D63" s="43" t="s">
        <v>60</v>
      </c>
      <c r="E63" s="44"/>
      <c r="F63" s="45"/>
      <c r="G63" s="53"/>
      <c r="H63" s="40">
        <f t="shared" si="0"/>
        <v>0</v>
      </c>
      <c r="I63" s="96"/>
      <c r="J63" s="97"/>
    </row>
    <row r="64" spans="1:10" s="90" customFormat="1" ht="31.5" hidden="1">
      <c r="A64" s="51" t="s">
        <v>61</v>
      </c>
      <c r="B64" s="47"/>
      <c r="C64" s="48"/>
      <c r="D64" s="52" t="s">
        <v>62</v>
      </c>
      <c r="E64" s="54"/>
      <c r="F64" s="50">
        <f>F65</f>
        <v>0</v>
      </c>
      <c r="G64" s="50">
        <f>G65</f>
        <v>0</v>
      </c>
      <c r="H64" s="50">
        <f>H65</f>
        <v>0</v>
      </c>
      <c r="I64" s="99"/>
      <c r="J64" s="97"/>
    </row>
    <row r="65" spans="1:10" s="90" customFormat="1" ht="31.5" hidden="1">
      <c r="A65" s="41" t="s">
        <v>63</v>
      </c>
      <c r="B65" s="41">
        <v>5041</v>
      </c>
      <c r="C65" s="42" t="s">
        <v>46</v>
      </c>
      <c r="D65" s="43" t="s">
        <v>64</v>
      </c>
      <c r="E65" s="44"/>
      <c r="F65" s="45"/>
      <c r="G65" s="45"/>
      <c r="H65" s="46">
        <f t="shared" si="0"/>
        <v>0</v>
      </c>
      <c r="I65" s="96"/>
      <c r="J65" s="97"/>
    </row>
    <row r="66" spans="1:10" s="90" customFormat="1" ht="38.25" customHeight="1">
      <c r="A66" s="41" t="s">
        <v>51</v>
      </c>
      <c r="B66" s="41">
        <v>5022</v>
      </c>
      <c r="C66" s="42" t="s">
        <v>46</v>
      </c>
      <c r="D66" s="43" t="s">
        <v>65</v>
      </c>
      <c r="E66" s="174" t="s">
        <v>304</v>
      </c>
      <c r="F66" s="45">
        <v>22800</v>
      </c>
      <c r="G66" s="46"/>
      <c r="H66" s="46">
        <f t="shared" si="0"/>
        <v>22800</v>
      </c>
      <c r="I66" s="100"/>
      <c r="J66" s="97"/>
    </row>
    <row r="67" spans="1:10" s="90" customFormat="1" ht="71.25" customHeight="1">
      <c r="A67" s="41" t="s">
        <v>302</v>
      </c>
      <c r="B67" s="41">
        <v>5061</v>
      </c>
      <c r="C67" s="42" t="s">
        <v>46</v>
      </c>
      <c r="D67" s="43" t="s">
        <v>301</v>
      </c>
      <c r="E67" s="175"/>
      <c r="F67" s="45">
        <v>1268700</v>
      </c>
      <c r="G67" s="46"/>
      <c r="H67" s="46">
        <f t="shared" si="0"/>
        <v>1268700</v>
      </c>
      <c r="I67" s="100"/>
      <c r="J67" s="97"/>
    </row>
    <row r="68" spans="1:10" s="90" customFormat="1" ht="15.75" hidden="1">
      <c r="A68" s="41" t="s">
        <v>66</v>
      </c>
      <c r="B68" s="41">
        <v>5100</v>
      </c>
      <c r="C68" s="42" t="s">
        <v>46</v>
      </c>
      <c r="D68" s="43" t="s">
        <v>13</v>
      </c>
      <c r="E68" s="21"/>
      <c r="F68" s="45"/>
      <c r="G68" s="46"/>
      <c r="H68" s="46">
        <f t="shared" si="0"/>
        <v>0</v>
      </c>
      <c r="I68" s="100"/>
      <c r="J68" s="97"/>
    </row>
    <row r="69" spans="1:10" s="90" customFormat="1" ht="54" customHeight="1">
      <c r="A69" s="41" t="s">
        <v>358</v>
      </c>
      <c r="B69" s="41">
        <v>6350</v>
      </c>
      <c r="C69" s="42" t="s">
        <v>32</v>
      </c>
      <c r="D69" s="43" t="s">
        <v>154</v>
      </c>
      <c r="E69" s="18" t="s">
        <v>384</v>
      </c>
      <c r="F69" s="45"/>
      <c r="G69" s="46">
        <f>200000+246876-200000</f>
        <v>246876</v>
      </c>
      <c r="H69" s="46">
        <f t="shared" si="0"/>
        <v>246876</v>
      </c>
      <c r="I69" s="100"/>
      <c r="J69" s="97"/>
    </row>
    <row r="70" spans="1:10" s="90" customFormat="1" ht="72.75" customHeight="1">
      <c r="A70" s="41">
        <v>1017470</v>
      </c>
      <c r="B70" s="41">
        <v>7470</v>
      </c>
      <c r="C70" s="135" t="s">
        <v>68</v>
      </c>
      <c r="D70" s="179" t="s">
        <v>316</v>
      </c>
      <c r="E70" s="18" t="s">
        <v>359</v>
      </c>
      <c r="F70" s="45"/>
      <c r="G70" s="46">
        <f>300000+500000-500000</f>
        <v>300000</v>
      </c>
      <c r="H70" s="46">
        <f t="shared" si="0"/>
        <v>300000</v>
      </c>
      <c r="I70" s="100">
        <v>180409</v>
      </c>
      <c r="J70" s="161">
        <f>G70+G71+G72</f>
        <v>1040000</v>
      </c>
    </row>
    <row r="71" spans="1:10" s="90" customFormat="1" ht="51" customHeight="1">
      <c r="A71" s="41" t="s">
        <v>67</v>
      </c>
      <c r="B71" s="41">
        <v>7470</v>
      </c>
      <c r="C71" s="42" t="s">
        <v>68</v>
      </c>
      <c r="D71" s="180"/>
      <c r="E71" s="17" t="s">
        <v>393</v>
      </c>
      <c r="F71" s="18"/>
      <c r="G71" s="46">
        <v>180000</v>
      </c>
      <c r="H71" s="46">
        <f>F71+G71</f>
        <v>180000</v>
      </c>
      <c r="I71" s="100"/>
      <c r="J71" s="97"/>
    </row>
    <row r="72" spans="1:10" s="90" customFormat="1" ht="51" customHeight="1">
      <c r="A72" s="41" t="s">
        <v>67</v>
      </c>
      <c r="B72" s="41">
        <v>7470</v>
      </c>
      <c r="C72" s="42" t="s">
        <v>68</v>
      </c>
      <c r="D72" s="181"/>
      <c r="E72" s="17" t="s">
        <v>404</v>
      </c>
      <c r="F72" s="18"/>
      <c r="G72" s="46">
        <f>550000+10000</f>
        <v>560000</v>
      </c>
      <c r="H72" s="46">
        <f t="shared" si="0"/>
        <v>560000</v>
      </c>
      <c r="I72" s="100"/>
      <c r="J72" s="97"/>
    </row>
    <row r="73" spans="1:10" s="90" customFormat="1" ht="56.25" customHeight="1">
      <c r="A73" s="41" t="s">
        <v>69</v>
      </c>
      <c r="B73" s="41">
        <v>9110</v>
      </c>
      <c r="C73" s="42" t="s">
        <v>70</v>
      </c>
      <c r="D73" s="43" t="s">
        <v>71</v>
      </c>
      <c r="E73" s="18" t="s">
        <v>244</v>
      </c>
      <c r="F73" s="45">
        <v>0</v>
      </c>
      <c r="G73" s="46">
        <f>62100+127900+100000</f>
        <v>290000</v>
      </c>
      <c r="H73" s="46">
        <f t="shared" si="0"/>
        <v>290000</v>
      </c>
      <c r="I73" s="100"/>
      <c r="J73" s="97"/>
    </row>
    <row r="74" spans="1:10" s="90" customFormat="1" ht="24" customHeight="1">
      <c r="A74" s="35" t="s">
        <v>72</v>
      </c>
      <c r="B74" s="36"/>
      <c r="C74" s="37"/>
      <c r="D74" s="38" t="s">
        <v>231</v>
      </c>
      <c r="E74" s="39"/>
      <c r="F74" s="55">
        <f>F75</f>
        <v>27557053</v>
      </c>
      <c r="G74" s="55">
        <f>G75</f>
        <v>14510000</v>
      </c>
      <c r="H74" s="40">
        <f t="shared" si="0"/>
        <v>42067053</v>
      </c>
      <c r="I74" s="96"/>
      <c r="J74" s="97"/>
    </row>
    <row r="75" spans="1:10" s="90" customFormat="1" ht="38.25" customHeight="1">
      <c r="A75" s="56" t="s">
        <v>73</v>
      </c>
      <c r="B75" s="57"/>
      <c r="C75" s="58"/>
      <c r="D75" s="68" t="s">
        <v>217</v>
      </c>
      <c r="E75" s="59"/>
      <c r="F75" s="60">
        <f>F77+F78+F79+F80+F81+F82+F84+F85+F86+F87+F89+F90+F91+F93+F95+F96+F97+F98+F92+F99</f>
        <v>27557053</v>
      </c>
      <c r="G75" s="60">
        <f>G77+G78+G79+G80+G81+G82+G84+G85+G86+G87+G89+G90+G91+G93+G95+G96+G97+G98+G92+G99</f>
        <v>14510000</v>
      </c>
      <c r="H75" s="53">
        <f t="shared" si="0"/>
        <v>42067053</v>
      </c>
      <c r="I75" s="98"/>
      <c r="J75" s="97"/>
    </row>
    <row r="76" spans="1:10" s="90" customFormat="1" ht="20.25" customHeight="1" hidden="1">
      <c r="A76" s="169" t="s">
        <v>74</v>
      </c>
      <c r="B76" s="169">
        <v>2010</v>
      </c>
      <c r="C76" s="193" t="s">
        <v>75</v>
      </c>
      <c r="D76" s="195" t="s">
        <v>292</v>
      </c>
      <c r="E76" s="44"/>
      <c r="F76" s="45"/>
      <c r="G76" s="45"/>
      <c r="H76" s="40">
        <f t="shared" si="0"/>
        <v>0</v>
      </c>
      <c r="I76" s="96"/>
      <c r="J76" s="97"/>
    </row>
    <row r="77" spans="1:10" s="90" customFormat="1" ht="34.5" customHeight="1">
      <c r="A77" s="170"/>
      <c r="B77" s="170"/>
      <c r="C77" s="194"/>
      <c r="D77" s="196"/>
      <c r="E77" s="200" t="s">
        <v>232</v>
      </c>
      <c r="F77" s="17">
        <v>120000</v>
      </c>
      <c r="G77" s="17"/>
      <c r="H77" s="46">
        <f aca="true" t="shared" si="1" ref="H77:H110">F77+G77</f>
        <v>120000</v>
      </c>
      <c r="I77" s="100"/>
      <c r="J77" s="97"/>
    </row>
    <row r="78" spans="1:10" s="90" customFormat="1" ht="31.5">
      <c r="A78" s="41" t="s">
        <v>76</v>
      </c>
      <c r="B78" s="41">
        <v>2030</v>
      </c>
      <c r="C78" s="42" t="s">
        <v>77</v>
      </c>
      <c r="D78" s="43" t="s">
        <v>293</v>
      </c>
      <c r="E78" s="201"/>
      <c r="F78" s="23">
        <v>3000</v>
      </c>
      <c r="G78" s="46">
        <v>637970</v>
      </c>
      <c r="H78" s="46">
        <f t="shared" si="1"/>
        <v>640970</v>
      </c>
      <c r="I78" s="100"/>
      <c r="J78" s="97"/>
    </row>
    <row r="79" spans="1:10" s="90" customFormat="1" ht="47.25">
      <c r="A79" s="41" t="s">
        <v>78</v>
      </c>
      <c r="B79" s="41">
        <v>2140</v>
      </c>
      <c r="C79" s="42" t="s">
        <v>79</v>
      </c>
      <c r="D79" s="43" t="s">
        <v>294</v>
      </c>
      <c r="E79" s="22" t="s">
        <v>233</v>
      </c>
      <c r="F79" s="23">
        <v>500000</v>
      </c>
      <c r="G79" s="46"/>
      <c r="H79" s="46">
        <f t="shared" si="1"/>
        <v>500000</v>
      </c>
      <c r="I79" s="100"/>
      <c r="J79" s="97"/>
    </row>
    <row r="80" spans="1:10" s="90" customFormat="1" ht="47.25">
      <c r="A80" s="169" t="s">
        <v>80</v>
      </c>
      <c r="B80" s="169">
        <v>2180</v>
      </c>
      <c r="C80" s="193" t="s">
        <v>81</v>
      </c>
      <c r="D80" s="195" t="s">
        <v>295</v>
      </c>
      <c r="E80" s="22" t="s">
        <v>232</v>
      </c>
      <c r="F80" s="23">
        <v>182995</v>
      </c>
      <c r="G80" s="21">
        <f>4064800+2297230-2297230</f>
        <v>4064800</v>
      </c>
      <c r="H80" s="46">
        <f t="shared" si="1"/>
        <v>4247795</v>
      </c>
      <c r="I80" s="100"/>
      <c r="J80" s="97"/>
    </row>
    <row r="81" spans="1:10" s="90" customFormat="1" ht="63">
      <c r="A81" s="170"/>
      <c r="B81" s="170"/>
      <c r="C81" s="194"/>
      <c r="D81" s="196"/>
      <c r="E81" s="23" t="s">
        <v>234</v>
      </c>
      <c r="F81" s="23">
        <v>2423179</v>
      </c>
      <c r="G81" s="21"/>
      <c r="H81" s="46">
        <f t="shared" si="1"/>
        <v>2423179</v>
      </c>
      <c r="I81" s="100"/>
      <c r="J81" s="97"/>
    </row>
    <row r="82" spans="1:10" s="90" customFormat="1" ht="47.25">
      <c r="A82" s="41" t="s">
        <v>83</v>
      </c>
      <c r="B82" s="41">
        <v>2220</v>
      </c>
      <c r="C82" s="42" t="s">
        <v>82</v>
      </c>
      <c r="D82" s="43" t="s">
        <v>296</v>
      </c>
      <c r="E82" s="22" t="s">
        <v>232</v>
      </c>
      <c r="F82" s="23">
        <v>7610575</v>
      </c>
      <c r="G82" s="21">
        <v>2297230</v>
      </c>
      <c r="H82" s="46">
        <f t="shared" si="1"/>
        <v>9907805</v>
      </c>
      <c r="I82" s="100"/>
      <c r="J82" s="97"/>
    </row>
    <row r="83" spans="1:10" s="90" customFormat="1" ht="220.5">
      <c r="A83" s="51" t="s">
        <v>84</v>
      </c>
      <c r="B83" s="47"/>
      <c r="C83" s="48"/>
      <c r="D83" s="52" t="s">
        <v>253</v>
      </c>
      <c r="E83" s="54"/>
      <c r="F83" s="50">
        <f>F84+F85+F86+F87</f>
        <v>5000000</v>
      </c>
      <c r="G83" s="50">
        <f>G84+G85+G86+G87</f>
        <v>100000</v>
      </c>
      <c r="H83" s="50">
        <f t="shared" si="1"/>
        <v>5100000</v>
      </c>
      <c r="I83" s="99"/>
      <c r="J83" s="97"/>
    </row>
    <row r="84" spans="1:10" s="90" customFormat="1" ht="267.75">
      <c r="A84" s="41" t="s">
        <v>85</v>
      </c>
      <c r="B84" s="41">
        <v>3031</v>
      </c>
      <c r="C84" s="42" t="s">
        <v>86</v>
      </c>
      <c r="D84" s="73" t="s">
        <v>285</v>
      </c>
      <c r="E84" s="190" t="s">
        <v>226</v>
      </c>
      <c r="F84" s="45">
        <v>0</v>
      </c>
      <c r="G84" s="46">
        <v>100000</v>
      </c>
      <c r="H84" s="46">
        <f t="shared" si="1"/>
        <v>100000</v>
      </c>
      <c r="I84" s="100"/>
      <c r="J84" s="97"/>
    </row>
    <row r="85" spans="1:10" s="90" customFormat="1" ht="47.25">
      <c r="A85" s="41" t="s">
        <v>87</v>
      </c>
      <c r="B85" s="41">
        <v>3035</v>
      </c>
      <c r="C85" s="42" t="s">
        <v>88</v>
      </c>
      <c r="D85" s="43" t="s">
        <v>89</v>
      </c>
      <c r="E85" s="191"/>
      <c r="F85" s="45">
        <f>11000000-10000000</f>
        <v>1000000</v>
      </c>
      <c r="G85" s="46"/>
      <c r="H85" s="46">
        <f t="shared" si="1"/>
        <v>1000000</v>
      </c>
      <c r="I85" s="100"/>
      <c r="J85" s="97"/>
    </row>
    <row r="86" spans="1:10" s="90" customFormat="1" ht="47.25">
      <c r="A86" s="41" t="s">
        <v>90</v>
      </c>
      <c r="B86" s="41">
        <v>3037</v>
      </c>
      <c r="C86" s="42" t="s">
        <v>88</v>
      </c>
      <c r="D86" s="43" t="s">
        <v>91</v>
      </c>
      <c r="E86" s="191"/>
      <c r="F86" s="45">
        <v>1000000</v>
      </c>
      <c r="G86" s="46"/>
      <c r="H86" s="46">
        <f t="shared" si="1"/>
        <v>1000000</v>
      </c>
      <c r="I86" s="100"/>
      <c r="J86" s="97"/>
    </row>
    <row r="87" spans="1:10" s="90" customFormat="1" ht="47.25">
      <c r="A87" s="41" t="s">
        <v>92</v>
      </c>
      <c r="B87" s="41">
        <v>3038</v>
      </c>
      <c r="C87" s="42" t="s">
        <v>88</v>
      </c>
      <c r="D87" s="43" t="s">
        <v>93</v>
      </c>
      <c r="E87" s="192"/>
      <c r="F87" s="45">
        <v>3000000</v>
      </c>
      <c r="G87" s="46"/>
      <c r="H87" s="46">
        <f t="shared" si="1"/>
        <v>3000000</v>
      </c>
      <c r="I87" s="100"/>
      <c r="J87" s="97"/>
    </row>
    <row r="88" spans="1:10" s="90" customFormat="1" ht="31.5">
      <c r="A88" s="51" t="s">
        <v>94</v>
      </c>
      <c r="B88" s="47"/>
      <c r="C88" s="48"/>
      <c r="D88" s="49" t="s">
        <v>218</v>
      </c>
      <c r="E88" s="61"/>
      <c r="F88" s="50">
        <f>F89+F90</f>
        <v>177500</v>
      </c>
      <c r="G88" s="50">
        <f>G89+G90</f>
        <v>0</v>
      </c>
      <c r="H88" s="50">
        <f t="shared" si="1"/>
        <v>177500</v>
      </c>
      <c r="I88" s="99"/>
      <c r="J88" s="97"/>
    </row>
    <row r="89" spans="1:10" s="90" customFormat="1" ht="78.75">
      <c r="A89" s="41" t="s">
        <v>95</v>
      </c>
      <c r="B89" s="41">
        <v>3132</v>
      </c>
      <c r="C89" s="42" t="s">
        <v>37</v>
      </c>
      <c r="D89" s="72" t="s">
        <v>96</v>
      </c>
      <c r="E89" s="17" t="s">
        <v>225</v>
      </c>
      <c r="F89" s="45">
        <v>16500</v>
      </c>
      <c r="G89" s="46"/>
      <c r="H89" s="46">
        <f t="shared" si="1"/>
        <v>16500</v>
      </c>
      <c r="I89" s="100"/>
      <c r="J89" s="97"/>
    </row>
    <row r="90" spans="1:10" s="90" customFormat="1" ht="15.75">
      <c r="A90" s="41" t="s">
        <v>97</v>
      </c>
      <c r="B90" s="41">
        <v>3134</v>
      </c>
      <c r="C90" s="42" t="s">
        <v>37</v>
      </c>
      <c r="D90" s="43" t="s">
        <v>283</v>
      </c>
      <c r="E90" s="190" t="s">
        <v>227</v>
      </c>
      <c r="F90" s="45">
        <v>161000</v>
      </c>
      <c r="G90" s="46"/>
      <c r="H90" s="46">
        <f t="shared" si="1"/>
        <v>161000</v>
      </c>
      <c r="I90" s="100"/>
      <c r="J90" s="97"/>
    </row>
    <row r="91" spans="1:10" s="90" customFormat="1" ht="78.75">
      <c r="A91" s="41" t="s">
        <v>98</v>
      </c>
      <c r="B91" s="41">
        <v>3160</v>
      </c>
      <c r="C91" s="42" t="s">
        <v>37</v>
      </c>
      <c r="D91" s="72" t="s">
        <v>282</v>
      </c>
      <c r="E91" s="192"/>
      <c r="F91" s="45">
        <v>1000000</v>
      </c>
      <c r="G91" s="46"/>
      <c r="H91" s="46">
        <f t="shared" si="1"/>
        <v>1000000</v>
      </c>
      <c r="I91" s="100"/>
      <c r="J91" s="97"/>
    </row>
    <row r="92" spans="1:10" s="90" customFormat="1" ht="94.5">
      <c r="A92" s="41">
        <v>1413190</v>
      </c>
      <c r="B92" s="41">
        <v>3190</v>
      </c>
      <c r="C92" s="144">
        <v>1060</v>
      </c>
      <c r="D92" s="73" t="s">
        <v>290</v>
      </c>
      <c r="E92" s="143" t="s">
        <v>226</v>
      </c>
      <c r="F92" s="45">
        <v>25000</v>
      </c>
      <c r="G92" s="46"/>
      <c r="H92" s="46">
        <f t="shared" si="1"/>
        <v>25000</v>
      </c>
      <c r="I92" s="100"/>
      <c r="J92" s="97"/>
    </row>
    <row r="93" spans="1:10" s="90" customFormat="1" ht="15.75">
      <c r="A93" s="74">
        <v>1413200</v>
      </c>
      <c r="B93" s="101"/>
      <c r="C93" s="101"/>
      <c r="D93" s="47" t="s">
        <v>112</v>
      </c>
      <c r="E93" s="101"/>
      <c r="F93" s="50">
        <f>F94</f>
        <v>380000</v>
      </c>
      <c r="G93" s="50"/>
      <c r="H93" s="50">
        <f t="shared" si="1"/>
        <v>380000</v>
      </c>
      <c r="I93" s="100"/>
      <c r="J93" s="97"/>
    </row>
    <row r="94" spans="1:10" s="90" customFormat="1" ht="63">
      <c r="A94" s="41" t="s">
        <v>286</v>
      </c>
      <c r="B94" s="41">
        <v>3202</v>
      </c>
      <c r="C94" s="42" t="s">
        <v>86</v>
      </c>
      <c r="D94" s="78" t="s">
        <v>287</v>
      </c>
      <c r="E94" s="198" t="s">
        <v>226</v>
      </c>
      <c r="F94" s="45">
        <v>380000</v>
      </c>
      <c r="G94" s="46"/>
      <c r="H94" s="46">
        <f t="shared" si="1"/>
        <v>380000</v>
      </c>
      <c r="I94" s="100"/>
      <c r="J94" s="97"/>
    </row>
    <row r="95" spans="1:10" s="104" customFormat="1" ht="15.75">
      <c r="A95" s="75" t="s">
        <v>99</v>
      </c>
      <c r="B95" s="75">
        <v>3300</v>
      </c>
      <c r="C95" s="76" t="s">
        <v>100</v>
      </c>
      <c r="D95" s="77" t="s">
        <v>101</v>
      </c>
      <c r="E95" s="192"/>
      <c r="F95" s="46">
        <v>1935900</v>
      </c>
      <c r="G95" s="46">
        <v>560000</v>
      </c>
      <c r="H95" s="46">
        <f t="shared" si="1"/>
        <v>2495900</v>
      </c>
      <c r="I95" s="100"/>
      <c r="J95" s="103"/>
    </row>
    <row r="96" spans="1:10" s="90" customFormat="1" ht="78.75">
      <c r="A96" s="41" t="s">
        <v>102</v>
      </c>
      <c r="B96" s="41">
        <v>3400</v>
      </c>
      <c r="C96" s="42" t="s">
        <v>100</v>
      </c>
      <c r="D96" s="43" t="s">
        <v>103</v>
      </c>
      <c r="E96" s="17" t="s">
        <v>228</v>
      </c>
      <c r="F96" s="45">
        <f>6142700+126500+157900+33500-25000+188493+101500+142386+172300+137100+100634+33000+600000+137891+100000+50000</f>
        <v>8198904</v>
      </c>
      <c r="G96" s="46"/>
      <c r="H96" s="46">
        <f t="shared" si="1"/>
        <v>8198904</v>
      </c>
      <c r="I96" s="100"/>
      <c r="J96" s="97"/>
    </row>
    <row r="97" spans="1:10" s="90" customFormat="1" ht="53.25" customHeight="1">
      <c r="A97" s="41" t="s">
        <v>104</v>
      </c>
      <c r="B97" s="41">
        <v>6310</v>
      </c>
      <c r="C97" s="42" t="s">
        <v>68</v>
      </c>
      <c r="D97" s="43" t="s">
        <v>311</v>
      </c>
      <c r="E97" s="18" t="s">
        <v>384</v>
      </c>
      <c r="F97" s="45">
        <v>0</v>
      </c>
      <c r="G97" s="46">
        <f>6600000-930212+930212</f>
        <v>6600000</v>
      </c>
      <c r="H97" s="46">
        <f t="shared" si="1"/>
        <v>6600000</v>
      </c>
      <c r="I97" s="100"/>
      <c r="J97" s="97"/>
    </row>
    <row r="98" spans="1:10" s="90" customFormat="1" ht="47.25" hidden="1">
      <c r="A98" s="41" t="s">
        <v>323</v>
      </c>
      <c r="B98" s="41">
        <v>8601</v>
      </c>
      <c r="C98" s="42" t="s">
        <v>12</v>
      </c>
      <c r="D98" s="44" t="s">
        <v>325</v>
      </c>
      <c r="E98" s="18" t="s">
        <v>267</v>
      </c>
      <c r="F98" s="45">
        <f>11367-11367</f>
        <v>0</v>
      </c>
      <c r="G98" s="46"/>
      <c r="H98" s="46">
        <f t="shared" si="1"/>
        <v>0</v>
      </c>
      <c r="I98" s="100"/>
      <c r="J98" s="97"/>
    </row>
    <row r="99" spans="1:10" s="90" customFormat="1" ht="56.25" customHeight="1">
      <c r="A99" s="41" t="s">
        <v>376</v>
      </c>
      <c r="B99" s="41">
        <v>9110</v>
      </c>
      <c r="C99" s="42" t="s">
        <v>70</v>
      </c>
      <c r="D99" s="43" t="s">
        <v>71</v>
      </c>
      <c r="E99" s="18" t="s">
        <v>244</v>
      </c>
      <c r="F99" s="45">
        <v>0</v>
      </c>
      <c r="G99" s="46">
        <f>0+150000+100000</f>
        <v>250000</v>
      </c>
      <c r="H99" s="46">
        <f t="shared" si="1"/>
        <v>250000</v>
      </c>
      <c r="I99" s="100"/>
      <c r="J99" s="97"/>
    </row>
    <row r="100" spans="1:10" s="90" customFormat="1" ht="36" customHeight="1">
      <c r="A100" s="35" t="s">
        <v>105</v>
      </c>
      <c r="B100" s="36"/>
      <c r="C100" s="37"/>
      <c r="D100" s="62" t="s">
        <v>106</v>
      </c>
      <c r="E100" s="63"/>
      <c r="F100" s="40">
        <f>F101+F111+F123</f>
        <v>19867057.35</v>
      </c>
      <c r="G100" s="40">
        <f>G101+G111+G123</f>
        <v>1777796</v>
      </c>
      <c r="H100" s="40">
        <f t="shared" si="1"/>
        <v>21644853.35</v>
      </c>
      <c r="I100" s="96"/>
      <c r="J100" s="97"/>
    </row>
    <row r="101" spans="1:10" s="90" customFormat="1" ht="47.25">
      <c r="A101" s="56" t="s">
        <v>268</v>
      </c>
      <c r="B101" s="57"/>
      <c r="C101" s="58"/>
      <c r="D101" s="69" t="s">
        <v>254</v>
      </c>
      <c r="E101" s="64"/>
      <c r="F101" s="53">
        <f>F103+F105+F106+F108+F109+F110</f>
        <v>6748700</v>
      </c>
      <c r="G101" s="53">
        <f>G103+G105+G106+G108+G109+G110</f>
        <v>507360</v>
      </c>
      <c r="H101" s="53">
        <f>H104+H106+H107+H109+H110+H103</f>
        <v>7256060</v>
      </c>
      <c r="I101" s="98"/>
      <c r="J101" s="97"/>
    </row>
    <row r="102" spans="1:10" s="102" customFormat="1" ht="63">
      <c r="A102" s="51" t="s">
        <v>269</v>
      </c>
      <c r="B102" s="51"/>
      <c r="C102" s="65"/>
      <c r="D102" s="49" t="s">
        <v>109</v>
      </c>
      <c r="E102" s="61"/>
      <c r="F102" s="50">
        <f>F103</f>
        <v>5449300</v>
      </c>
      <c r="G102" s="50">
        <f>G103</f>
        <v>197360</v>
      </c>
      <c r="H102" s="50">
        <f t="shared" si="1"/>
        <v>5646660</v>
      </c>
      <c r="I102" s="99"/>
      <c r="J102" s="105"/>
    </row>
    <row r="103" spans="1:10" s="90" customFormat="1" ht="63">
      <c r="A103" s="41" t="s">
        <v>270</v>
      </c>
      <c r="B103" s="41">
        <v>3104</v>
      </c>
      <c r="C103" s="42" t="s">
        <v>110</v>
      </c>
      <c r="D103" s="73" t="s">
        <v>288</v>
      </c>
      <c r="E103" s="17" t="s">
        <v>226</v>
      </c>
      <c r="F103" s="45">
        <f>5354100+11000+50000+27700+6500</f>
        <v>5449300</v>
      </c>
      <c r="G103" s="46">
        <f>61560+100000+35800</f>
        <v>197360</v>
      </c>
      <c r="H103" s="46">
        <f t="shared" si="1"/>
        <v>5646660</v>
      </c>
      <c r="I103" s="100"/>
      <c r="J103" s="97"/>
    </row>
    <row r="104" spans="1:10" s="90" customFormat="1" ht="94.5">
      <c r="A104" s="51" t="s">
        <v>271</v>
      </c>
      <c r="B104" s="47"/>
      <c r="C104" s="48"/>
      <c r="D104" s="52" t="s">
        <v>111</v>
      </c>
      <c r="E104" s="54"/>
      <c r="F104" s="50">
        <f>F105</f>
        <v>627300</v>
      </c>
      <c r="G104" s="50">
        <f>G105</f>
        <v>0</v>
      </c>
      <c r="H104" s="50">
        <f t="shared" si="1"/>
        <v>627300</v>
      </c>
      <c r="I104" s="99"/>
      <c r="J104" s="97"/>
    </row>
    <row r="105" spans="1:10" s="90" customFormat="1" ht="86.25" customHeight="1">
      <c r="A105" s="41" t="s">
        <v>272</v>
      </c>
      <c r="B105" s="41">
        <v>3181</v>
      </c>
      <c r="C105" s="42" t="s">
        <v>108</v>
      </c>
      <c r="D105" s="87" t="s">
        <v>289</v>
      </c>
      <c r="E105" s="190" t="s">
        <v>226</v>
      </c>
      <c r="F105" s="45">
        <v>627300</v>
      </c>
      <c r="G105" s="46"/>
      <c r="H105" s="46">
        <f t="shared" si="1"/>
        <v>627300</v>
      </c>
      <c r="I105" s="100"/>
      <c r="J105" s="97"/>
    </row>
    <row r="106" spans="1:10" s="90" customFormat="1" ht="102" customHeight="1">
      <c r="A106" s="41" t="s">
        <v>273</v>
      </c>
      <c r="B106" s="41">
        <v>3190</v>
      </c>
      <c r="C106" s="42" t="s">
        <v>107</v>
      </c>
      <c r="D106" s="73" t="s">
        <v>290</v>
      </c>
      <c r="E106" s="192"/>
      <c r="F106" s="45">
        <v>601100</v>
      </c>
      <c r="G106" s="46"/>
      <c r="H106" s="46">
        <f t="shared" si="1"/>
        <v>601100</v>
      </c>
      <c r="I106" s="100"/>
      <c r="J106" s="97"/>
    </row>
    <row r="107" spans="1:10" s="90" customFormat="1" ht="15.75">
      <c r="A107" s="51" t="s">
        <v>274</v>
      </c>
      <c r="B107" s="47"/>
      <c r="C107" s="48"/>
      <c r="D107" s="52" t="s">
        <v>112</v>
      </c>
      <c r="E107" s="54"/>
      <c r="F107" s="50">
        <f>F108</f>
        <v>50000</v>
      </c>
      <c r="G107" s="50">
        <f>G108</f>
        <v>0</v>
      </c>
      <c r="H107" s="50">
        <f t="shared" si="1"/>
        <v>50000</v>
      </c>
      <c r="I107" s="99"/>
      <c r="J107" s="97"/>
    </row>
    <row r="108" spans="1:10" s="90" customFormat="1" ht="54.75" customHeight="1">
      <c r="A108" s="41" t="s">
        <v>275</v>
      </c>
      <c r="B108" s="41">
        <v>3202</v>
      </c>
      <c r="C108" s="42" t="s">
        <v>86</v>
      </c>
      <c r="D108" s="165" t="s">
        <v>287</v>
      </c>
      <c r="E108" s="190" t="s">
        <v>226</v>
      </c>
      <c r="F108" s="45">
        <v>50000</v>
      </c>
      <c r="G108" s="46"/>
      <c r="H108" s="46">
        <f t="shared" si="1"/>
        <v>50000</v>
      </c>
      <c r="I108" s="100"/>
      <c r="J108" s="97"/>
    </row>
    <row r="109" spans="1:10" s="90" customFormat="1" ht="31.5">
      <c r="A109" s="41" t="s">
        <v>276</v>
      </c>
      <c r="B109" s="41">
        <v>3400</v>
      </c>
      <c r="C109" s="42" t="s">
        <v>100</v>
      </c>
      <c r="D109" s="43" t="s">
        <v>103</v>
      </c>
      <c r="E109" s="192"/>
      <c r="F109" s="45">
        <v>21000</v>
      </c>
      <c r="G109" s="46"/>
      <c r="H109" s="46">
        <f t="shared" si="1"/>
        <v>21000</v>
      </c>
      <c r="I109" s="100"/>
      <c r="J109" s="97"/>
    </row>
    <row r="110" spans="1:10" s="90" customFormat="1" ht="57" customHeight="1">
      <c r="A110" s="41" t="s">
        <v>264</v>
      </c>
      <c r="B110" s="41" t="s">
        <v>312</v>
      </c>
      <c r="C110" s="42" t="s">
        <v>68</v>
      </c>
      <c r="D110" s="43" t="s">
        <v>311</v>
      </c>
      <c r="E110" s="18" t="s">
        <v>384</v>
      </c>
      <c r="F110" s="45">
        <v>0</v>
      </c>
      <c r="G110" s="46">
        <v>310000</v>
      </c>
      <c r="H110" s="46">
        <f t="shared" si="1"/>
        <v>310000</v>
      </c>
      <c r="I110" s="100"/>
      <c r="J110" s="97"/>
    </row>
    <row r="111" spans="1:10" s="90" customFormat="1" ht="47.25">
      <c r="A111" s="56" t="s">
        <v>268</v>
      </c>
      <c r="B111" s="57"/>
      <c r="C111" s="58"/>
      <c r="D111" s="69" t="s">
        <v>255</v>
      </c>
      <c r="E111" s="64"/>
      <c r="F111" s="53">
        <f>F113+F115+F116+F118+F119+F121</f>
        <v>6336757.35</v>
      </c>
      <c r="G111" s="53">
        <f>G113+G115+G116+G118+G119+G121</f>
        <v>1215436</v>
      </c>
      <c r="H111" s="53">
        <f>H113+H115+H116+H118+H119+H121</f>
        <v>7552193.35</v>
      </c>
      <c r="I111" s="98"/>
      <c r="J111" s="97"/>
    </row>
    <row r="112" spans="1:10" s="90" customFormat="1" ht="74.25" customHeight="1">
      <c r="A112" s="51" t="s">
        <v>269</v>
      </c>
      <c r="B112" s="47"/>
      <c r="C112" s="48"/>
      <c r="D112" s="52" t="s">
        <v>109</v>
      </c>
      <c r="E112" s="54"/>
      <c r="F112" s="50">
        <f>F113</f>
        <v>4939657.35</v>
      </c>
      <c r="G112" s="50">
        <f>G113</f>
        <v>73100</v>
      </c>
      <c r="H112" s="50">
        <f aca="true" t="shared" si="2" ref="H112:H135">F112+G112</f>
        <v>5012757.35</v>
      </c>
      <c r="I112" s="99"/>
      <c r="J112" s="97"/>
    </row>
    <row r="113" spans="1:10" s="90" customFormat="1" ht="69" customHeight="1">
      <c r="A113" s="41" t="s">
        <v>270</v>
      </c>
      <c r="B113" s="41">
        <v>3104</v>
      </c>
      <c r="C113" s="42" t="s">
        <v>110</v>
      </c>
      <c r="D113" s="73" t="s">
        <v>288</v>
      </c>
      <c r="E113" s="17" t="s">
        <v>226</v>
      </c>
      <c r="F113" s="148">
        <f>4936300+3357.35</f>
        <v>4939657.35</v>
      </c>
      <c r="G113" s="46">
        <v>73100</v>
      </c>
      <c r="H113" s="149">
        <f t="shared" si="2"/>
        <v>5012757.35</v>
      </c>
      <c r="I113" s="100"/>
      <c r="J113" s="97"/>
    </row>
    <row r="114" spans="1:10" s="90" customFormat="1" ht="103.5" customHeight="1">
      <c r="A114" s="51" t="s">
        <v>271</v>
      </c>
      <c r="B114" s="47"/>
      <c r="C114" s="48"/>
      <c r="D114" s="52" t="s">
        <v>111</v>
      </c>
      <c r="E114" s="54"/>
      <c r="F114" s="50">
        <f>F115</f>
        <v>365600</v>
      </c>
      <c r="G114" s="50">
        <f>G115</f>
        <v>0</v>
      </c>
      <c r="H114" s="50">
        <f t="shared" si="2"/>
        <v>365600</v>
      </c>
      <c r="I114" s="99"/>
      <c r="J114" s="97"/>
    </row>
    <row r="115" spans="1:10" s="90" customFormat="1" ht="92.25" customHeight="1">
      <c r="A115" s="41" t="s">
        <v>272</v>
      </c>
      <c r="B115" s="41">
        <v>3181</v>
      </c>
      <c r="C115" s="42" t="s">
        <v>108</v>
      </c>
      <c r="D115" s="87" t="s">
        <v>289</v>
      </c>
      <c r="E115" s="17" t="s">
        <v>226</v>
      </c>
      <c r="F115" s="45">
        <v>365600</v>
      </c>
      <c r="G115" s="46"/>
      <c r="H115" s="46">
        <f t="shared" si="2"/>
        <v>365600</v>
      </c>
      <c r="I115" s="100"/>
      <c r="J115" s="97"/>
    </row>
    <row r="116" spans="1:10" s="90" customFormat="1" ht="94.5">
      <c r="A116" s="41" t="s">
        <v>273</v>
      </c>
      <c r="B116" s="41">
        <v>3190</v>
      </c>
      <c r="C116" s="42" t="s">
        <v>107</v>
      </c>
      <c r="D116" s="73" t="s">
        <v>290</v>
      </c>
      <c r="E116" s="17" t="s">
        <v>226</v>
      </c>
      <c r="F116" s="45">
        <v>955500</v>
      </c>
      <c r="G116" s="46"/>
      <c r="H116" s="46">
        <f t="shared" si="2"/>
        <v>955500</v>
      </c>
      <c r="I116" s="100"/>
      <c r="J116" s="97"/>
    </row>
    <row r="117" spans="1:10" s="90" customFormat="1" ht="15.75">
      <c r="A117" s="51" t="s">
        <v>274</v>
      </c>
      <c r="B117" s="47"/>
      <c r="C117" s="48"/>
      <c r="D117" s="52" t="s">
        <v>112</v>
      </c>
      <c r="E117" s="54"/>
      <c r="F117" s="50">
        <f>F118</f>
        <v>55000</v>
      </c>
      <c r="G117" s="50">
        <f>G118</f>
        <v>0</v>
      </c>
      <c r="H117" s="50">
        <f t="shared" si="2"/>
        <v>55000</v>
      </c>
      <c r="I117" s="99"/>
      <c r="J117" s="97"/>
    </row>
    <row r="118" spans="1:10" s="90" customFormat="1" ht="63">
      <c r="A118" s="41" t="s">
        <v>275</v>
      </c>
      <c r="B118" s="41">
        <v>3202</v>
      </c>
      <c r="C118" s="42" t="s">
        <v>86</v>
      </c>
      <c r="D118" s="73" t="s">
        <v>287</v>
      </c>
      <c r="E118" s="17" t="s">
        <v>226</v>
      </c>
      <c r="F118" s="45">
        <v>55000</v>
      </c>
      <c r="G118" s="46"/>
      <c r="H118" s="46">
        <f t="shared" si="2"/>
        <v>55000</v>
      </c>
      <c r="I118" s="100"/>
      <c r="J118" s="97"/>
    </row>
    <row r="119" spans="1:10" s="90" customFormat="1" ht="47.25">
      <c r="A119" s="41" t="s">
        <v>276</v>
      </c>
      <c r="B119" s="41">
        <v>3400</v>
      </c>
      <c r="C119" s="42" t="s">
        <v>100</v>
      </c>
      <c r="D119" s="43" t="s">
        <v>103</v>
      </c>
      <c r="E119" s="17" t="s">
        <v>230</v>
      </c>
      <c r="F119" s="45">
        <v>21000</v>
      </c>
      <c r="G119" s="46"/>
      <c r="H119" s="46">
        <f t="shared" si="2"/>
        <v>21000</v>
      </c>
      <c r="I119" s="100"/>
      <c r="J119" s="97"/>
    </row>
    <row r="120" spans="1:10" s="90" customFormat="1" ht="37.5" customHeight="1">
      <c r="A120" s="51" t="s">
        <v>397</v>
      </c>
      <c r="B120" s="47">
        <v>6320</v>
      </c>
      <c r="C120" s="48" t="s">
        <v>107</v>
      </c>
      <c r="D120" s="52" t="s">
        <v>399</v>
      </c>
      <c r="E120" s="54"/>
      <c r="F120" s="50">
        <f>F121</f>
        <v>0</v>
      </c>
      <c r="G120" s="50">
        <f>G121</f>
        <v>1142336</v>
      </c>
      <c r="H120" s="50">
        <f>F120+G120</f>
        <v>1142336</v>
      </c>
      <c r="I120" s="99"/>
      <c r="J120" s="97"/>
    </row>
    <row r="121" spans="1:10" s="90" customFormat="1" ht="49.5" customHeight="1">
      <c r="A121" s="41" t="s">
        <v>398</v>
      </c>
      <c r="B121" s="41">
        <v>6324</v>
      </c>
      <c r="C121" s="42" t="s">
        <v>107</v>
      </c>
      <c r="D121" s="163" t="s">
        <v>400</v>
      </c>
      <c r="E121" s="17"/>
      <c r="F121" s="45">
        <f>F122</f>
        <v>0</v>
      </c>
      <c r="G121" s="45">
        <f>G122</f>
        <v>1142336</v>
      </c>
      <c r="H121" s="45">
        <f>H122</f>
        <v>1142336</v>
      </c>
      <c r="I121" s="100"/>
      <c r="J121" s="97"/>
    </row>
    <row r="122" spans="1:10" s="90" customFormat="1" ht="284.25" customHeight="1">
      <c r="A122" s="41"/>
      <c r="B122" s="41"/>
      <c r="C122" s="42"/>
      <c r="D122" s="164" t="s">
        <v>401</v>
      </c>
      <c r="E122" s="17"/>
      <c r="F122" s="45"/>
      <c r="G122" s="46">
        <v>1142336</v>
      </c>
      <c r="H122" s="46">
        <f>F122+G122</f>
        <v>1142336</v>
      </c>
      <c r="I122" s="100"/>
      <c r="J122" s="97"/>
    </row>
    <row r="123" spans="1:10" s="90" customFormat="1" ht="47.25">
      <c r="A123" s="56" t="s">
        <v>268</v>
      </c>
      <c r="B123" s="57"/>
      <c r="C123" s="58"/>
      <c r="D123" s="69" t="s">
        <v>256</v>
      </c>
      <c r="E123" s="64"/>
      <c r="F123" s="53">
        <f>F125+F127+F128+F130+F131</f>
        <v>6781600</v>
      </c>
      <c r="G123" s="53">
        <f>G125+G127+G128+G130+G131</f>
        <v>55000</v>
      </c>
      <c r="H123" s="53">
        <f t="shared" si="2"/>
        <v>6836600</v>
      </c>
      <c r="I123" s="98"/>
      <c r="J123" s="97"/>
    </row>
    <row r="124" spans="1:10" s="90" customFormat="1" ht="63">
      <c r="A124" s="51" t="s">
        <v>269</v>
      </c>
      <c r="B124" s="47"/>
      <c r="C124" s="48"/>
      <c r="D124" s="52" t="s">
        <v>109</v>
      </c>
      <c r="E124" s="54"/>
      <c r="F124" s="50">
        <f>F125</f>
        <v>5778500</v>
      </c>
      <c r="G124" s="50">
        <f>G125</f>
        <v>55000</v>
      </c>
      <c r="H124" s="50">
        <f t="shared" si="2"/>
        <v>5833500</v>
      </c>
      <c r="I124" s="99"/>
      <c r="J124" s="97"/>
    </row>
    <row r="125" spans="1:10" s="90" customFormat="1" ht="63">
      <c r="A125" s="41" t="s">
        <v>270</v>
      </c>
      <c r="B125" s="41">
        <v>3104</v>
      </c>
      <c r="C125" s="42" t="s">
        <v>110</v>
      </c>
      <c r="D125" s="73" t="s">
        <v>288</v>
      </c>
      <c r="E125" s="17" t="s">
        <v>226</v>
      </c>
      <c r="F125" s="45">
        <v>5778500</v>
      </c>
      <c r="G125" s="46">
        <v>55000</v>
      </c>
      <c r="H125" s="46">
        <f t="shared" si="2"/>
        <v>5833500</v>
      </c>
      <c r="I125" s="100"/>
      <c r="J125" s="97"/>
    </row>
    <row r="126" spans="1:10" s="90" customFormat="1" ht="94.5">
      <c r="A126" s="51" t="s">
        <v>271</v>
      </c>
      <c r="B126" s="47"/>
      <c r="C126" s="48"/>
      <c r="D126" s="52" t="s">
        <v>111</v>
      </c>
      <c r="E126" s="54"/>
      <c r="F126" s="50">
        <f>F127</f>
        <v>322700</v>
      </c>
      <c r="G126" s="50">
        <f>G127</f>
        <v>0</v>
      </c>
      <c r="H126" s="50">
        <f t="shared" si="2"/>
        <v>322700</v>
      </c>
      <c r="I126" s="99"/>
      <c r="J126" s="97"/>
    </row>
    <row r="127" spans="1:10" s="90" customFormat="1" ht="78.75">
      <c r="A127" s="41" t="s">
        <v>272</v>
      </c>
      <c r="B127" s="41">
        <v>3181</v>
      </c>
      <c r="C127" s="42" t="s">
        <v>108</v>
      </c>
      <c r="D127" s="73" t="s">
        <v>289</v>
      </c>
      <c r="E127" s="190" t="s">
        <v>226</v>
      </c>
      <c r="F127" s="45">
        <v>322700</v>
      </c>
      <c r="G127" s="46"/>
      <c r="H127" s="46">
        <f t="shared" si="2"/>
        <v>322700</v>
      </c>
      <c r="I127" s="100"/>
      <c r="J127" s="97"/>
    </row>
    <row r="128" spans="1:10" s="90" customFormat="1" ht="100.5" customHeight="1">
      <c r="A128" s="41" t="s">
        <v>273</v>
      </c>
      <c r="B128" s="41">
        <v>3190</v>
      </c>
      <c r="C128" s="42" t="s">
        <v>107</v>
      </c>
      <c r="D128" s="87" t="s">
        <v>290</v>
      </c>
      <c r="E128" s="192"/>
      <c r="F128" s="45">
        <v>609600</v>
      </c>
      <c r="G128" s="46"/>
      <c r="H128" s="46">
        <f t="shared" si="2"/>
        <v>609600</v>
      </c>
      <c r="I128" s="100"/>
      <c r="J128" s="97"/>
    </row>
    <row r="129" spans="1:10" s="90" customFormat="1" ht="15.75">
      <c r="A129" s="51" t="s">
        <v>274</v>
      </c>
      <c r="B129" s="47"/>
      <c r="C129" s="48"/>
      <c r="D129" s="52" t="s">
        <v>112</v>
      </c>
      <c r="E129" s="54"/>
      <c r="F129" s="50">
        <f>F130</f>
        <v>55000</v>
      </c>
      <c r="G129" s="50"/>
      <c r="H129" s="50">
        <f t="shared" si="2"/>
        <v>55000</v>
      </c>
      <c r="I129" s="99"/>
      <c r="J129" s="97"/>
    </row>
    <row r="130" spans="1:10" s="90" customFormat="1" ht="63">
      <c r="A130" s="41" t="s">
        <v>275</v>
      </c>
      <c r="B130" s="41">
        <v>3202</v>
      </c>
      <c r="C130" s="42" t="s">
        <v>86</v>
      </c>
      <c r="D130" s="73" t="s">
        <v>287</v>
      </c>
      <c r="E130" s="190" t="s">
        <v>226</v>
      </c>
      <c r="F130" s="45">
        <v>55000</v>
      </c>
      <c r="G130" s="46"/>
      <c r="H130" s="46">
        <f t="shared" si="2"/>
        <v>55000</v>
      </c>
      <c r="I130" s="100"/>
      <c r="J130" s="97"/>
    </row>
    <row r="131" spans="1:10" s="90" customFormat="1" ht="31.5">
      <c r="A131" s="41" t="s">
        <v>276</v>
      </c>
      <c r="B131" s="41">
        <v>3400</v>
      </c>
      <c r="C131" s="42" t="s">
        <v>100</v>
      </c>
      <c r="D131" s="43" t="s">
        <v>103</v>
      </c>
      <c r="E131" s="192"/>
      <c r="F131" s="45">
        <v>15800</v>
      </c>
      <c r="G131" s="46"/>
      <c r="H131" s="46">
        <f t="shared" si="2"/>
        <v>15800</v>
      </c>
      <c r="I131" s="100"/>
      <c r="J131" s="97"/>
    </row>
    <row r="132" spans="1:10" s="90" customFormat="1" ht="15.75">
      <c r="A132" s="35" t="s">
        <v>113</v>
      </c>
      <c r="B132" s="36"/>
      <c r="C132" s="37"/>
      <c r="D132" s="62" t="s">
        <v>114</v>
      </c>
      <c r="E132" s="63"/>
      <c r="F132" s="40">
        <f>F133+F139+F142+F145</f>
        <v>3810800</v>
      </c>
      <c r="G132" s="40">
        <f>G133+G139+G142+G145</f>
        <v>500000</v>
      </c>
      <c r="H132" s="40">
        <f>F132+G132</f>
        <v>4310800</v>
      </c>
      <c r="I132" s="96"/>
      <c r="J132" s="97"/>
    </row>
    <row r="133" spans="1:10" s="90" customFormat="1" ht="15.75">
      <c r="A133" s="56" t="s">
        <v>115</v>
      </c>
      <c r="B133" s="57"/>
      <c r="C133" s="58"/>
      <c r="D133" s="69" t="s">
        <v>219</v>
      </c>
      <c r="E133" s="64"/>
      <c r="F133" s="53">
        <f>F136+F137+F138</f>
        <v>3766900</v>
      </c>
      <c r="G133" s="53">
        <f>G136+G137+G138+G134</f>
        <v>500000</v>
      </c>
      <c r="H133" s="53">
        <f>F133+G133</f>
        <v>4266900</v>
      </c>
      <c r="I133" s="98"/>
      <c r="J133" s="97"/>
    </row>
    <row r="134" spans="1:10" s="104" customFormat="1" ht="89.25" customHeight="1">
      <c r="A134" s="75">
        <v>2011060</v>
      </c>
      <c r="B134" s="75">
        <v>1060</v>
      </c>
      <c r="C134" s="75" t="s">
        <v>390</v>
      </c>
      <c r="D134" s="75" t="s">
        <v>389</v>
      </c>
      <c r="E134" s="190" t="s">
        <v>229</v>
      </c>
      <c r="F134" s="46"/>
      <c r="G134" s="46">
        <v>500000</v>
      </c>
      <c r="H134" s="46">
        <f t="shared" si="2"/>
        <v>500000</v>
      </c>
      <c r="I134" s="100"/>
      <c r="J134" s="103"/>
    </row>
    <row r="135" spans="1:10" s="90" customFormat="1" ht="37.5" customHeight="1">
      <c r="A135" s="51" t="s">
        <v>116</v>
      </c>
      <c r="B135" s="47"/>
      <c r="C135" s="48"/>
      <c r="D135" s="52" t="s">
        <v>117</v>
      </c>
      <c r="E135" s="191"/>
      <c r="F135" s="50">
        <f>F136+F137</f>
        <v>3721900</v>
      </c>
      <c r="G135" s="50">
        <f>G136+G137</f>
        <v>0</v>
      </c>
      <c r="H135" s="50">
        <f t="shared" si="2"/>
        <v>3721900</v>
      </c>
      <c r="I135" s="99"/>
      <c r="J135" s="97"/>
    </row>
    <row r="136" spans="1:10" s="90" customFormat="1" ht="47.25">
      <c r="A136" s="41" t="s">
        <v>118</v>
      </c>
      <c r="B136" s="41">
        <v>3111</v>
      </c>
      <c r="C136" s="42" t="s">
        <v>37</v>
      </c>
      <c r="D136" s="43" t="s">
        <v>291</v>
      </c>
      <c r="E136" s="191"/>
      <c r="F136" s="45">
        <v>3624100</v>
      </c>
      <c r="G136" s="46"/>
      <c r="H136" s="46">
        <f aca="true" t="shared" si="3" ref="H136:H221">F136+G136</f>
        <v>3624100</v>
      </c>
      <c r="I136" s="100"/>
      <c r="J136" s="97"/>
    </row>
    <row r="137" spans="1:10" s="90" customFormat="1" ht="31.5">
      <c r="A137" s="41" t="s">
        <v>119</v>
      </c>
      <c r="B137" s="41">
        <v>3112</v>
      </c>
      <c r="C137" s="42" t="s">
        <v>37</v>
      </c>
      <c r="D137" s="43" t="s">
        <v>284</v>
      </c>
      <c r="E137" s="191"/>
      <c r="F137" s="45">
        <v>97800</v>
      </c>
      <c r="G137" s="46"/>
      <c r="H137" s="46">
        <f t="shared" si="3"/>
        <v>97800</v>
      </c>
      <c r="I137" s="100"/>
      <c r="J137" s="97"/>
    </row>
    <row r="138" spans="1:10" s="90" customFormat="1" ht="15.75">
      <c r="A138" s="41" t="s">
        <v>120</v>
      </c>
      <c r="B138" s="41">
        <v>3500</v>
      </c>
      <c r="C138" s="42" t="s">
        <v>37</v>
      </c>
      <c r="D138" s="43" t="s">
        <v>13</v>
      </c>
      <c r="E138" s="192"/>
      <c r="F138" s="45">
        <v>45000</v>
      </c>
      <c r="G138" s="46"/>
      <c r="H138" s="46">
        <f t="shared" si="3"/>
        <v>45000</v>
      </c>
      <c r="I138" s="100"/>
      <c r="J138" s="97"/>
    </row>
    <row r="139" spans="1:10" s="90" customFormat="1" ht="41.25" customHeight="1">
      <c r="A139" s="56" t="s">
        <v>115</v>
      </c>
      <c r="B139" s="57"/>
      <c r="C139" s="58"/>
      <c r="D139" s="68" t="s">
        <v>277</v>
      </c>
      <c r="E139" s="59"/>
      <c r="F139" s="53">
        <f>F141</f>
        <v>18900</v>
      </c>
      <c r="G139" s="53">
        <f>G141</f>
        <v>0</v>
      </c>
      <c r="H139" s="53">
        <f t="shared" si="3"/>
        <v>18900</v>
      </c>
      <c r="I139" s="98"/>
      <c r="J139" s="97"/>
    </row>
    <row r="140" spans="1:10" s="90" customFormat="1" ht="38.25" customHeight="1">
      <c r="A140" s="51" t="s">
        <v>116</v>
      </c>
      <c r="B140" s="47"/>
      <c r="C140" s="48"/>
      <c r="D140" s="52" t="s">
        <v>117</v>
      </c>
      <c r="E140" s="54"/>
      <c r="F140" s="50">
        <v>18900</v>
      </c>
      <c r="G140" s="50">
        <v>0</v>
      </c>
      <c r="H140" s="50">
        <f t="shared" si="3"/>
        <v>18900</v>
      </c>
      <c r="I140" s="96"/>
      <c r="J140" s="97"/>
    </row>
    <row r="141" spans="1:10" s="90" customFormat="1" ht="53.25" customHeight="1">
      <c r="A141" s="41" t="s">
        <v>119</v>
      </c>
      <c r="B141" s="41">
        <v>3112</v>
      </c>
      <c r="C141" s="42" t="s">
        <v>37</v>
      </c>
      <c r="D141" s="43" t="s">
        <v>284</v>
      </c>
      <c r="E141" s="17" t="s">
        <v>229</v>
      </c>
      <c r="F141" s="45">
        <v>18900</v>
      </c>
      <c r="G141" s="46"/>
      <c r="H141" s="46">
        <f t="shared" si="3"/>
        <v>18900</v>
      </c>
      <c r="I141" s="100"/>
      <c r="J141" s="97"/>
    </row>
    <row r="142" spans="1:10" s="90" customFormat="1" ht="48" customHeight="1">
      <c r="A142" s="56" t="s">
        <v>115</v>
      </c>
      <c r="B142" s="57"/>
      <c r="C142" s="58"/>
      <c r="D142" s="68" t="s">
        <v>278</v>
      </c>
      <c r="E142" s="59"/>
      <c r="F142" s="53">
        <f>F144</f>
        <v>10000</v>
      </c>
      <c r="G142" s="53">
        <f>G144</f>
        <v>0</v>
      </c>
      <c r="H142" s="53">
        <f t="shared" si="3"/>
        <v>10000</v>
      </c>
      <c r="I142" s="98"/>
      <c r="J142" s="97"/>
    </row>
    <row r="143" spans="1:10" s="90" customFormat="1" ht="41.25" customHeight="1">
      <c r="A143" s="51" t="s">
        <v>116</v>
      </c>
      <c r="B143" s="47"/>
      <c r="C143" s="48"/>
      <c r="D143" s="52" t="s">
        <v>117</v>
      </c>
      <c r="E143" s="54"/>
      <c r="F143" s="50">
        <v>10000</v>
      </c>
      <c r="G143" s="50">
        <v>0</v>
      </c>
      <c r="H143" s="50">
        <f t="shared" si="3"/>
        <v>10000</v>
      </c>
      <c r="I143" s="96"/>
      <c r="J143" s="97"/>
    </row>
    <row r="144" spans="1:10" s="90" customFormat="1" ht="54" customHeight="1">
      <c r="A144" s="41" t="s">
        <v>119</v>
      </c>
      <c r="B144" s="41">
        <v>3112</v>
      </c>
      <c r="C144" s="42" t="s">
        <v>37</v>
      </c>
      <c r="D144" s="43" t="s">
        <v>284</v>
      </c>
      <c r="E144" s="17" t="s">
        <v>229</v>
      </c>
      <c r="F144" s="45">
        <v>10000</v>
      </c>
      <c r="G144" s="46"/>
      <c r="H144" s="46">
        <f t="shared" si="3"/>
        <v>10000</v>
      </c>
      <c r="I144" s="100"/>
      <c r="J144" s="97"/>
    </row>
    <row r="145" spans="1:10" s="90" customFormat="1" ht="39" customHeight="1">
      <c r="A145" s="56" t="s">
        <v>115</v>
      </c>
      <c r="B145" s="57"/>
      <c r="C145" s="58"/>
      <c r="D145" s="68" t="s">
        <v>279</v>
      </c>
      <c r="E145" s="59"/>
      <c r="F145" s="53">
        <f>F147</f>
        <v>15000</v>
      </c>
      <c r="G145" s="53">
        <f>G147</f>
        <v>0</v>
      </c>
      <c r="H145" s="53">
        <f t="shared" si="3"/>
        <v>15000</v>
      </c>
      <c r="I145" s="98"/>
      <c r="J145" s="97"/>
    </row>
    <row r="146" spans="1:10" s="90" customFormat="1" ht="39.75" customHeight="1">
      <c r="A146" s="51" t="s">
        <v>116</v>
      </c>
      <c r="B146" s="47"/>
      <c r="C146" s="48"/>
      <c r="D146" s="52" t="s">
        <v>117</v>
      </c>
      <c r="E146" s="54"/>
      <c r="F146" s="50">
        <v>15000</v>
      </c>
      <c r="G146" s="50">
        <v>0</v>
      </c>
      <c r="H146" s="50">
        <f t="shared" si="3"/>
        <v>15000</v>
      </c>
      <c r="I146" s="96"/>
      <c r="J146" s="97"/>
    </row>
    <row r="147" spans="1:10" s="90" customFormat="1" ht="51.75" customHeight="1">
      <c r="A147" s="41" t="s">
        <v>119</v>
      </c>
      <c r="B147" s="41">
        <v>3112</v>
      </c>
      <c r="C147" s="42" t="s">
        <v>37</v>
      </c>
      <c r="D147" s="43" t="s">
        <v>284</v>
      </c>
      <c r="E147" s="17" t="s">
        <v>229</v>
      </c>
      <c r="F147" s="45">
        <v>15000</v>
      </c>
      <c r="G147" s="46"/>
      <c r="H147" s="46">
        <f t="shared" si="3"/>
        <v>15000</v>
      </c>
      <c r="I147" s="100"/>
      <c r="J147" s="97"/>
    </row>
    <row r="148" spans="1:10" s="90" customFormat="1" ht="15.75">
      <c r="A148" s="35" t="s">
        <v>121</v>
      </c>
      <c r="B148" s="36"/>
      <c r="C148" s="37"/>
      <c r="D148" s="62" t="s">
        <v>122</v>
      </c>
      <c r="E148" s="63"/>
      <c r="F148" s="40">
        <f>F149</f>
        <v>146916</v>
      </c>
      <c r="G148" s="40">
        <f>G149</f>
        <v>0</v>
      </c>
      <c r="H148" s="40">
        <f t="shared" si="3"/>
        <v>146916</v>
      </c>
      <c r="I148" s="96"/>
      <c r="J148" s="97"/>
    </row>
    <row r="149" spans="1:10" s="90" customFormat="1" ht="15.75">
      <c r="A149" s="56" t="s">
        <v>123</v>
      </c>
      <c r="B149" s="57"/>
      <c r="C149" s="58"/>
      <c r="D149" s="68" t="s">
        <v>124</v>
      </c>
      <c r="E149" s="59"/>
      <c r="F149" s="53">
        <f>SUM(F151+F150)</f>
        <v>146916</v>
      </c>
      <c r="G149" s="53">
        <f>SUM(G151+G150)</f>
        <v>0</v>
      </c>
      <c r="H149" s="53">
        <f t="shared" si="3"/>
        <v>146916</v>
      </c>
      <c r="I149" s="98"/>
      <c r="J149" s="97"/>
    </row>
    <row r="150" spans="1:10" s="90" customFormat="1" ht="53.25" customHeight="1">
      <c r="A150" s="41" t="s">
        <v>324</v>
      </c>
      <c r="B150" s="41">
        <v>8601</v>
      </c>
      <c r="C150" s="42" t="s">
        <v>12</v>
      </c>
      <c r="D150" s="44" t="s">
        <v>325</v>
      </c>
      <c r="E150" s="18" t="s">
        <v>267</v>
      </c>
      <c r="F150" s="45">
        <f>46916+50000-50000</f>
        <v>46916</v>
      </c>
      <c r="G150" s="46"/>
      <c r="H150" s="46">
        <f t="shared" si="3"/>
        <v>46916</v>
      </c>
      <c r="I150" s="100"/>
      <c r="J150" s="97"/>
    </row>
    <row r="151" spans="1:10" s="90" customFormat="1" ht="63">
      <c r="A151" s="41">
        <v>3118601</v>
      </c>
      <c r="B151" s="41">
        <v>8601</v>
      </c>
      <c r="C151" s="135" t="s">
        <v>12</v>
      </c>
      <c r="D151" s="120" t="s">
        <v>373</v>
      </c>
      <c r="E151" s="18" t="s">
        <v>374</v>
      </c>
      <c r="F151" s="45">
        <f>50000+50000</f>
        <v>100000</v>
      </c>
      <c r="G151" s="46"/>
      <c r="H151" s="46">
        <f t="shared" si="3"/>
        <v>100000</v>
      </c>
      <c r="I151" s="100"/>
      <c r="J151" s="97"/>
    </row>
    <row r="152" spans="1:10" s="90" customFormat="1" ht="31.5">
      <c r="A152" s="35" t="s">
        <v>125</v>
      </c>
      <c r="B152" s="36"/>
      <c r="C152" s="37"/>
      <c r="D152" s="62" t="s">
        <v>126</v>
      </c>
      <c r="E152" s="63"/>
      <c r="F152" s="40">
        <f>F153</f>
        <v>10000</v>
      </c>
      <c r="G152" s="40">
        <f>G153</f>
        <v>396520</v>
      </c>
      <c r="H152" s="40">
        <f t="shared" si="3"/>
        <v>406520</v>
      </c>
      <c r="I152" s="96"/>
      <c r="J152" s="97"/>
    </row>
    <row r="153" spans="1:10" s="90" customFormat="1" ht="31.5">
      <c r="A153" s="56" t="s">
        <v>127</v>
      </c>
      <c r="B153" s="57"/>
      <c r="C153" s="58"/>
      <c r="D153" s="68" t="s">
        <v>128</v>
      </c>
      <c r="E153" s="59"/>
      <c r="F153" s="53">
        <f>F154+F155+F156</f>
        <v>10000</v>
      </c>
      <c r="G153" s="53">
        <f>G154+G155+G156</f>
        <v>396520</v>
      </c>
      <c r="H153" s="53">
        <f>H154+H155+H156</f>
        <v>406520</v>
      </c>
      <c r="I153" s="96"/>
      <c r="J153" s="97"/>
    </row>
    <row r="154" spans="1:10" s="90" customFormat="1" ht="54.75" customHeight="1">
      <c r="A154" s="66" t="s">
        <v>385</v>
      </c>
      <c r="B154" s="41">
        <v>6310</v>
      </c>
      <c r="C154" s="42" t="s">
        <v>68</v>
      </c>
      <c r="D154" s="43" t="s">
        <v>311</v>
      </c>
      <c r="E154" s="18" t="s">
        <v>384</v>
      </c>
      <c r="F154" s="45"/>
      <c r="G154" s="46">
        <f>338405+100000-438405</f>
        <v>0</v>
      </c>
      <c r="H154" s="46">
        <f t="shared" si="3"/>
        <v>0</v>
      </c>
      <c r="I154" s="96"/>
      <c r="J154" s="97"/>
    </row>
    <row r="155" spans="1:10" s="90" customFormat="1" ht="54.75" customHeight="1">
      <c r="A155" s="41" t="s">
        <v>129</v>
      </c>
      <c r="B155" s="41">
        <v>7450</v>
      </c>
      <c r="C155" s="42" t="s">
        <v>130</v>
      </c>
      <c r="D155" s="43" t="s">
        <v>313</v>
      </c>
      <c r="E155" s="17" t="s">
        <v>412</v>
      </c>
      <c r="F155" s="45">
        <f>10000-10000+10000</f>
        <v>10000</v>
      </c>
      <c r="G155" s="46"/>
      <c r="H155" s="46">
        <f t="shared" si="3"/>
        <v>10000</v>
      </c>
      <c r="I155" s="96"/>
      <c r="J155" s="97"/>
    </row>
    <row r="156" spans="1:10" s="90" customFormat="1" ht="68.25" customHeight="1">
      <c r="A156" s="41" t="s">
        <v>378</v>
      </c>
      <c r="B156" s="41">
        <v>7470</v>
      </c>
      <c r="C156" s="42" t="s">
        <v>68</v>
      </c>
      <c r="D156" s="43" t="s">
        <v>316</v>
      </c>
      <c r="E156" s="17" t="s">
        <v>405</v>
      </c>
      <c r="F156" s="45"/>
      <c r="G156" s="46">
        <f>0+396520</f>
        <v>396520</v>
      </c>
      <c r="H156" s="46">
        <f>F156+G156</f>
        <v>396520</v>
      </c>
      <c r="I156" s="100"/>
      <c r="J156" s="97"/>
    </row>
    <row r="157" spans="1:10" s="90" customFormat="1" ht="15.75">
      <c r="A157" s="35" t="s">
        <v>131</v>
      </c>
      <c r="B157" s="36"/>
      <c r="C157" s="37"/>
      <c r="D157" s="62" t="s">
        <v>132</v>
      </c>
      <c r="E157" s="63"/>
      <c r="F157" s="40">
        <f>F158</f>
        <v>1300000</v>
      </c>
      <c r="G157" s="40">
        <f>G158</f>
        <v>240000</v>
      </c>
      <c r="H157" s="40">
        <f t="shared" si="3"/>
        <v>1540000</v>
      </c>
      <c r="I157" s="96"/>
      <c r="J157" s="97"/>
    </row>
    <row r="158" spans="1:10" s="90" customFormat="1" ht="51" customHeight="1">
      <c r="A158" s="56" t="s">
        <v>133</v>
      </c>
      <c r="B158" s="57"/>
      <c r="C158" s="58"/>
      <c r="D158" s="68" t="s">
        <v>134</v>
      </c>
      <c r="E158" s="59"/>
      <c r="F158" s="53">
        <f>F159+F160+F161</f>
        <v>1300000</v>
      </c>
      <c r="G158" s="53">
        <f>G159+G160+G161</f>
        <v>240000</v>
      </c>
      <c r="H158" s="53">
        <f>H159+H160+H161</f>
        <v>1540000</v>
      </c>
      <c r="I158" s="98"/>
      <c r="J158" s="97"/>
    </row>
    <row r="159" spans="1:11" s="90" customFormat="1" ht="57" customHeight="1">
      <c r="A159" s="41" t="s">
        <v>135</v>
      </c>
      <c r="B159" s="41">
        <v>7310</v>
      </c>
      <c r="C159" s="42" t="s">
        <v>136</v>
      </c>
      <c r="D159" s="43" t="s">
        <v>310</v>
      </c>
      <c r="E159" s="17" t="s">
        <v>370</v>
      </c>
      <c r="F159" s="45">
        <f>1550000-150000-500000-800000</f>
        <v>100000</v>
      </c>
      <c r="G159" s="46">
        <v>90000</v>
      </c>
      <c r="H159" s="46">
        <f t="shared" si="3"/>
        <v>190000</v>
      </c>
      <c r="I159" s="100"/>
      <c r="J159" s="97"/>
      <c r="K159" s="97"/>
    </row>
    <row r="160" spans="1:11" s="90" customFormat="1" ht="87" customHeight="1">
      <c r="A160" s="41">
        <v>4518070</v>
      </c>
      <c r="B160" s="41">
        <v>8070</v>
      </c>
      <c r="C160" s="42" t="s">
        <v>68</v>
      </c>
      <c r="D160" s="43" t="s">
        <v>371</v>
      </c>
      <c r="E160" s="17" t="s">
        <v>370</v>
      </c>
      <c r="F160" s="45">
        <v>0</v>
      </c>
      <c r="G160" s="46">
        <f>150000</f>
        <v>150000</v>
      </c>
      <c r="H160" s="46">
        <f t="shared" si="3"/>
        <v>150000</v>
      </c>
      <c r="I160" s="100"/>
      <c r="J160" s="97"/>
      <c r="K160" s="97"/>
    </row>
    <row r="161" spans="1:11" s="108" customFormat="1" ht="15.75">
      <c r="A161" s="81" t="s">
        <v>265</v>
      </c>
      <c r="B161" s="81">
        <v>8600</v>
      </c>
      <c r="C161" s="82" t="s">
        <v>12</v>
      </c>
      <c r="D161" s="88" t="s">
        <v>13</v>
      </c>
      <c r="E161" s="83"/>
      <c r="F161" s="84">
        <f>F162+F165</f>
        <v>1200000</v>
      </c>
      <c r="G161" s="84">
        <f>G162+G165</f>
        <v>0</v>
      </c>
      <c r="H161" s="84">
        <f>H162+H165</f>
        <v>1200000</v>
      </c>
      <c r="I161" s="106"/>
      <c r="J161" s="107"/>
      <c r="K161" s="107"/>
    </row>
    <row r="162" spans="1:10" s="90" customFormat="1" ht="78.75">
      <c r="A162" s="41"/>
      <c r="B162" s="41"/>
      <c r="C162" s="42"/>
      <c r="D162" s="43"/>
      <c r="E162" s="17" t="s">
        <v>245</v>
      </c>
      <c r="F162" s="45">
        <f>F164</f>
        <v>200000</v>
      </c>
      <c r="G162" s="45">
        <f>G164</f>
        <v>0</v>
      </c>
      <c r="H162" s="46">
        <f t="shared" si="3"/>
        <v>200000</v>
      </c>
      <c r="I162" s="100"/>
      <c r="J162" s="97"/>
    </row>
    <row r="163" spans="1:10" s="108" customFormat="1" ht="15.75">
      <c r="A163" s="81"/>
      <c r="B163" s="81"/>
      <c r="C163" s="82"/>
      <c r="D163" s="86" t="s">
        <v>319</v>
      </c>
      <c r="E163" s="83"/>
      <c r="F163" s="84"/>
      <c r="G163" s="85"/>
      <c r="H163" s="85"/>
      <c r="I163" s="106"/>
      <c r="J163" s="107"/>
    </row>
    <row r="164" spans="1:10" s="108" customFormat="1" ht="90" customHeight="1">
      <c r="A164" s="41"/>
      <c r="B164" s="41"/>
      <c r="C164" s="42"/>
      <c r="D164" s="88" t="s">
        <v>327</v>
      </c>
      <c r="E164" s="83"/>
      <c r="F164" s="45">
        <v>200000</v>
      </c>
      <c r="G164" s="85"/>
      <c r="H164" s="46">
        <f t="shared" si="3"/>
        <v>200000</v>
      </c>
      <c r="I164" s="106"/>
      <c r="J164" s="107"/>
    </row>
    <row r="165" spans="1:10" s="90" customFormat="1" ht="72" customHeight="1">
      <c r="A165" s="41"/>
      <c r="B165" s="41"/>
      <c r="C165" s="42"/>
      <c r="D165" s="43"/>
      <c r="E165" s="17" t="s">
        <v>349</v>
      </c>
      <c r="F165" s="45">
        <f>F167</f>
        <v>1000000</v>
      </c>
      <c r="G165" s="45">
        <f>G167</f>
        <v>0</v>
      </c>
      <c r="H165" s="46">
        <f>F165+G165</f>
        <v>1000000</v>
      </c>
      <c r="I165" s="100"/>
      <c r="J165" s="97"/>
    </row>
    <row r="166" spans="1:10" s="108" customFormat="1" ht="15.75">
      <c r="A166" s="81"/>
      <c r="B166" s="81"/>
      <c r="C166" s="82"/>
      <c r="D166" s="86" t="s">
        <v>319</v>
      </c>
      <c r="E166" s="83"/>
      <c r="F166" s="84"/>
      <c r="G166" s="85"/>
      <c r="H166" s="85"/>
      <c r="I166" s="106"/>
      <c r="J166" s="107"/>
    </row>
    <row r="167" spans="1:10" s="108" customFormat="1" ht="57.75" customHeight="1">
      <c r="A167" s="81"/>
      <c r="B167" s="81"/>
      <c r="C167" s="82"/>
      <c r="D167" s="88" t="s">
        <v>348</v>
      </c>
      <c r="E167" s="83"/>
      <c r="F167" s="84">
        <v>1000000</v>
      </c>
      <c r="G167" s="85"/>
      <c r="H167" s="85">
        <f>F167+G167</f>
        <v>1000000</v>
      </c>
      <c r="I167" s="106"/>
      <c r="J167" s="107"/>
    </row>
    <row r="168" spans="1:10" s="90" customFormat="1" ht="24" customHeight="1">
      <c r="A168" s="35" t="s">
        <v>137</v>
      </c>
      <c r="B168" s="36"/>
      <c r="C168" s="37"/>
      <c r="D168" s="62" t="s">
        <v>138</v>
      </c>
      <c r="E168" s="63"/>
      <c r="F168" s="40">
        <f>F169</f>
        <v>159699513.54</v>
      </c>
      <c r="G168" s="40">
        <f>G169</f>
        <v>154730247.81</v>
      </c>
      <c r="H168" s="40">
        <f>F168+G168</f>
        <v>314429761.35</v>
      </c>
      <c r="I168" s="96"/>
      <c r="J168" s="97"/>
    </row>
    <row r="169" spans="1:10" s="90" customFormat="1" ht="36.75" customHeight="1">
      <c r="A169" s="56" t="s">
        <v>139</v>
      </c>
      <c r="B169" s="57"/>
      <c r="C169" s="58"/>
      <c r="D169" s="68" t="s">
        <v>140</v>
      </c>
      <c r="E169" s="59"/>
      <c r="F169" s="53">
        <f>F170+F171+F172+F174+F176+F177+F178+F179+F180+F181+F182+F183+F184+F185+F186+F187+F188+F189+F190+F191+F192+F193+F194+F195+F196+F198+F201+F204+F207</f>
        <v>159699513.54</v>
      </c>
      <c r="G169" s="53">
        <f>G170+G171+G172+G174+G176+G177+G178+G179+G180+G181+G182+G183+G184+G185+G186+G187+G188+G189+G190+G191+G192+G193+G194+G195+G196+G198+G201+G204+G207</f>
        <v>154730247.81</v>
      </c>
      <c r="H169" s="53">
        <f>H170+H171+H172+H174+H176+H177+H178+H179+H180+H181+H182+H183+H184+H185+H186+H187+H188+H189+H190+H191+H192+H193+H194+H195+H196+H198+H201+H204+H207</f>
        <v>314429761.35</v>
      </c>
      <c r="I169" s="98"/>
      <c r="J169" s="97"/>
    </row>
    <row r="170" spans="1:10" s="90" customFormat="1" ht="54.75" customHeight="1">
      <c r="A170" s="41" t="s">
        <v>141</v>
      </c>
      <c r="B170" s="41">
        <v>3240</v>
      </c>
      <c r="C170" s="42" t="s">
        <v>15</v>
      </c>
      <c r="D170" s="43" t="s">
        <v>16</v>
      </c>
      <c r="E170" s="17" t="s">
        <v>237</v>
      </c>
      <c r="F170" s="45">
        <v>400000</v>
      </c>
      <c r="G170" s="46"/>
      <c r="H170" s="46">
        <f t="shared" si="3"/>
        <v>400000</v>
      </c>
      <c r="I170" s="100"/>
      <c r="J170" s="97"/>
    </row>
    <row r="171" spans="1:10" s="90" customFormat="1" ht="51" customHeight="1">
      <c r="A171" s="41" t="s">
        <v>142</v>
      </c>
      <c r="B171" s="41">
        <v>6010</v>
      </c>
      <c r="C171" s="42" t="s">
        <v>143</v>
      </c>
      <c r="D171" s="43" t="s">
        <v>305</v>
      </c>
      <c r="E171" s="17" t="s">
        <v>236</v>
      </c>
      <c r="F171" s="45">
        <f>25110000-430620-450000+75200+6000+73521.57+11000-50000-61896+26500+16750-250000+150000-22206.32+61318.21</f>
        <v>24265567.46</v>
      </c>
      <c r="G171" s="46">
        <f>1200000-50000-200000+50000+41500+28600+115520</f>
        <v>1185620</v>
      </c>
      <c r="H171" s="46">
        <f t="shared" si="3"/>
        <v>25451187.46</v>
      </c>
      <c r="I171" s="100"/>
      <c r="J171" s="97"/>
    </row>
    <row r="172" spans="1:10" s="90" customFormat="1" ht="54" customHeight="1">
      <c r="A172" s="41" t="s">
        <v>142</v>
      </c>
      <c r="B172" s="41">
        <v>6010</v>
      </c>
      <c r="C172" s="42" t="s">
        <v>143</v>
      </c>
      <c r="D172" s="43" t="s">
        <v>305</v>
      </c>
      <c r="E172" s="17" t="s">
        <v>237</v>
      </c>
      <c r="F172" s="45">
        <f>3090000+331100-199960-90000-196000</f>
        <v>2935140</v>
      </c>
      <c r="G172" s="46"/>
      <c r="H172" s="46">
        <f t="shared" si="3"/>
        <v>2935140</v>
      </c>
      <c r="I172" s="100"/>
      <c r="J172" s="97"/>
    </row>
    <row r="173" spans="1:10" s="90" customFormat="1" ht="36" customHeight="1">
      <c r="A173" s="51" t="s">
        <v>144</v>
      </c>
      <c r="B173" s="47"/>
      <c r="C173" s="48"/>
      <c r="D173" s="52" t="s">
        <v>145</v>
      </c>
      <c r="E173" s="54"/>
      <c r="F173" s="50">
        <f>F174</f>
        <v>0</v>
      </c>
      <c r="G173" s="50">
        <f>G174</f>
        <v>10547436</v>
      </c>
      <c r="H173" s="50">
        <f t="shared" si="3"/>
        <v>10547436</v>
      </c>
      <c r="I173" s="99"/>
      <c r="J173" s="97"/>
    </row>
    <row r="174" spans="1:10" s="90" customFormat="1" ht="50.25" customHeight="1">
      <c r="A174" s="41" t="s">
        <v>146</v>
      </c>
      <c r="B174" s="41">
        <v>6021</v>
      </c>
      <c r="C174" s="42" t="s">
        <v>143</v>
      </c>
      <c r="D174" s="43" t="s">
        <v>306</v>
      </c>
      <c r="E174" s="17" t="s">
        <v>238</v>
      </c>
      <c r="F174" s="17">
        <v>0</v>
      </c>
      <c r="G174" s="117">
        <f>3385000+7352436-190000</f>
        <v>10547436</v>
      </c>
      <c r="H174" s="46">
        <f t="shared" si="3"/>
        <v>10547436</v>
      </c>
      <c r="I174" s="100"/>
      <c r="J174" s="97"/>
    </row>
    <row r="175" spans="1:10" s="90" customFormat="1" ht="31.5">
      <c r="A175" s="51" t="s">
        <v>147</v>
      </c>
      <c r="B175" s="47"/>
      <c r="C175" s="48"/>
      <c r="D175" s="52" t="s">
        <v>148</v>
      </c>
      <c r="E175" s="54"/>
      <c r="F175" s="50">
        <f>F176</f>
        <v>0</v>
      </c>
      <c r="G175" s="50">
        <f>G176</f>
        <v>1000000</v>
      </c>
      <c r="H175" s="50">
        <f t="shared" si="3"/>
        <v>1000000</v>
      </c>
      <c r="I175" s="99"/>
      <c r="J175" s="97"/>
    </row>
    <row r="176" spans="1:10" s="90" customFormat="1" ht="74.25" customHeight="1">
      <c r="A176" s="66" t="s">
        <v>149</v>
      </c>
      <c r="B176" s="41">
        <v>6051</v>
      </c>
      <c r="C176" s="42" t="s">
        <v>17</v>
      </c>
      <c r="D176" s="43" t="s">
        <v>307</v>
      </c>
      <c r="E176" s="17" t="s">
        <v>239</v>
      </c>
      <c r="F176" s="26">
        <v>0</v>
      </c>
      <c r="G176" s="26">
        <f>5000000-4000000</f>
        <v>1000000</v>
      </c>
      <c r="H176" s="46">
        <f t="shared" si="3"/>
        <v>1000000</v>
      </c>
      <c r="I176" s="100"/>
      <c r="J176" s="97"/>
    </row>
    <row r="177" spans="1:10" s="90" customFormat="1" ht="55.5" customHeight="1">
      <c r="A177" s="66" t="s">
        <v>150</v>
      </c>
      <c r="B177" s="41">
        <v>6060</v>
      </c>
      <c r="C177" s="42" t="s">
        <v>17</v>
      </c>
      <c r="D177" s="43" t="s">
        <v>18</v>
      </c>
      <c r="E177" s="17" t="s">
        <v>237</v>
      </c>
      <c r="F177" s="17">
        <f>68200000+1000000+100000+357700.8+102901.25-473801.97-106000-50000+26400+8255000-289582-1453950+1500000</f>
        <v>77168668.08</v>
      </c>
      <c r="G177" s="17">
        <f>4500000+500000+18982.2-706410+84000+120000+1675000+750000</f>
        <v>6941572.2</v>
      </c>
      <c r="H177" s="46">
        <f t="shared" si="3"/>
        <v>84110240.28</v>
      </c>
      <c r="I177" s="100"/>
      <c r="J177" s="97"/>
    </row>
    <row r="178" spans="1:10" s="90" customFormat="1" ht="60" customHeight="1">
      <c r="A178" s="66" t="s">
        <v>150</v>
      </c>
      <c r="B178" s="41">
        <v>6060</v>
      </c>
      <c r="C178" s="42" t="s">
        <v>17</v>
      </c>
      <c r="D178" s="43" t="s">
        <v>18</v>
      </c>
      <c r="E178" s="17" t="s">
        <v>240</v>
      </c>
      <c r="F178" s="17">
        <f>1500000-1500000</f>
        <v>0</v>
      </c>
      <c r="G178" s="17">
        <f>1000000-152200-15000</f>
        <v>832800</v>
      </c>
      <c r="H178" s="46">
        <f t="shared" si="3"/>
        <v>832800</v>
      </c>
      <c r="I178" s="100"/>
      <c r="J178" s="97"/>
    </row>
    <row r="179" spans="1:10" s="90" customFormat="1" ht="57" customHeight="1">
      <c r="A179" s="66" t="s">
        <v>150</v>
      </c>
      <c r="B179" s="41">
        <v>6060</v>
      </c>
      <c r="C179" s="42" t="s">
        <v>17</v>
      </c>
      <c r="D179" s="43" t="s">
        <v>18</v>
      </c>
      <c r="E179" s="17" t="s">
        <v>241</v>
      </c>
      <c r="F179" s="17">
        <f>2500000-1858857+903035+180000</f>
        <v>1724178</v>
      </c>
      <c r="G179" s="17">
        <f>4000000+955822</f>
        <v>4955822</v>
      </c>
      <c r="H179" s="46">
        <f t="shared" si="3"/>
        <v>6680000</v>
      </c>
      <c r="I179" s="100"/>
      <c r="J179" s="97"/>
    </row>
    <row r="180" spans="1:11" s="90" customFormat="1" ht="89.25" customHeight="1">
      <c r="A180" s="66" t="s">
        <v>151</v>
      </c>
      <c r="B180" s="41">
        <v>6130</v>
      </c>
      <c r="C180" s="42" t="s">
        <v>17</v>
      </c>
      <c r="D180" s="43" t="s">
        <v>308</v>
      </c>
      <c r="E180" s="17" t="s">
        <v>242</v>
      </c>
      <c r="F180" s="17">
        <f>1500000+500000+34000</f>
        <v>2034000</v>
      </c>
      <c r="G180" s="17">
        <v>0</v>
      </c>
      <c r="H180" s="46">
        <f t="shared" si="3"/>
        <v>2034000</v>
      </c>
      <c r="I180" s="100"/>
      <c r="J180" s="97"/>
      <c r="K180" s="97"/>
    </row>
    <row r="181" spans="1:12" s="90" customFormat="1" ht="87" customHeight="1">
      <c r="A181" s="66" t="s">
        <v>151</v>
      </c>
      <c r="B181" s="41">
        <v>6130</v>
      </c>
      <c r="C181" s="42" t="s">
        <v>17</v>
      </c>
      <c r="D181" s="43" t="s">
        <v>308</v>
      </c>
      <c r="E181" s="17" t="s">
        <v>243</v>
      </c>
      <c r="F181" s="17">
        <f>500000-34000</f>
        <v>466000</v>
      </c>
      <c r="G181" s="17">
        <v>0</v>
      </c>
      <c r="H181" s="46">
        <f t="shared" si="3"/>
        <v>466000</v>
      </c>
      <c r="I181" s="100"/>
      <c r="J181" s="141" t="s">
        <v>364</v>
      </c>
      <c r="K181" s="136" t="s">
        <v>365</v>
      </c>
      <c r="L181" s="90" t="s">
        <v>366</v>
      </c>
    </row>
    <row r="182" spans="1:12" s="90" customFormat="1" ht="68.25" customHeight="1">
      <c r="A182" s="66" t="s">
        <v>152</v>
      </c>
      <c r="B182" s="41">
        <v>6310</v>
      </c>
      <c r="C182" s="42" t="s">
        <v>68</v>
      </c>
      <c r="D182" s="43" t="s">
        <v>311</v>
      </c>
      <c r="E182" s="18" t="s">
        <v>384</v>
      </c>
      <c r="F182" s="45">
        <v>0</v>
      </c>
      <c r="G182" s="46">
        <f>12260000+300000-300000+150000-1500000-3792926+1000000+400000+388405</f>
        <v>8905479</v>
      </c>
      <c r="H182" s="46">
        <f t="shared" si="3"/>
        <v>8905479</v>
      </c>
      <c r="I182" s="140">
        <v>6310</v>
      </c>
      <c r="J182" s="110">
        <f>F182+F183</f>
        <v>0</v>
      </c>
      <c r="K182" s="110">
        <f>G182+G183</f>
        <v>9205479</v>
      </c>
      <c r="L182" s="142">
        <f>J182+K182</f>
        <v>9205479</v>
      </c>
    </row>
    <row r="183" spans="1:10" s="139" customFormat="1" ht="101.25" customHeight="1">
      <c r="A183" s="66" t="s">
        <v>152</v>
      </c>
      <c r="B183" s="41">
        <v>6310</v>
      </c>
      <c r="C183" s="42" t="s">
        <v>68</v>
      </c>
      <c r="D183" s="43" t="s">
        <v>311</v>
      </c>
      <c r="E183" s="18" t="s">
        <v>367</v>
      </c>
      <c r="F183" s="46">
        <v>0</v>
      </c>
      <c r="G183" s="46">
        <v>300000</v>
      </c>
      <c r="H183" s="46">
        <f t="shared" si="3"/>
        <v>300000</v>
      </c>
      <c r="I183" s="137"/>
      <c r="J183" s="138"/>
    </row>
    <row r="184" spans="1:10" s="90" customFormat="1" ht="56.25" customHeight="1">
      <c r="A184" s="66" t="s">
        <v>391</v>
      </c>
      <c r="B184" s="41">
        <v>6330</v>
      </c>
      <c r="C184" s="42" t="s">
        <v>26</v>
      </c>
      <c r="D184" s="43" t="s">
        <v>392</v>
      </c>
      <c r="E184" s="18" t="s">
        <v>384</v>
      </c>
      <c r="F184" s="45">
        <v>0</v>
      </c>
      <c r="G184" s="46">
        <v>600000</v>
      </c>
      <c r="H184" s="46">
        <f>F184+G184</f>
        <v>600000</v>
      </c>
      <c r="I184" s="100"/>
      <c r="J184" s="97"/>
    </row>
    <row r="185" spans="1:10" s="90" customFormat="1" ht="56.25" customHeight="1">
      <c r="A185" s="66" t="s">
        <v>153</v>
      </c>
      <c r="B185" s="41">
        <v>6350</v>
      </c>
      <c r="C185" s="42" t="s">
        <v>32</v>
      </c>
      <c r="D185" s="43" t="s">
        <v>154</v>
      </c>
      <c r="E185" s="18" t="s">
        <v>384</v>
      </c>
      <c r="F185" s="45">
        <v>0</v>
      </c>
      <c r="G185" s="46">
        <f>500000</f>
        <v>500000</v>
      </c>
      <c r="H185" s="46">
        <f t="shared" si="3"/>
        <v>500000</v>
      </c>
      <c r="I185" s="100"/>
      <c r="J185" s="97"/>
    </row>
    <row r="186" spans="1:10" s="90" customFormat="1" ht="51" customHeight="1">
      <c r="A186" s="118">
        <v>4716360</v>
      </c>
      <c r="B186" s="118">
        <v>6360</v>
      </c>
      <c r="C186" s="119" t="s">
        <v>75</v>
      </c>
      <c r="D186" s="120" t="s">
        <v>340</v>
      </c>
      <c r="E186" s="18" t="s">
        <v>384</v>
      </c>
      <c r="F186" s="45"/>
      <c r="G186" s="46">
        <v>1146000</v>
      </c>
      <c r="H186" s="46">
        <f t="shared" si="3"/>
        <v>1146000</v>
      </c>
      <c r="I186" s="100"/>
      <c r="J186" s="97"/>
    </row>
    <row r="187" spans="1:10" s="90" customFormat="1" ht="47.25">
      <c r="A187" s="66" t="s">
        <v>155</v>
      </c>
      <c r="B187" s="41">
        <v>6650</v>
      </c>
      <c r="C187" s="42" t="s">
        <v>156</v>
      </c>
      <c r="D187" s="43" t="s">
        <v>314</v>
      </c>
      <c r="E187" s="17" t="s">
        <v>237</v>
      </c>
      <c r="F187" s="45">
        <f>30600000+8000000+199960-600000+10000000+196000</f>
        <v>48395960</v>
      </c>
      <c r="G187" s="46">
        <f>0+50000+190000-50000</f>
        <v>190000</v>
      </c>
      <c r="H187" s="46">
        <f t="shared" si="3"/>
        <v>48585960</v>
      </c>
      <c r="I187" s="100"/>
      <c r="J187" s="97"/>
    </row>
    <row r="188" spans="1:11" s="90" customFormat="1" ht="63">
      <c r="A188" s="67" t="s">
        <v>157</v>
      </c>
      <c r="B188" s="41">
        <v>7470</v>
      </c>
      <c r="C188" s="42" t="s">
        <v>68</v>
      </c>
      <c r="D188" s="195" t="s">
        <v>309</v>
      </c>
      <c r="E188" s="17" t="s">
        <v>406</v>
      </c>
      <c r="F188" s="46">
        <v>0</v>
      </c>
      <c r="G188" s="46">
        <f>20000000-2000000+1000000</f>
        <v>19000000</v>
      </c>
      <c r="H188" s="46">
        <f t="shared" si="3"/>
        <v>19000000</v>
      </c>
      <c r="I188" s="100"/>
      <c r="J188" s="97">
        <v>180409</v>
      </c>
      <c r="K188" s="160">
        <f>H188+H189+H190+H191+H192+H196+G193+G194+G195</f>
        <v>77225518.61</v>
      </c>
    </row>
    <row r="189" spans="1:10" s="90" customFormat="1" ht="66" customHeight="1">
      <c r="A189" s="67" t="s">
        <v>157</v>
      </c>
      <c r="B189" s="41">
        <v>7470</v>
      </c>
      <c r="C189" s="42" t="s">
        <v>68</v>
      </c>
      <c r="D189" s="197"/>
      <c r="E189" s="17" t="s">
        <v>402</v>
      </c>
      <c r="F189" s="46">
        <v>0</v>
      </c>
      <c r="G189" s="46">
        <f>25000000-5000000+500000</f>
        <v>20500000</v>
      </c>
      <c r="H189" s="46">
        <f t="shared" si="3"/>
        <v>20500000</v>
      </c>
      <c r="I189" s="100"/>
      <c r="J189" s="97"/>
    </row>
    <row r="190" spans="1:10" s="90" customFormat="1" ht="63">
      <c r="A190" s="67" t="s">
        <v>157</v>
      </c>
      <c r="B190" s="41">
        <v>7470</v>
      </c>
      <c r="C190" s="42" t="s">
        <v>68</v>
      </c>
      <c r="D190" s="197"/>
      <c r="E190" s="30" t="s">
        <v>388</v>
      </c>
      <c r="F190" s="46">
        <v>0</v>
      </c>
      <c r="G190" s="46">
        <f>500000+900000</f>
        <v>1400000</v>
      </c>
      <c r="H190" s="46">
        <f t="shared" si="3"/>
        <v>1400000</v>
      </c>
      <c r="I190" s="100"/>
      <c r="J190" s="97"/>
    </row>
    <row r="191" spans="1:10" s="90" customFormat="1" ht="63">
      <c r="A191" s="67" t="s">
        <v>157</v>
      </c>
      <c r="B191" s="41">
        <v>7470</v>
      </c>
      <c r="C191" s="42">
        <v>490</v>
      </c>
      <c r="D191" s="197"/>
      <c r="E191" s="17" t="s">
        <v>407</v>
      </c>
      <c r="F191" s="46">
        <v>0</v>
      </c>
      <c r="G191" s="46">
        <v>200000</v>
      </c>
      <c r="H191" s="46">
        <f t="shared" si="3"/>
        <v>200000</v>
      </c>
      <c r="I191" s="100"/>
      <c r="J191" s="97"/>
    </row>
    <row r="192" spans="1:10" s="90" customFormat="1" ht="70.5" customHeight="1">
      <c r="A192" s="67" t="s">
        <v>157</v>
      </c>
      <c r="B192" s="41">
        <v>7470</v>
      </c>
      <c r="C192" s="42" t="s">
        <v>68</v>
      </c>
      <c r="D192" s="197"/>
      <c r="E192" s="17" t="s">
        <v>339</v>
      </c>
      <c r="F192" s="46">
        <v>0</v>
      </c>
      <c r="G192" s="46">
        <f>1690000+2000000+1500000</f>
        <v>5190000</v>
      </c>
      <c r="H192" s="46">
        <f t="shared" si="3"/>
        <v>5190000</v>
      </c>
      <c r="I192" s="100"/>
      <c r="J192" s="97"/>
    </row>
    <row r="193" spans="1:10" s="147" customFormat="1" ht="71.25" customHeight="1">
      <c r="A193" s="67" t="s">
        <v>157</v>
      </c>
      <c r="B193" s="41">
        <v>7470</v>
      </c>
      <c r="C193" s="42" t="s">
        <v>68</v>
      </c>
      <c r="D193" s="197"/>
      <c r="E193" s="17" t="s">
        <v>379</v>
      </c>
      <c r="F193" s="46">
        <v>0</v>
      </c>
      <c r="G193" s="46">
        <v>50000</v>
      </c>
      <c r="H193" s="46">
        <f>F193+G193</f>
        <v>50000</v>
      </c>
      <c r="I193" s="145"/>
      <c r="J193" s="146"/>
    </row>
    <row r="194" spans="1:10" s="147" customFormat="1" ht="71.25" customHeight="1">
      <c r="A194" s="67" t="s">
        <v>157</v>
      </c>
      <c r="B194" s="41">
        <v>7470</v>
      </c>
      <c r="C194" s="42" t="s">
        <v>68</v>
      </c>
      <c r="D194" s="197"/>
      <c r="E194" s="17" t="s">
        <v>380</v>
      </c>
      <c r="F194" s="46">
        <v>0</v>
      </c>
      <c r="G194" s="46">
        <v>56000</v>
      </c>
      <c r="H194" s="46">
        <f>F194+G194</f>
        <v>56000</v>
      </c>
      <c r="I194" s="145"/>
      <c r="J194" s="146"/>
    </row>
    <row r="195" spans="1:10" s="147" customFormat="1" ht="71.25" customHeight="1">
      <c r="A195" s="67" t="s">
        <v>157</v>
      </c>
      <c r="B195" s="41">
        <v>7470</v>
      </c>
      <c r="C195" s="42" t="s">
        <v>68</v>
      </c>
      <c r="D195" s="197"/>
      <c r="E195" s="17" t="s">
        <v>387</v>
      </c>
      <c r="F195" s="46">
        <v>0</v>
      </c>
      <c r="G195" s="46">
        <v>100000</v>
      </c>
      <c r="H195" s="46">
        <f>F195+G195</f>
        <v>100000</v>
      </c>
      <c r="I195" s="145"/>
      <c r="J195" s="146"/>
    </row>
    <row r="196" spans="1:10" s="90" customFormat="1" ht="78.75">
      <c r="A196" s="67" t="s">
        <v>157</v>
      </c>
      <c r="B196" s="41">
        <v>7470</v>
      </c>
      <c r="C196" s="42" t="s">
        <v>68</v>
      </c>
      <c r="D196" s="196"/>
      <c r="E196" s="17" t="s">
        <v>408</v>
      </c>
      <c r="F196" s="46">
        <v>0</v>
      </c>
      <c r="G196" s="149">
        <f>26600000+701896+47050+83602.67+183582+3077387.94+36000</f>
        <v>30729518.610000003</v>
      </c>
      <c r="H196" s="46">
        <f t="shared" si="3"/>
        <v>30729518.610000003</v>
      </c>
      <c r="I196" s="100"/>
      <c r="J196" s="97"/>
    </row>
    <row r="197" spans="1:11" s="108" customFormat="1" ht="15.75">
      <c r="A197" s="81" t="s">
        <v>266</v>
      </c>
      <c r="B197" s="81">
        <v>8600</v>
      </c>
      <c r="C197" s="82" t="s">
        <v>12</v>
      </c>
      <c r="D197" s="88" t="s">
        <v>13</v>
      </c>
      <c r="E197" s="83"/>
      <c r="F197" s="84">
        <f>F198+F201</f>
        <v>2310000</v>
      </c>
      <c r="G197" s="84">
        <f>G198+G201</f>
        <v>0</v>
      </c>
      <c r="H197" s="84">
        <f>H198+H201</f>
        <v>2310000</v>
      </c>
      <c r="I197" s="106"/>
      <c r="J197" s="107"/>
      <c r="K197" s="107"/>
    </row>
    <row r="198" spans="1:10" s="90" customFormat="1" ht="58.5" customHeight="1">
      <c r="A198" s="66"/>
      <c r="B198" s="41"/>
      <c r="C198" s="42"/>
      <c r="D198" s="43"/>
      <c r="E198" s="17" t="s">
        <v>315</v>
      </c>
      <c r="F198" s="45">
        <f>F200</f>
        <v>1300000</v>
      </c>
      <c r="G198" s="45">
        <f>G200</f>
        <v>0</v>
      </c>
      <c r="H198" s="46">
        <f>F198+G198</f>
        <v>1300000</v>
      </c>
      <c r="I198" s="100"/>
      <c r="J198" s="97"/>
    </row>
    <row r="199" spans="1:10" s="108" customFormat="1" ht="15.75">
      <c r="A199" s="81"/>
      <c r="B199" s="81"/>
      <c r="C199" s="82"/>
      <c r="D199" s="86" t="s">
        <v>319</v>
      </c>
      <c r="E199" s="83"/>
      <c r="F199" s="84"/>
      <c r="G199" s="85"/>
      <c r="H199" s="85"/>
      <c r="I199" s="106"/>
      <c r="J199" s="107"/>
    </row>
    <row r="200" spans="1:10" s="108" customFormat="1" ht="47.25">
      <c r="A200" s="89"/>
      <c r="B200" s="81"/>
      <c r="C200" s="82"/>
      <c r="D200" s="88" t="s">
        <v>328</v>
      </c>
      <c r="E200" s="83"/>
      <c r="F200" s="84">
        <v>1300000</v>
      </c>
      <c r="G200" s="85"/>
      <c r="H200" s="85">
        <f>F200+G200</f>
        <v>1300000</v>
      </c>
      <c r="I200" s="106"/>
      <c r="J200" s="107"/>
    </row>
    <row r="201" spans="1:10" s="90" customFormat="1" ht="47.25">
      <c r="A201" s="66"/>
      <c r="B201" s="41"/>
      <c r="C201" s="42"/>
      <c r="D201" s="43"/>
      <c r="E201" s="17" t="s">
        <v>246</v>
      </c>
      <c r="F201" s="45">
        <v>1010000</v>
      </c>
      <c r="G201" s="46"/>
      <c r="H201" s="46">
        <f t="shared" si="3"/>
        <v>1010000</v>
      </c>
      <c r="I201" s="100"/>
      <c r="J201" s="97"/>
    </row>
    <row r="202" spans="1:10" s="108" customFormat="1" ht="15.75">
      <c r="A202" s="81"/>
      <c r="B202" s="81"/>
      <c r="C202" s="82"/>
      <c r="D202" s="86" t="s">
        <v>319</v>
      </c>
      <c r="E202" s="83"/>
      <c r="F202" s="84"/>
      <c r="G202" s="85"/>
      <c r="H202" s="85"/>
      <c r="I202" s="106"/>
      <c r="J202" s="107"/>
    </row>
    <row r="203" spans="1:10" s="108" customFormat="1" ht="52.5" customHeight="1">
      <c r="A203" s="89"/>
      <c r="B203" s="81"/>
      <c r="C203" s="82"/>
      <c r="D203" s="88" t="s">
        <v>329</v>
      </c>
      <c r="E203" s="83"/>
      <c r="F203" s="84">
        <v>1010000</v>
      </c>
      <c r="G203" s="85"/>
      <c r="H203" s="85"/>
      <c r="I203" s="106"/>
      <c r="J203" s="107"/>
    </row>
    <row r="204" spans="1:10" s="90" customFormat="1" ht="53.25" customHeight="1">
      <c r="A204" s="66" t="s">
        <v>158</v>
      </c>
      <c r="B204" s="41">
        <v>8800</v>
      </c>
      <c r="C204" s="42" t="s">
        <v>159</v>
      </c>
      <c r="D204" s="43" t="s">
        <v>160</v>
      </c>
      <c r="E204" s="17" t="s">
        <v>237</v>
      </c>
      <c r="F204" s="45">
        <v>0</v>
      </c>
      <c r="G204" s="46">
        <f>G206</f>
        <v>40000000</v>
      </c>
      <c r="H204" s="46">
        <f t="shared" si="3"/>
        <v>40000000</v>
      </c>
      <c r="I204" s="100"/>
      <c r="J204" s="97"/>
    </row>
    <row r="205" spans="1:10" s="108" customFormat="1" ht="15.75">
      <c r="A205" s="81"/>
      <c r="B205" s="81"/>
      <c r="C205" s="82"/>
      <c r="D205" s="86" t="s">
        <v>319</v>
      </c>
      <c r="E205" s="83"/>
      <c r="F205" s="84"/>
      <c r="G205" s="85"/>
      <c r="H205" s="85"/>
      <c r="I205" s="106"/>
      <c r="J205" s="107"/>
    </row>
    <row r="206" spans="1:10" s="108" customFormat="1" ht="69" customHeight="1">
      <c r="A206" s="89"/>
      <c r="B206" s="81"/>
      <c r="C206" s="82"/>
      <c r="D206" s="88" t="s">
        <v>330</v>
      </c>
      <c r="E206" s="83"/>
      <c r="F206" s="84">
        <v>0</v>
      </c>
      <c r="G206" s="85">
        <f>60000000-40000000+20000000</f>
        <v>40000000</v>
      </c>
      <c r="H206" s="85">
        <f>F206+G206</f>
        <v>40000000</v>
      </c>
      <c r="I206" s="106"/>
      <c r="J206" s="107"/>
    </row>
    <row r="207" spans="1:10" s="90" customFormat="1" ht="56.25" customHeight="1">
      <c r="A207" s="41" t="s">
        <v>377</v>
      </c>
      <c r="B207" s="41">
        <v>9110</v>
      </c>
      <c r="C207" s="42" t="s">
        <v>70</v>
      </c>
      <c r="D207" s="43" t="s">
        <v>71</v>
      </c>
      <c r="E207" s="18" t="s">
        <v>244</v>
      </c>
      <c r="F207" s="45">
        <v>0</v>
      </c>
      <c r="G207" s="46">
        <f>0+200000+200000</f>
        <v>400000</v>
      </c>
      <c r="H207" s="46">
        <f>F207+G207</f>
        <v>400000</v>
      </c>
      <c r="I207" s="100"/>
      <c r="J207" s="97"/>
    </row>
    <row r="208" spans="1:10" s="90" customFormat="1" ht="31.5">
      <c r="A208" s="35" t="s">
        <v>161</v>
      </c>
      <c r="B208" s="36"/>
      <c r="C208" s="37"/>
      <c r="D208" s="62" t="s">
        <v>162</v>
      </c>
      <c r="E208" s="63"/>
      <c r="F208" s="40">
        <f>F209</f>
        <v>500000</v>
      </c>
      <c r="G208" s="40">
        <f>G209</f>
        <v>369480</v>
      </c>
      <c r="H208" s="40">
        <f>H209</f>
        <v>869480</v>
      </c>
      <c r="I208" s="96"/>
      <c r="J208" s="97"/>
    </row>
    <row r="209" spans="1:10" s="90" customFormat="1" ht="37.5" customHeight="1">
      <c r="A209" s="56" t="s">
        <v>163</v>
      </c>
      <c r="B209" s="57"/>
      <c r="C209" s="58"/>
      <c r="D209" s="68" t="s">
        <v>164</v>
      </c>
      <c r="E209" s="59"/>
      <c r="F209" s="53">
        <f>F210+F211+F212</f>
        <v>500000</v>
      </c>
      <c r="G209" s="53">
        <f>G210+G211+G212</f>
        <v>369480</v>
      </c>
      <c r="H209" s="53">
        <f>H210+H211+H212</f>
        <v>869480</v>
      </c>
      <c r="I209" s="98"/>
      <c r="J209" s="97"/>
    </row>
    <row r="210" spans="1:10" s="90" customFormat="1" ht="81" customHeight="1">
      <c r="A210" s="41" t="s">
        <v>165</v>
      </c>
      <c r="B210" s="41">
        <v>6430</v>
      </c>
      <c r="C210" s="42" t="s">
        <v>166</v>
      </c>
      <c r="D210" s="43" t="s">
        <v>167</v>
      </c>
      <c r="E210" s="17" t="s">
        <v>247</v>
      </c>
      <c r="F210" s="45">
        <v>0</v>
      </c>
      <c r="G210" s="46">
        <f>1500000-1234000</f>
        <v>266000</v>
      </c>
      <c r="H210" s="46">
        <f t="shared" si="3"/>
        <v>266000</v>
      </c>
      <c r="I210" s="100"/>
      <c r="J210" s="97"/>
    </row>
    <row r="211" spans="1:10" s="90" customFormat="1" ht="68.25" customHeight="1">
      <c r="A211" s="41" t="s">
        <v>168</v>
      </c>
      <c r="B211" s="41">
        <v>7470</v>
      </c>
      <c r="C211" s="42" t="s">
        <v>68</v>
      </c>
      <c r="D211" s="43" t="s">
        <v>316</v>
      </c>
      <c r="E211" s="17" t="s">
        <v>405</v>
      </c>
      <c r="F211" s="45">
        <v>0</v>
      </c>
      <c r="G211" s="46">
        <f>500000-396520</f>
        <v>103480</v>
      </c>
      <c r="H211" s="46">
        <f t="shared" si="3"/>
        <v>103480</v>
      </c>
      <c r="I211" s="100"/>
      <c r="J211" s="97"/>
    </row>
    <row r="212" spans="1:10" s="90" customFormat="1" ht="55.5" customHeight="1">
      <c r="A212" s="41" t="s">
        <v>169</v>
      </c>
      <c r="B212" s="41">
        <v>8800</v>
      </c>
      <c r="C212" s="42" t="s">
        <v>159</v>
      </c>
      <c r="D212" s="43" t="s">
        <v>160</v>
      </c>
      <c r="E212" s="17" t="s">
        <v>246</v>
      </c>
      <c r="F212" s="45">
        <f>F214</f>
        <v>500000</v>
      </c>
      <c r="G212" s="46"/>
      <c r="H212" s="46">
        <f t="shared" si="3"/>
        <v>500000</v>
      </c>
      <c r="I212" s="100"/>
      <c r="J212" s="97"/>
    </row>
    <row r="213" spans="1:10" s="108" customFormat="1" ht="15.75">
      <c r="A213" s="81"/>
      <c r="B213" s="81"/>
      <c r="C213" s="82"/>
      <c r="D213" s="86" t="s">
        <v>319</v>
      </c>
      <c r="E213" s="83"/>
      <c r="F213" s="84"/>
      <c r="G213" s="85"/>
      <c r="H213" s="85"/>
      <c r="I213" s="106"/>
      <c r="J213" s="107"/>
    </row>
    <row r="214" spans="1:10" s="108" customFormat="1" ht="54" customHeight="1">
      <c r="A214" s="81"/>
      <c r="B214" s="81"/>
      <c r="C214" s="82"/>
      <c r="D214" s="88" t="s">
        <v>331</v>
      </c>
      <c r="E214" s="83"/>
      <c r="F214" s="84">
        <v>500000</v>
      </c>
      <c r="G214" s="85"/>
      <c r="H214" s="85">
        <f>F214+G214</f>
        <v>500000</v>
      </c>
      <c r="I214" s="106"/>
      <c r="J214" s="107"/>
    </row>
    <row r="215" spans="1:10" s="90" customFormat="1" ht="47.25">
      <c r="A215" s="35" t="s">
        <v>170</v>
      </c>
      <c r="B215" s="36"/>
      <c r="C215" s="37"/>
      <c r="D215" s="62" t="s">
        <v>171</v>
      </c>
      <c r="E215" s="63"/>
      <c r="F215" s="40">
        <f>F216</f>
        <v>0</v>
      </c>
      <c r="G215" s="40">
        <f>G216</f>
        <v>9338174.8</v>
      </c>
      <c r="H215" s="40">
        <f t="shared" si="3"/>
        <v>9338174.8</v>
      </c>
      <c r="I215" s="96"/>
      <c r="J215" s="97"/>
    </row>
    <row r="216" spans="1:10" s="90" customFormat="1" ht="39.75" customHeight="1">
      <c r="A216" s="56" t="s">
        <v>172</v>
      </c>
      <c r="B216" s="57"/>
      <c r="C216" s="58"/>
      <c r="D216" s="68" t="s">
        <v>173</v>
      </c>
      <c r="E216" s="59"/>
      <c r="F216" s="53">
        <f>F217+F218+F219+F220+F221</f>
        <v>0</v>
      </c>
      <c r="G216" s="53">
        <f>G217+G218+G219+G220+G221</f>
        <v>9338174.8</v>
      </c>
      <c r="H216" s="53">
        <f>H217+H218+H219+H220+H221</f>
        <v>9338174.8</v>
      </c>
      <c r="I216" s="98"/>
      <c r="J216" s="97"/>
    </row>
    <row r="217" spans="1:9" s="90" customFormat="1" ht="53.25" customHeight="1">
      <c r="A217" s="41" t="s">
        <v>174</v>
      </c>
      <c r="B217" s="41">
        <v>7470</v>
      </c>
      <c r="C217" s="42" t="s">
        <v>68</v>
      </c>
      <c r="D217" s="43" t="s">
        <v>309</v>
      </c>
      <c r="E217" s="17" t="s">
        <v>409</v>
      </c>
      <c r="F217" s="45">
        <v>0</v>
      </c>
      <c r="G217" s="46">
        <f>200000+450000</f>
        <v>650000</v>
      </c>
      <c r="H217" s="46">
        <f t="shared" si="3"/>
        <v>650000</v>
      </c>
      <c r="I217" s="100"/>
    </row>
    <row r="218" spans="1:13" s="90" customFormat="1" ht="39" customHeight="1">
      <c r="A218" s="41" t="s">
        <v>175</v>
      </c>
      <c r="B218" s="41">
        <v>9110</v>
      </c>
      <c r="C218" s="42" t="s">
        <v>70</v>
      </c>
      <c r="D218" s="43" t="s">
        <v>71</v>
      </c>
      <c r="E218" s="191" t="s">
        <v>244</v>
      </c>
      <c r="F218" s="45">
        <v>0</v>
      </c>
      <c r="G218" s="46">
        <f>5830000+400000-404200+1708174.8-477900-1400000-100000</f>
        <v>5556074.8</v>
      </c>
      <c r="H218" s="46">
        <f t="shared" si="3"/>
        <v>5556074.8</v>
      </c>
      <c r="I218" s="100"/>
      <c r="J218" s="109">
        <v>9100</v>
      </c>
      <c r="K218" s="110">
        <f>F217+F218+F219+F220+F221</f>
        <v>0</v>
      </c>
      <c r="L218" s="110">
        <f>G218+G219+G220+G221</f>
        <v>8688174.8</v>
      </c>
      <c r="M218" s="110"/>
    </row>
    <row r="219" spans="1:10" s="90" customFormat="1" ht="21.75" customHeight="1">
      <c r="A219" s="41" t="s">
        <v>176</v>
      </c>
      <c r="B219" s="41">
        <v>9120</v>
      </c>
      <c r="C219" s="42" t="s">
        <v>177</v>
      </c>
      <c r="D219" s="43" t="s">
        <v>178</v>
      </c>
      <c r="E219" s="191"/>
      <c r="F219" s="45">
        <v>0</v>
      </c>
      <c r="G219" s="46">
        <f>1500000+54200-50000+1000000+100000</f>
        <v>2604200</v>
      </c>
      <c r="H219" s="46">
        <f t="shared" si="3"/>
        <v>2604200</v>
      </c>
      <c r="I219" s="100"/>
      <c r="J219" s="97"/>
    </row>
    <row r="220" spans="1:10" s="90" customFormat="1" ht="39" customHeight="1">
      <c r="A220" s="41" t="s">
        <v>179</v>
      </c>
      <c r="B220" s="41">
        <v>9130</v>
      </c>
      <c r="C220" s="42" t="s">
        <v>180</v>
      </c>
      <c r="D220" s="43" t="s">
        <v>181</v>
      </c>
      <c r="E220" s="191"/>
      <c r="F220" s="45">
        <v>0</v>
      </c>
      <c r="G220" s="46">
        <f>500000</f>
        <v>500000</v>
      </c>
      <c r="H220" s="46">
        <f t="shared" si="3"/>
        <v>500000</v>
      </c>
      <c r="I220" s="100"/>
      <c r="J220" s="97"/>
    </row>
    <row r="221" spans="1:11" s="90" customFormat="1" ht="36" customHeight="1">
      <c r="A221" s="41" t="s">
        <v>182</v>
      </c>
      <c r="B221" s="41">
        <v>9140</v>
      </c>
      <c r="C221" s="42" t="s">
        <v>183</v>
      </c>
      <c r="D221" s="43" t="s">
        <v>184</v>
      </c>
      <c r="E221" s="192"/>
      <c r="F221" s="45">
        <v>0</v>
      </c>
      <c r="G221" s="46">
        <v>27900</v>
      </c>
      <c r="H221" s="46">
        <f t="shared" si="3"/>
        <v>27900</v>
      </c>
      <c r="I221" s="100"/>
      <c r="J221" s="97"/>
      <c r="K221" s="97"/>
    </row>
    <row r="222" spans="1:10" s="90" customFormat="1" ht="31.5">
      <c r="A222" s="35" t="s">
        <v>185</v>
      </c>
      <c r="B222" s="36"/>
      <c r="C222" s="37"/>
      <c r="D222" s="62" t="s">
        <v>186</v>
      </c>
      <c r="E222" s="63"/>
      <c r="F222" s="40">
        <f>F223</f>
        <v>44200000</v>
      </c>
      <c r="G222" s="40">
        <f>G223</f>
        <v>5215000</v>
      </c>
      <c r="H222" s="40">
        <f>F222+G222</f>
        <v>49415000</v>
      </c>
      <c r="I222" s="96"/>
      <c r="J222" s="97"/>
    </row>
    <row r="223" spans="1:10" s="90" customFormat="1" ht="31.5">
      <c r="A223" s="56" t="s">
        <v>187</v>
      </c>
      <c r="B223" s="57"/>
      <c r="C223" s="58"/>
      <c r="D223" s="68" t="s">
        <v>188</v>
      </c>
      <c r="E223" s="59"/>
      <c r="F223" s="53">
        <f>F224+F225+F226+F227</f>
        <v>44200000</v>
      </c>
      <c r="G223" s="53">
        <f>G224+G225+G226+G227</f>
        <v>5215000</v>
      </c>
      <c r="H223" s="53">
        <f>H224+H225+H226+H227</f>
        <v>49415000</v>
      </c>
      <c r="I223" s="98"/>
      <c r="J223" s="97"/>
    </row>
    <row r="224" spans="1:10" s="90" customFormat="1" ht="47.25">
      <c r="A224" s="41" t="s">
        <v>189</v>
      </c>
      <c r="B224" s="41">
        <v>6640</v>
      </c>
      <c r="C224" s="42" t="s">
        <v>190</v>
      </c>
      <c r="D224" s="43" t="s">
        <v>191</v>
      </c>
      <c r="E224" s="30" t="s">
        <v>248</v>
      </c>
      <c r="F224" s="45">
        <f>34000000+10000000</f>
        <v>44000000</v>
      </c>
      <c r="G224" s="46">
        <v>0</v>
      </c>
      <c r="H224" s="46">
        <f aca="true" t="shared" si="4" ref="H224:H238">F224+G224</f>
        <v>44000000</v>
      </c>
      <c r="I224" s="96"/>
      <c r="J224" s="97"/>
    </row>
    <row r="225" spans="1:10" s="90" customFormat="1" ht="47.25">
      <c r="A225" s="41" t="s">
        <v>192</v>
      </c>
      <c r="B225" s="41">
        <v>6700</v>
      </c>
      <c r="C225" s="42" t="s">
        <v>193</v>
      </c>
      <c r="D225" s="43" t="s">
        <v>194</v>
      </c>
      <c r="E225" s="17" t="s">
        <v>249</v>
      </c>
      <c r="F225" s="45">
        <v>200000</v>
      </c>
      <c r="G225" s="46"/>
      <c r="H225" s="46">
        <f t="shared" si="4"/>
        <v>200000</v>
      </c>
      <c r="I225" s="96"/>
      <c r="J225" s="97"/>
    </row>
    <row r="226" spans="1:10" s="90" customFormat="1" ht="54" customHeight="1">
      <c r="A226" s="41" t="s">
        <v>195</v>
      </c>
      <c r="B226" s="41">
        <v>6800</v>
      </c>
      <c r="C226" s="42" t="s">
        <v>196</v>
      </c>
      <c r="D226" s="43" t="s">
        <v>197</v>
      </c>
      <c r="E226" s="17" t="s">
        <v>249</v>
      </c>
      <c r="F226" s="45">
        <v>0</v>
      </c>
      <c r="G226" s="46">
        <v>15000</v>
      </c>
      <c r="H226" s="46">
        <f t="shared" si="4"/>
        <v>15000</v>
      </c>
      <c r="I226" s="96"/>
      <c r="J226" s="97"/>
    </row>
    <row r="227" spans="1:12" s="90" customFormat="1" ht="47.25">
      <c r="A227" s="41" t="s">
        <v>198</v>
      </c>
      <c r="B227" s="41">
        <v>7470</v>
      </c>
      <c r="C227" s="42" t="s">
        <v>68</v>
      </c>
      <c r="D227" s="43" t="s">
        <v>316</v>
      </c>
      <c r="E227" s="30" t="s">
        <v>248</v>
      </c>
      <c r="F227" s="45">
        <v>0</v>
      </c>
      <c r="G227" s="46">
        <f>5000000+200000</f>
        <v>5200000</v>
      </c>
      <c r="H227" s="46">
        <f t="shared" si="4"/>
        <v>5200000</v>
      </c>
      <c r="I227" s="96"/>
      <c r="J227" s="97" t="s">
        <v>366</v>
      </c>
      <c r="K227" s="97">
        <f>H227+H217+H211+H196+H192+H191+H190+H189+H188++H72+H70</f>
        <v>83832998.61</v>
      </c>
      <c r="L227" s="90">
        <v>180409</v>
      </c>
    </row>
    <row r="228" spans="1:10" s="90" customFormat="1" ht="23.25" customHeight="1">
      <c r="A228" s="35" t="s">
        <v>199</v>
      </c>
      <c r="B228" s="36"/>
      <c r="C228" s="37"/>
      <c r="D228" s="62" t="s">
        <v>200</v>
      </c>
      <c r="E228" s="63"/>
      <c r="F228" s="40">
        <f>F229</f>
        <v>164500</v>
      </c>
      <c r="G228" s="40">
        <f>G229</f>
        <v>2154155</v>
      </c>
      <c r="H228" s="40">
        <f>F228+G228</f>
        <v>2318655</v>
      </c>
      <c r="I228" s="96"/>
      <c r="J228" s="97"/>
    </row>
    <row r="229" spans="1:10" s="90" customFormat="1" ht="47.25">
      <c r="A229" s="56" t="s">
        <v>201</v>
      </c>
      <c r="B229" s="57"/>
      <c r="C229" s="58"/>
      <c r="D229" s="68" t="s">
        <v>202</v>
      </c>
      <c r="E229" s="59"/>
      <c r="F229" s="53">
        <f>F230+F231+F232</f>
        <v>164500</v>
      </c>
      <c r="G229" s="53">
        <f>G230+G231+G232</f>
        <v>2154155</v>
      </c>
      <c r="H229" s="53">
        <f>H230+H231+H232</f>
        <v>2318655</v>
      </c>
      <c r="I229" s="98"/>
      <c r="J229" s="97"/>
    </row>
    <row r="230" spans="1:10" s="90" customFormat="1" ht="67.5" customHeight="1">
      <c r="A230" s="41" t="s">
        <v>345</v>
      </c>
      <c r="B230" s="41" t="s">
        <v>346</v>
      </c>
      <c r="C230" s="42" t="s">
        <v>17</v>
      </c>
      <c r="D230" s="43" t="s">
        <v>347</v>
      </c>
      <c r="E230" s="18" t="s">
        <v>384</v>
      </c>
      <c r="F230" s="45"/>
      <c r="G230" s="46">
        <f>2370600-251945</f>
        <v>2118655</v>
      </c>
      <c r="H230" s="46">
        <f>F230+G230</f>
        <v>2118655</v>
      </c>
      <c r="I230" s="96"/>
      <c r="J230" s="97"/>
    </row>
    <row r="231" spans="1:10" s="90" customFormat="1" ht="71.25" customHeight="1">
      <c r="A231" s="41" t="s">
        <v>203</v>
      </c>
      <c r="B231" s="41">
        <v>7810</v>
      </c>
      <c r="C231" s="42" t="s">
        <v>204</v>
      </c>
      <c r="D231" s="43" t="s">
        <v>205</v>
      </c>
      <c r="E231" s="17" t="s">
        <v>403</v>
      </c>
      <c r="F231" s="45">
        <v>164500</v>
      </c>
      <c r="G231" s="46"/>
      <c r="H231" s="46">
        <f t="shared" si="4"/>
        <v>164500</v>
      </c>
      <c r="I231" s="96"/>
      <c r="J231" s="97"/>
    </row>
    <row r="232" spans="1:10" s="90" customFormat="1" ht="56.25" customHeight="1">
      <c r="A232" s="41" t="s">
        <v>203</v>
      </c>
      <c r="B232" s="41">
        <v>7810</v>
      </c>
      <c r="C232" s="42" t="s">
        <v>204</v>
      </c>
      <c r="D232" s="43" t="s">
        <v>205</v>
      </c>
      <c r="E232" s="17" t="s">
        <v>369</v>
      </c>
      <c r="F232" s="45">
        <f>35500-35500</f>
        <v>0</v>
      </c>
      <c r="G232" s="46">
        <f>35500</f>
        <v>35500</v>
      </c>
      <c r="H232" s="46">
        <f t="shared" si="4"/>
        <v>35500</v>
      </c>
      <c r="I232" s="96"/>
      <c r="J232" s="97"/>
    </row>
    <row r="233" spans="1:10" s="90" customFormat="1" ht="15.75">
      <c r="A233" s="35" t="s">
        <v>206</v>
      </c>
      <c r="B233" s="36"/>
      <c r="C233" s="37"/>
      <c r="D233" s="62" t="s">
        <v>207</v>
      </c>
      <c r="E233" s="63"/>
      <c r="F233" s="40">
        <f>F234</f>
        <v>305000</v>
      </c>
      <c r="G233" s="40">
        <f>G234</f>
        <v>0</v>
      </c>
      <c r="H233" s="40">
        <f>F233+G233</f>
        <v>305000</v>
      </c>
      <c r="I233" s="96"/>
      <c r="J233" s="97"/>
    </row>
    <row r="234" spans="1:10" s="90" customFormat="1" ht="31.5">
      <c r="A234" s="56" t="s">
        <v>208</v>
      </c>
      <c r="B234" s="57"/>
      <c r="C234" s="58"/>
      <c r="D234" s="68" t="s">
        <v>209</v>
      </c>
      <c r="E234" s="59"/>
      <c r="F234" s="53">
        <f>F235+F236</f>
        <v>305000</v>
      </c>
      <c r="G234" s="53">
        <f>G235+G236</f>
        <v>0</v>
      </c>
      <c r="H234" s="53">
        <f>H235+H236</f>
        <v>305000</v>
      </c>
      <c r="I234" s="96"/>
      <c r="J234" s="97"/>
    </row>
    <row r="235" spans="1:10" s="90" customFormat="1" ht="69" customHeight="1">
      <c r="A235" s="41" t="s">
        <v>210</v>
      </c>
      <c r="B235" s="41">
        <v>7410</v>
      </c>
      <c r="C235" s="42" t="s">
        <v>211</v>
      </c>
      <c r="D235" s="43" t="s">
        <v>317</v>
      </c>
      <c r="E235" s="17" t="s">
        <v>382</v>
      </c>
      <c r="F235" s="45">
        <v>285000</v>
      </c>
      <c r="G235" s="46"/>
      <c r="H235" s="46">
        <f t="shared" si="4"/>
        <v>285000</v>
      </c>
      <c r="I235" s="96"/>
      <c r="J235" s="97"/>
    </row>
    <row r="236" spans="1:10" s="90" customFormat="1" ht="54.75" customHeight="1">
      <c r="A236" s="66" t="s">
        <v>383</v>
      </c>
      <c r="B236" s="41">
        <v>8600</v>
      </c>
      <c r="C236" s="42" t="s">
        <v>12</v>
      </c>
      <c r="D236" s="43" t="s">
        <v>13</v>
      </c>
      <c r="E236" s="17" t="s">
        <v>395</v>
      </c>
      <c r="F236" s="45">
        <f>F238</f>
        <v>20000</v>
      </c>
      <c r="G236" s="46"/>
      <c r="H236" s="46">
        <f t="shared" si="4"/>
        <v>20000</v>
      </c>
      <c r="I236" s="100"/>
      <c r="J236" s="97"/>
    </row>
    <row r="237" spans="1:10" s="108" customFormat="1" ht="15.75">
      <c r="A237" s="81"/>
      <c r="B237" s="81"/>
      <c r="C237" s="82"/>
      <c r="D237" s="86" t="s">
        <v>319</v>
      </c>
      <c r="E237" s="83"/>
      <c r="F237" s="84"/>
      <c r="G237" s="85"/>
      <c r="H237" s="85"/>
      <c r="I237" s="106"/>
      <c r="J237" s="107"/>
    </row>
    <row r="238" spans="1:10" s="154" customFormat="1" ht="39" customHeight="1">
      <c r="A238" s="155"/>
      <c r="B238" s="156"/>
      <c r="C238" s="157"/>
      <c r="D238" s="158" t="s">
        <v>386</v>
      </c>
      <c r="E238" s="150"/>
      <c r="F238" s="84">
        <v>20000</v>
      </c>
      <c r="G238" s="151"/>
      <c r="H238" s="85">
        <f t="shared" si="4"/>
        <v>20000</v>
      </c>
      <c r="I238" s="152"/>
      <c r="J238" s="153"/>
    </row>
    <row r="239" spans="1:10" s="90" customFormat="1" ht="39" customHeight="1">
      <c r="A239" s="35" t="s">
        <v>350</v>
      </c>
      <c r="B239" s="36"/>
      <c r="C239" s="37"/>
      <c r="D239" s="38" t="s">
        <v>351</v>
      </c>
      <c r="E239" s="63"/>
      <c r="F239" s="40">
        <f>F240</f>
        <v>2108000</v>
      </c>
      <c r="G239" s="40">
        <f>G240</f>
        <v>92000</v>
      </c>
      <c r="H239" s="40">
        <f>F239+G239</f>
        <v>2200000</v>
      </c>
      <c r="I239" s="96"/>
      <c r="J239" s="97"/>
    </row>
    <row r="240" spans="1:10" s="90" customFormat="1" ht="35.25" customHeight="1">
      <c r="A240" s="56" t="s">
        <v>352</v>
      </c>
      <c r="B240" s="57"/>
      <c r="C240" s="58"/>
      <c r="D240" s="68" t="s">
        <v>353</v>
      </c>
      <c r="E240" s="59"/>
      <c r="F240" s="53">
        <f>F241+F242+F243</f>
        <v>2108000</v>
      </c>
      <c r="G240" s="53">
        <f>G241+G242+G243</f>
        <v>92000</v>
      </c>
      <c r="H240" s="53">
        <f>H241+H242+H243</f>
        <v>2200000</v>
      </c>
      <c r="I240" s="96"/>
      <c r="J240" s="97"/>
    </row>
    <row r="241" spans="1:10" s="90" customFormat="1" ht="75" customHeight="1">
      <c r="A241" s="41" t="s">
        <v>354</v>
      </c>
      <c r="B241" s="41" t="s">
        <v>355</v>
      </c>
      <c r="C241" s="42" t="s">
        <v>159</v>
      </c>
      <c r="D241" s="43" t="s">
        <v>356</v>
      </c>
      <c r="E241" s="17" t="s">
        <v>357</v>
      </c>
      <c r="F241" s="45">
        <f>1000000+500000</f>
        <v>1500000</v>
      </c>
      <c r="G241" s="46"/>
      <c r="H241" s="46">
        <f>F241+G241</f>
        <v>1500000</v>
      </c>
      <c r="I241" s="96"/>
      <c r="J241" s="97"/>
    </row>
    <row r="242" spans="1:10" s="90" customFormat="1" ht="120" customHeight="1">
      <c r="A242" s="41" t="s">
        <v>354</v>
      </c>
      <c r="B242" s="41" t="s">
        <v>355</v>
      </c>
      <c r="C242" s="42" t="s">
        <v>159</v>
      </c>
      <c r="D242" s="43" t="s">
        <v>356</v>
      </c>
      <c r="E242" s="17" t="s">
        <v>372</v>
      </c>
      <c r="F242" s="45">
        <v>108000</v>
      </c>
      <c r="G242" s="46">
        <v>92000</v>
      </c>
      <c r="H242" s="46">
        <f>F242+G242</f>
        <v>200000</v>
      </c>
      <c r="I242" s="96"/>
      <c r="J242" s="97"/>
    </row>
    <row r="243" spans="1:10" s="90" customFormat="1" ht="75" customHeight="1">
      <c r="A243" s="41" t="s">
        <v>354</v>
      </c>
      <c r="B243" s="41" t="s">
        <v>355</v>
      </c>
      <c r="C243" s="42" t="s">
        <v>159</v>
      </c>
      <c r="D243" s="43" t="s">
        <v>356</v>
      </c>
      <c r="E243" s="17" t="s">
        <v>381</v>
      </c>
      <c r="F243" s="45">
        <v>500000</v>
      </c>
      <c r="G243" s="46"/>
      <c r="H243" s="46">
        <f>F243+G243</f>
        <v>500000</v>
      </c>
      <c r="I243" s="96"/>
      <c r="J243" s="97"/>
    </row>
    <row r="244" spans="1:10" s="134" customFormat="1" ht="22.5" customHeight="1">
      <c r="A244" s="126"/>
      <c r="B244" s="127" t="s">
        <v>212</v>
      </c>
      <c r="C244" s="128"/>
      <c r="D244" s="129" t="s">
        <v>2</v>
      </c>
      <c r="E244" s="130"/>
      <c r="F244" s="131">
        <f>F16+F23+F38+F74+F100+F132+F148+F152+F157+F208+F215+F222+F228+F233+F168+F239</f>
        <v>281218591.89</v>
      </c>
      <c r="G244" s="131">
        <f>G16+G23+G38+G74+G100+G132+G148+G152+G157+G208+G215+G222+G228+G233+G168+G239</f>
        <v>214862799.61</v>
      </c>
      <c r="H244" s="131">
        <f>H16+H23+H38+H74+H100+H132+H148+H152+H157+H208+H215+H222+H228+H233+H168+H239</f>
        <v>496081391.5</v>
      </c>
      <c r="I244" s="132"/>
      <c r="J244" s="133"/>
    </row>
    <row r="245" spans="4:10" s="90" customFormat="1" ht="15.75">
      <c r="D245" s="91"/>
      <c r="F245" s="97"/>
      <c r="G245" s="97"/>
      <c r="H245" s="97"/>
      <c r="I245" s="111"/>
      <c r="J245" s="97"/>
    </row>
    <row r="246" spans="4:10" s="90" customFormat="1" ht="24" customHeight="1">
      <c r="D246" s="91"/>
      <c r="F246" s="97"/>
      <c r="G246" s="97"/>
      <c r="H246" s="97"/>
      <c r="I246" s="111"/>
      <c r="J246" s="97"/>
    </row>
    <row r="247" spans="1:9" s="123" customFormat="1" ht="24" customHeight="1">
      <c r="A247" s="124" t="s">
        <v>343</v>
      </c>
      <c r="B247" s="124"/>
      <c r="C247" s="124"/>
      <c r="D247" s="124"/>
      <c r="E247" s="125"/>
      <c r="G247" s="124" t="s">
        <v>344</v>
      </c>
      <c r="I247" s="124"/>
    </row>
    <row r="248" spans="4:10" s="90" customFormat="1" ht="15.75">
      <c r="D248" s="91"/>
      <c r="F248" s="97"/>
      <c r="G248" s="97"/>
      <c r="H248" s="97"/>
      <c r="I248" s="111"/>
      <c r="J248" s="97"/>
    </row>
    <row r="249" spans="6:10" ht="15">
      <c r="F249" s="9"/>
      <c r="G249" s="9"/>
      <c r="H249" s="9"/>
      <c r="I249" s="3"/>
      <c r="J249" s="9"/>
    </row>
    <row r="250" spans="5:10" ht="15">
      <c r="E250" s="19" t="s">
        <v>220</v>
      </c>
      <c r="F250" s="9"/>
      <c r="G250" s="9"/>
      <c r="H250" s="9"/>
      <c r="I250" s="3"/>
      <c r="J250" s="9"/>
    </row>
    <row r="251" spans="5:12" ht="15">
      <c r="E251" s="1" t="s">
        <v>221</v>
      </c>
      <c r="F251" s="10"/>
      <c r="G251" s="10"/>
      <c r="H251" s="10"/>
      <c r="I251" s="70"/>
      <c r="J251" s="11"/>
      <c r="K251" s="11"/>
      <c r="L251" s="12"/>
    </row>
    <row r="252" spans="5:12" ht="15">
      <c r="E252" s="2">
        <v>70</v>
      </c>
      <c r="F252" s="13"/>
      <c r="G252" s="13"/>
      <c r="H252" s="13"/>
      <c r="I252" s="15"/>
      <c r="J252" s="3"/>
      <c r="K252" s="4"/>
      <c r="L252" s="5"/>
    </row>
    <row r="253" spans="5:12" ht="15">
      <c r="E253" s="2">
        <v>80</v>
      </c>
      <c r="F253" s="13"/>
      <c r="G253" s="13"/>
      <c r="H253" s="13"/>
      <c r="I253" s="15"/>
      <c r="J253" s="3"/>
      <c r="K253" s="4"/>
      <c r="L253" s="5"/>
    </row>
    <row r="254" spans="5:12" ht="15">
      <c r="E254" s="2">
        <v>90</v>
      </c>
      <c r="F254" s="13"/>
      <c r="G254" s="13"/>
      <c r="H254" s="13"/>
      <c r="I254" s="15"/>
      <c r="J254" s="3"/>
      <c r="K254" s="4"/>
      <c r="L254" s="5"/>
    </row>
    <row r="255" spans="5:12" ht="15">
      <c r="E255" s="2">
        <v>100</v>
      </c>
      <c r="F255" s="13"/>
      <c r="G255" s="13"/>
      <c r="H255" s="13"/>
      <c r="I255" s="15"/>
      <c r="J255" s="3"/>
      <c r="K255" s="4"/>
      <c r="L255" s="5"/>
    </row>
    <row r="256" spans="5:12" ht="15">
      <c r="E256" s="2">
        <v>110</v>
      </c>
      <c r="F256" s="13"/>
      <c r="G256" s="13"/>
      <c r="H256" s="13"/>
      <c r="I256" s="15"/>
      <c r="J256" s="3"/>
      <c r="K256" s="4"/>
      <c r="L256" s="5"/>
    </row>
    <row r="257" spans="5:12" ht="15">
      <c r="E257" s="2">
        <v>120</v>
      </c>
      <c r="F257" s="13"/>
      <c r="G257" s="13"/>
      <c r="H257" s="13"/>
      <c r="I257" s="15"/>
      <c r="J257" s="3"/>
      <c r="K257" s="4"/>
      <c r="L257" s="5"/>
    </row>
    <row r="258" spans="5:12" ht="15">
      <c r="E258" s="2">
        <v>130</v>
      </c>
      <c r="F258" s="13"/>
      <c r="G258" s="13"/>
      <c r="H258" s="13"/>
      <c r="I258" s="15"/>
      <c r="J258" s="3"/>
      <c r="K258" s="4"/>
      <c r="L258" s="5"/>
    </row>
    <row r="259" spans="5:12" ht="15">
      <c r="E259" s="2">
        <v>150</v>
      </c>
      <c r="F259" s="13"/>
      <c r="G259" s="13"/>
      <c r="H259" s="13"/>
      <c r="I259" s="15"/>
      <c r="J259" s="3"/>
      <c r="K259" s="4"/>
      <c r="L259" s="79"/>
    </row>
    <row r="260" spans="5:12" ht="15">
      <c r="E260" s="2">
        <v>160</v>
      </c>
      <c r="F260" s="13"/>
      <c r="G260" s="13"/>
      <c r="H260" s="13"/>
      <c r="I260" s="15"/>
      <c r="J260" s="3"/>
      <c r="K260" s="4"/>
      <c r="L260" s="5"/>
    </row>
    <row r="261" spans="5:12" ht="15">
      <c r="E261" s="2">
        <v>170</v>
      </c>
      <c r="F261" s="13"/>
      <c r="G261" s="13"/>
      <c r="H261" s="13"/>
      <c r="I261" s="15"/>
      <c r="J261" s="3"/>
      <c r="K261" s="4"/>
      <c r="L261" s="5"/>
    </row>
    <row r="262" spans="5:12" ht="15">
      <c r="E262" s="2">
        <v>180</v>
      </c>
      <c r="F262" s="13"/>
      <c r="G262" s="13"/>
      <c r="H262" s="13"/>
      <c r="I262" s="15"/>
      <c r="J262" s="3"/>
      <c r="K262" s="4"/>
      <c r="L262" s="5"/>
    </row>
    <row r="263" spans="5:12" ht="15">
      <c r="E263" s="2">
        <v>200</v>
      </c>
      <c r="F263" s="13"/>
      <c r="G263" s="13"/>
      <c r="H263" s="13"/>
      <c r="I263" s="15"/>
      <c r="J263" s="3"/>
      <c r="K263" s="4"/>
      <c r="L263" s="5"/>
    </row>
    <row r="264" spans="5:12" ht="15">
      <c r="E264" s="2">
        <v>210</v>
      </c>
      <c r="F264" s="13"/>
      <c r="G264" s="13"/>
      <c r="H264" s="13"/>
      <c r="I264" s="15"/>
      <c r="J264" s="3"/>
      <c r="K264" s="5"/>
      <c r="L264" s="5"/>
    </row>
    <row r="265" spans="5:12" ht="15">
      <c r="E265" s="2">
        <v>240</v>
      </c>
      <c r="F265" s="13"/>
      <c r="G265" s="13"/>
      <c r="H265" s="13"/>
      <c r="I265" s="15"/>
      <c r="J265" s="3"/>
      <c r="K265" s="4"/>
      <c r="L265" s="5"/>
    </row>
    <row r="266" spans="5:12" ht="15">
      <c r="E266" s="2">
        <v>250</v>
      </c>
      <c r="F266" s="14"/>
      <c r="G266" s="14"/>
      <c r="H266" s="14"/>
      <c r="I266" s="71"/>
      <c r="J266" s="3"/>
      <c r="K266" s="4"/>
      <c r="L266" s="5"/>
    </row>
    <row r="267" spans="6:12" ht="15">
      <c r="F267" s="14">
        <f>SUM(F251:F266)</f>
        <v>0</v>
      </c>
      <c r="G267" s="14">
        <f>SUM(G251:G266)</f>
        <v>0</v>
      </c>
      <c r="H267" s="14">
        <f>SUM(H251:H266)</f>
        <v>0</v>
      </c>
      <c r="I267" s="71"/>
      <c r="J267" s="3"/>
      <c r="K267" s="4"/>
      <c r="L267" s="5"/>
    </row>
    <row r="268" spans="5:12" ht="15">
      <c r="E268" s="4"/>
      <c r="F268" s="15"/>
      <c r="G268" s="15"/>
      <c r="H268" s="15"/>
      <c r="I268" s="15"/>
      <c r="J268" s="3"/>
      <c r="K268" s="4"/>
      <c r="L268" s="5"/>
    </row>
    <row r="269" spans="5:12" ht="15">
      <c r="E269" s="80" t="s">
        <v>222</v>
      </c>
      <c r="F269" s="16">
        <f>F244-F267</f>
        <v>281218591.89</v>
      </c>
      <c r="G269" s="16">
        <f>G244-G267</f>
        <v>214862799.61</v>
      </c>
      <c r="H269" s="32">
        <f>H244-H267</f>
        <v>496081391.5</v>
      </c>
      <c r="I269" s="5"/>
      <c r="J269" s="3"/>
      <c r="K269" s="4"/>
      <c r="L269" s="5"/>
    </row>
    <row r="270" spans="5:12" ht="15">
      <c r="E270" s="2"/>
      <c r="F270" s="2"/>
      <c r="G270" s="2"/>
      <c r="H270" s="7"/>
      <c r="I270" s="5"/>
      <c r="J270" s="3"/>
      <c r="K270" s="4"/>
      <c r="L270" s="5"/>
    </row>
    <row r="271" spans="4:12" ht="15">
      <c r="D271" s="34"/>
      <c r="E271" s="2"/>
      <c r="F271" s="2"/>
      <c r="G271" s="2"/>
      <c r="H271" s="7"/>
      <c r="I271" s="5"/>
      <c r="J271" s="3"/>
      <c r="K271" s="4"/>
      <c r="L271" s="6"/>
    </row>
    <row r="272" spans="4:12" ht="15">
      <c r="D272" s="34"/>
      <c r="E272" s="2"/>
      <c r="F272" s="7"/>
      <c r="G272" s="7"/>
      <c r="H272" s="7"/>
      <c r="I272" s="5"/>
      <c r="J272" s="3"/>
      <c r="K272" s="4"/>
      <c r="L272" s="6"/>
    </row>
    <row r="273" spans="4:12" ht="15">
      <c r="D273" s="34"/>
      <c r="E273" s="2"/>
      <c r="F273" s="2"/>
      <c r="G273" s="2"/>
      <c r="H273" s="2"/>
      <c r="I273" s="4"/>
      <c r="J273" s="3"/>
      <c r="K273" s="4"/>
      <c r="L273" s="6"/>
    </row>
    <row r="274" spans="4:12" ht="15">
      <c r="D274" s="34"/>
      <c r="E274" s="2"/>
      <c r="F274" s="2"/>
      <c r="G274" s="2"/>
      <c r="H274" s="2"/>
      <c r="I274" s="4"/>
      <c r="J274" s="3"/>
      <c r="K274" s="4"/>
      <c r="L274" s="6"/>
    </row>
    <row r="275" spans="4:12" ht="15">
      <c r="D275" s="34"/>
      <c r="E275" s="2"/>
      <c r="F275" s="2"/>
      <c r="G275" s="2"/>
      <c r="H275" s="2"/>
      <c r="I275" s="4"/>
      <c r="J275" s="3"/>
      <c r="K275" s="4"/>
      <c r="L275" s="6"/>
    </row>
    <row r="276" spans="4:12" ht="15">
      <c r="D276" s="34"/>
      <c r="E276" s="2"/>
      <c r="F276" s="2"/>
      <c r="G276" s="2"/>
      <c r="H276" s="2"/>
      <c r="I276" s="4"/>
      <c r="J276" s="3"/>
      <c r="K276" s="4"/>
      <c r="L276" s="6"/>
    </row>
    <row r="277" spans="4:12" ht="15">
      <c r="D277" s="34"/>
      <c r="E277" s="2"/>
      <c r="F277" s="2"/>
      <c r="G277" s="2"/>
      <c r="H277" s="2"/>
      <c r="I277" s="4"/>
      <c r="J277" s="3"/>
      <c r="K277" s="4"/>
      <c r="L277" s="6"/>
    </row>
    <row r="278" spans="4:12" ht="15">
      <c r="D278" s="34"/>
      <c r="E278" s="2"/>
      <c r="F278" s="2"/>
      <c r="G278" s="2"/>
      <c r="H278" s="2"/>
      <c r="I278" s="4"/>
      <c r="J278" s="3"/>
      <c r="K278" s="4"/>
      <c r="L278" s="6"/>
    </row>
    <row r="279" spans="4:12" ht="15">
      <c r="D279" s="34"/>
      <c r="E279" s="2"/>
      <c r="F279" s="2"/>
      <c r="G279" s="2"/>
      <c r="H279" s="2"/>
      <c r="I279" s="4"/>
      <c r="J279" s="3"/>
      <c r="K279" s="4"/>
      <c r="L279" s="6"/>
    </row>
    <row r="280" spans="4:12" ht="15">
      <c r="D280" s="34"/>
      <c r="E280" s="2"/>
      <c r="F280" s="2"/>
      <c r="G280" s="2"/>
      <c r="H280" s="2"/>
      <c r="I280" s="4"/>
      <c r="J280" s="3"/>
      <c r="K280" s="4"/>
      <c r="L280" s="6"/>
    </row>
    <row r="281" spans="4:12" ht="15">
      <c r="D281" s="34"/>
      <c r="E281" s="2"/>
      <c r="F281" s="2"/>
      <c r="G281" s="2"/>
      <c r="H281" s="2"/>
      <c r="I281" s="4"/>
      <c r="J281" s="3"/>
      <c r="K281" s="4"/>
      <c r="L281" s="6"/>
    </row>
    <row r="282" spans="4:12" ht="15">
      <c r="D282" s="34"/>
      <c r="E282" s="2"/>
      <c r="F282" s="2"/>
      <c r="G282" s="2"/>
      <c r="H282" s="2"/>
      <c r="I282" s="4"/>
      <c r="J282" s="3"/>
      <c r="K282" s="4"/>
      <c r="L282" s="6"/>
    </row>
    <row r="283" spans="4:12" ht="15">
      <c r="D283" s="34"/>
      <c r="E283" s="2"/>
      <c r="F283" s="2"/>
      <c r="G283" s="2"/>
      <c r="H283" s="2"/>
      <c r="I283" s="4"/>
      <c r="J283" s="3"/>
      <c r="K283" s="4"/>
      <c r="L283" s="6"/>
    </row>
    <row r="284" spans="4:12" ht="15">
      <c r="D284" s="34"/>
      <c r="E284" s="2"/>
      <c r="F284" s="2"/>
      <c r="G284" s="2"/>
      <c r="H284" s="2"/>
      <c r="I284" s="4"/>
      <c r="J284" s="3"/>
      <c r="K284" s="4"/>
      <c r="L284" s="4"/>
    </row>
    <row r="285" spans="4:12" ht="15">
      <c r="D285" s="34"/>
      <c r="E285" s="2"/>
      <c r="F285" s="2"/>
      <c r="G285" s="2"/>
      <c r="H285" s="2"/>
      <c r="I285" s="4"/>
      <c r="J285" s="3"/>
      <c r="K285" s="4"/>
      <c r="L285" s="4"/>
    </row>
    <row r="286" spans="4:12" ht="15">
      <c r="D286" s="34"/>
      <c r="E286" s="2"/>
      <c r="F286" s="2"/>
      <c r="G286" s="2"/>
      <c r="H286" s="2"/>
      <c r="I286" s="4"/>
      <c r="J286" s="3"/>
      <c r="K286" s="4"/>
      <c r="L286" s="4"/>
    </row>
    <row r="287" spans="4:12" ht="15">
      <c r="D287" s="34"/>
      <c r="E287" s="2"/>
      <c r="F287" s="2"/>
      <c r="G287" s="2"/>
      <c r="H287" s="2"/>
      <c r="I287" s="4"/>
      <c r="J287" s="3"/>
      <c r="K287" s="4"/>
      <c r="L287" s="4"/>
    </row>
    <row r="288" spans="4:12" ht="15">
      <c r="D288" s="34"/>
      <c r="E288" s="2"/>
      <c r="F288" s="2"/>
      <c r="G288" s="2"/>
      <c r="H288" s="2"/>
      <c r="I288" s="4"/>
      <c r="J288" s="3"/>
      <c r="K288" s="4"/>
      <c r="L288" s="4"/>
    </row>
    <row r="289" spans="4:12" ht="15">
      <c r="D289" s="34"/>
      <c r="E289" s="2"/>
      <c r="F289" s="2"/>
      <c r="G289" s="2"/>
      <c r="H289" s="2"/>
      <c r="I289" s="4"/>
      <c r="J289" s="3"/>
      <c r="K289" s="4"/>
      <c r="L289" s="4"/>
    </row>
    <row r="290" spans="4:12" ht="15">
      <c r="D290" s="34"/>
      <c r="E290" s="2"/>
      <c r="F290" s="2"/>
      <c r="G290" s="2"/>
      <c r="H290" s="2"/>
      <c r="I290" s="4"/>
      <c r="J290" s="3"/>
      <c r="K290" s="4"/>
      <c r="L290" s="4"/>
    </row>
    <row r="291" spans="4:12" ht="15">
      <c r="D291" s="34"/>
      <c r="E291" s="2"/>
      <c r="F291" s="2"/>
      <c r="G291" s="2"/>
      <c r="H291" s="2"/>
      <c r="I291" s="4"/>
      <c r="J291" s="3"/>
      <c r="K291" s="4"/>
      <c r="L291" s="4"/>
    </row>
    <row r="292" spans="4:12" ht="15">
      <c r="D292" s="34"/>
      <c r="E292" s="2"/>
      <c r="F292" s="2"/>
      <c r="G292" s="2"/>
      <c r="H292" s="2"/>
      <c r="I292" s="4"/>
      <c r="J292" s="3"/>
      <c r="K292" s="4"/>
      <c r="L292" s="4"/>
    </row>
    <row r="293" spans="4:12" ht="15">
      <c r="D293" s="34"/>
      <c r="E293" s="2"/>
      <c r="F293" s="2"/>
      <c r="G293" s="2"/>
      <c r="H293" s="2"/>
      <c r="I293" s="4"/>
      <c r="J293" s="3"/>
      <c r="K293" s="4"/>
      <c r="L293" s="4"/>
    </row>
    <row r="294" spans="4:12" ht="15">
      <c r="D294" s="34"/>
      <c r="E294" s="2"/>
      <c r="F294" s="2"/>
      <c r="G294" s="2"/>
      <c r="H294" s="2"/>
      <c r="I294" s="4"/>
      <c r="J294" s="3"/>
      <c r="K294" s="4"/>
      <c r="L294" s="4"/>
    </row>
    <row r="295" spans="4:12" ht="15">
      <c r="D295" s="34"/>
      <c r="E295" s="2"/>
      <c r="F295" s="2"/>
      <c r="G295" s="2"/>
      <c r="H295" s="2"/>
      <c r="I295" s="4"/>
      <c r="J295" s="3"/>
      <c r="K295" s="4"/>
      <c r="L295" s="4"/>
    </row>
    <row r="296" spans="4:12" ht="15">
      <c r="D296" s="34"/>
      <c r="E296" s="2"/>
      <c r="F296" s="2"/>
      <c r="G296" s="2"/>
      <c r="H296" s="2"/>
      <c r="I296" s="4"/>
      <c r="J296" s="3"/>
      <c r="K296" s="4"/>
      <c r="L296" s="4"/>
    </row>
    <row r="297" spans="4:12" ht="15">
      <c r="D297" s="34"/>
      <c r="E297" s="2"/>
      <c r="F297" s="2"/>
      <c r="G297" s="2"/>
      <c r="H297" s="2"/>
      <c r="I297" s="4"/>
      <c r="J297" s="3"/>
      <c r="K297" s="4"/>
      <c r="L297" s="4"/>
    </row>
    <row r="298" spans="4:12" ht="15">
      <c r="D298" s="34"/>
      <c r="E298" s="2"/>
      <c r="F298" s="2"/>
      <c r="G298" s="2"/>
      <c r="H298" s="2"/>
      <c r="I298" s="4"/>
      <c r="J298" s="3"/>
      <c r="K298" s="4"/>
      <c r="L298" s="4"/>
    </row>
    <row r="299" spans="4:12" ht="15">
      <c r="D299" s="34"/>
      <c r="E299" s="2"/>
      <c r="F299" s="2"/>
      <c r="G299" s="2"/>
      <c r="H299" s="2"/>
      <c r="I299" s="4"/>
      <c r="J299" s="3"/>
      <c r="K299" s="4"/>
      <c r="L299" s="4"/>
    </row>
    <row r="300" spans="4:12" ht="15">
      <c r="D300" s="34"/>
      <c r="E300" s="2"/>
      <c r="F300" s="2"/>
      <c r="G300" s="2"/>
      <c r="H300" s="2"/>
      <c r="I300" s="4"/>
      <c r="J300" s="3"/>
      <c r="K300" s="4"/>
      <c r="L300" s="4"/>
    </row>
    <row r="301" spans="4:12" ht="15">
      <c r="D301" s="34"/>
      <c r="E301" s="2"/>
      <c r="F301" s="2"/>
      <c r="G301" s="2"/>
      <c r="H301" s="2"/>
      <c r="I301" s="4"/>
      <c r="J301" s="3"/>
      <c r="K301" s="4"/>
      <c r="L301" s="4"/>
    </row>
    <row r="302" spans="6:10" ht="15">
      <c r="F302" s="9"/>
      <c r="G302" s="9"/>
      <c r="H302" s="9"/>
      <c r="I302" s="3"/>
      <c r="J302" s="9"/>
    </row>
    <row r="303" spans="6:10" ht="15">
      <c r="F303" s="9"/>
      <c r="G303" s="9"/>
      <c r="H303" s="9"/>
      <c r="I303" s="3"/>
      <c r="J303" s="9"/>
    </row>
    <row r="304" spans="6:10" ht="15">
      <c r="F304" s="9"/>
      <c r="G304" s="9"/>
      <c r="H304" s="9"/>
      <c r="I304" s="3"/>
      <c r="J304" s="9"/>
    </row>
    <row r="305" spans="6:10" ht="15">
      <c r="F305" s="9"/>
      <c r="G305" s="9"/>
      <c r="H305" s="9"/>
      <c r="I305" s="3"/>
      <c r="J305" s="9"/>
    </row>
    <row r="306" spans="6:10" ht="15">
      <c r="F306" s="9"/>
      <c r="G306" s="9"/>
      <c r="H306" s="9"/>
      <c r="I306" s="3"/>
      <c r="J306" s="9"/>
    </row>
    <row r="307" spans="6:10" ht="15">
      <c r="F307" s="9"/>
      <c r="G307" s="9"/>
      <c r="H307" s="9"/>
      <c r="I307" s="3"/>
      <c r="J307" s="9"/>
    </row>
  </sheetData>
  <sheetProtection/>
  <mergeCells count="46">
    <mergeCell ref="A76:A77"/>
    <mergeCell ref="E108:E109"/>
    <mergeCell ref="E134:E138"/>
    <mergeCell ref="A53:A54"/>
    <mergeCell ref="E77:E78"/>
    <mergeCell ref="C76:C77"/>
    <mergeCell ref="A80:A81"/>
    <mergeCell ref="B80:B81"/>
    <mergeCell ref="B76:B77"/>
    <mergeCell ref="E56:E57"/>
    <mergeCell ref="E66:E67"/>
    <mergeCell ref="D188:D196"/>
    <mergeCell ref="D80:D81"/>
    <mergeCell ref="C80:C81"/>
    <mergeCell ref="D70:D72"/>
    <mergeCell ref="E218:E221"/>
    <mergeCell ref="E90:E91"/>
    <mergeCell ref="E127:E128"/>
    <mergeCell ref="E94:E95"/>
    <mergeCell ref="E105:E106"/>
    <mergeCell ref="E130:E131"/>
    <mergeCell ref="E84:E87"/>
    <mergeCell ref="B51:B52"/>
    <mergeCell ref="B53:B54"/>
    <mergeCell ref="C53:C54"/>
    <mergeCell ref="C51:C52"/>
    <mergeCell ref="D51:D52"/>
    <mergeCell ref="D53:D54"/>
    <mergeCell ref="D76:D77"/>
    <mergeCell ref="D7:E7"/>
    <mergeCell ref="A8:H8"/>
    <mergeCell ref="A9:H9"/>
    <mergeCell ref="A11:A14"/>
    <mergeCell ref="E11:E14"/>
    <mergeCell ref="F11:F14"/>
    <mergeCell ref="B11:B14"/>
    <mergeCell ref="A51:A52"/>
    <mergeCell ref="H11:H14"/>
    <mergeCell ref="C11:C14"/>
    <mergeCell ref="D11:D14"/>
    <mergeCell ref="H51:H52"/>
    <mergeCell ref="G11:G14"/>
    <mergeCell ref="E40:E46"/>
    <mergeCell ref="G51:G52"/>
    <mergeCell ref="F51:F52"/>
    <mergeCell ref="E51:E52"/>
  </mergeCells>
  <printOptions/>
  <pageMargins left="1.1811023622047245" right="0.3937007874015748" top="0.7874015748031497" bottom="0.6299212598425197" header="0.7086614173228347" footer="0.2755905511811024"/>
  <pageSetup fitToHeight="10" fitToWidth="1" horizontalDpi="600" verticalDpi="600" orientation="portrait" paperSize="9" scale="46" r:id="rId1"/>
  <rowBreaks count="4" manualBreakCount="4">
    <brk id="48" max="7" man="1"/>
    <brk id="83" max="7" man="1"/>
    <brk id="106" max="7" man="1"/>
    <brk id="13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2017-07-25T05:48:07Z</cp:lastPrinted>
  <dcterms:created xsi:type="dcterms:W3CDTF">2016-11-29T09:37:01Z</dcterms:created>
  <dcterms:modified xsi:type="dcterms:W3CDTF">2017-07-25T05:48:12Z</dcterms:modified>
  <cp:category/>
  <cp:version/>
  <cp:contentType/>
  <cp:contentStatus/>
</cp:coreProperties>
</file>