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865" activeTab="0"/>
  </bookViews>
  <sheets>
    <sheet name="12" sheetId="1" r:id="rId1"/>
  </sheets>
  <externalReferences>
    <externalReference r:id="rId4"/>
  </externalReferences>
  <definedNames>
    <definedName name="OLE_LINK1" localSheetId="0">'12'!$D$224</definedName>
    <definedName name="_xlnm.Print_Titles" localSheetId="0">'12'!$9:$13</definedName>
    <definedName name="_xlnm.Print_Area" localSheetId="0">'12'!$A$1:$P$469</definedName>
  </definedNames>
  <calcPr fullCalcOnLoad="1"/>
</workbook>
</file>

<file path=xl/sharedStrings.xml><?xml version="1.0" encoding="utf-8"?>
<sst xmlns="http://schemas.openxmlformats.org/spreadsheetml/2006/main" count="1385" uniqueCount="672">
  <si>
    <t>Управління  соціальної політики міської ради</t>
  </si>
  <si>
    <t>Управління  соціального захисту населення адміністрації Південного району міської ради</t>
  </si>
  <si>
    <t>1515041</t>
  </si>
  <si>
    <t>в.з. з.ф.</t>
  </si>
  <si>
    <t>в.з.с.ф.</t>
  </si>
  <si>
    <t>НЕФКО</t>
  </si>
  <si>
    <t>в т.ч. 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</si>
  <si>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</si>
  <si>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</si>
  <si>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</si>
  <si>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</si>
  <si>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</si>
  <si>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</si>
  <si>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1917450</t>
  </si>
  <si>
    <t>Інша діяльність у сфері транспорту</t>
  </si>
  <si>
    <t>Кам'янська міська рада</t>
  </si>
  <si>
    <t>Архівне управління міської ради</t>
  </si>
  <si>
    <t>Управління охорони здоров'я  міської ради</t>
  </si>
  <si>
    <t>Департамент економічного розвитку міської ради</t>
  </si>
  <si>
    <t>Департамент комунальної власності, земельних відносин та реєстрації речових прав на нерухоме майно міської ради</t>
  </si>
  <si>
    <t xml:space="preserve">Орган з питань екології, охорони навколишнього середовища та природних ресурсів </t>
  </si>
  <si>
    <t>Управління екології та природних ресурсів міської ради</t>
  </si>
  <si>
    <t>Управління транспортної інфраструктури та зв'язку міської ради</t>
  </si>
  <si>
    <t>Управління державного архітектурно-будівельного контролю міської ради</t>
  </si>
  <si>
    <t>Управління містобудування та архітектури міської ради</t>
  </si>
  <si>
    <t>Управління з питань надзвичайних ситуацій та цивільного захисту населення міської ради</t>
  </si>
  <si>
    <t>перевірка по КВК</t>
  </si>
  <si>
    <t>відхилення</t>
  </si>
  <si>
    <t>70 ком власність (тільки 31)</t>
  </si>
  <si>
    <t>разом</t>
  </si>
  <si>
    <t>ОСВІТА, разом</t>
  </si>
  <si>
    <t>з.ф.</t>
  </si>
  <si>
    <t>с.ф.</t>
  </si>
  <si>
    <t>7670  разом</t>
  </si>
  <si>
    <t>1516012</t>
  </si>
  <si>
    <t>Забезпечення діяльності з виробництва, транспортування, постачання теплової енергії</t>
  </si>
  <si>
    <t>3719510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</si>
  <si>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</si>
  <si>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0813086</t>
  </si>
  <si>
    <t>1517366</t>
  </si>
  <si>
    <t>Реалізація проектів в рамках Надзвичайної кредитної програми для відновлення України</t>
  </si>
  <si>
    <t>у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</si>
  <si>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</si>
  <si>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Відділ реклами міської ради</t>
  </si>
  <si>
    <t>0813049</t>
  </si>
  <si>
    <t>у тому числі 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</si>
  <si>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Відшкодування послуги з догляду за дитиною до трьох років "муніципальна няня"</t>
  </si>
  <si>
    <t>Департмент муніципальних послуг та регуляторної політики міської ради</t>
  </si>
  <si>
    <t>Департамент фінансів міської ради</t>
  </si>
  <si>
    <t>Адміністрація Південного району міської ради</t>
  </si>
  <si>
    <t>Адміністрація Дніпровського району міської ради</t>
  </si>
  <si>
    <t>Адміністрація Заводського району міської ради</t>
  </si>
  <si>
    <t>1516017</t>
  </si>
  <si>
    <t>Інша діяльність, пов'язана з експлуатацією об`єктів житлово-комунального господарства</t>
  </si>
  <si>
    <t>0118410" МІС"</t>
  </si>
  <si>
    <t>0150,0160 2АУП</t>
  </si>
  <si>
    <t>0180 "АУП"</t>
  </si>
  <si>
    <t>80 Інша діяльність</t>
  </si>
  <si>
    <t>4216017</t>
  </si>
  <si>
    <t>у тому числі за рахунок субвенції Петриківському району на виготовлення планів земельних ділянок для учасників АТО</t>
  </si>
  <si>
    <t>у тому числі за рахунок медичної субвенції з державного бюджету місцевим бюджетам</t>
  </si>
  <si>
    <t>0117680</t>
  </si>
  <si>
    <t>7680</t>
  </si>
  <si>
    <t xml:space="preserve">Членські внески до асоціацій органів місцевого самоврядування </t>
  </si>
  <si>
    <t>73 будівництво</t>
  </si>
  <si>
    <t>76 Економічна діяльність</t>
  </si>
  <si>
    <t xml:space="preserve">Амбулаторно-поліклінічна допомога населенню,крім первинної медичної допомоги </t>
  </si>
  <si>
    <t>0726</t>
  </si>
  <si>
    <t>Забезпечення діяльності інших закладів у сфері охорони здоров"я</t>
  </si>
  <si>
    <t>Інші програми та заходи у сфері охорони здоров"я</t>
  </si>
  <si>
    <t>0712151</t>
  </si>
  <si>
    <t>0712152</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</si>
  <si>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</si>
  <si>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</si>
  <si>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1513210</t>
  </si>
  <si>
    <t>4113210</t>
  </si>
  <si>
    <t>3210</t>
  </si>
  <si>
    <t>4213210</t>
  </si>
  <si>
    <t>4313210</t>
  </si>
  <si>
    <t>0613242</t>
  </si>
  <si>
    <t>Інші заходи у сфері соціального захисту і соціального забезпечення</t>
  </si>
  <si>
    <t>0913242</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</si>
  <si>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</si>
  <si>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</si>
  <si>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0813241</t>
  </si>
  <si>
    <t>Забезпечення діяльності  інших закладів у сфері соціального захисту і  соціального забезпечення</t>
  </si>
  <si>
    <t>0813242</t>
  </si>
  <si>
    <t>3242</t>
  </si>
  <si>
    <t>0813042</t>
  </si>
  <si>
    <t>Надання державної соціальної  допомоги малозабезпеченим сімям</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</si>
  <si>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</si>
  <si>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</si>
  <si>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у тому числі 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</si>
  <si>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0813081</t>
  </si>
  <si>
    <t>Надання державної соціальної допомоги особам з інвалідністю з дитинства та дітям з інвалідністю</t>
  </si>
  <si>
    <t>0813082</t>
  </si>
  <si>
    <t>1507130</t>
  </si>
  <si>
    <t>'Здійснення заходів із землеустрою</t>
  </si>
  <si>
    <t>1517324</t>
  </si>
  <si>
    <t>7324</t>
  </si>
  <si>
    <t>Будівництво установ та закладів культури</t>
  </si>
  <si>
    <t>0611170</t>
  </si>
  <si>
    <t xml:space="preserve">Забезпечення діяльності інклюзивно-ресурсних центрів </t>
  </si>
  <si>
    <t>60+7130 ( ЖКГ)</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</si>
  <si>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</si>
  <si>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</si>
  <si>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</si>
  <si>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</si>
  <si>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</si>
  <si>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</si>
  <si>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</si>
  <si>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</si>
  <si>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</si>
  <si>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</si>
  <si>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3042</t>
  </si>
  <si>
    <t>Надання державної соціальної допомоги малозабезпеченим сім’ям</t>
  </si>
  <si>
    <t xml:space="preserve">в т.ч. за рахунок субвенції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</si>
  <si>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0611161</t>
  </si>
  <si>
    <t>Забезпечення діяльності інших закладів у сфері освіти</t>
  </si>
  <si>
    <t>0614082</t>
  </si>
  <si>
    <t>4082</t>
  </si>
  <si>
    <t>0829</t>
  </si>
  <si>
    <t>Інші заходи в галузі культури і мистецтва</t>
  </si>
  <si>
    <t>Заходи із запобігання та ліквідації надзвичайних ситуацій та наслідків стихійного лиха</t>
  </si>
  <si>
    <t>Додаток 3</t>
  </si>
  <si>
    <t>до рішення міської ради</t>
  </si>
  <si>
    <t>0712146</t>
  </si>
  <si>
    <t>Відшкодування вартості лікарських засобів для лікування окремих захворювань</t>
  </si>
  <si>
    <t>3117650</t>
  </si>
  <si>
    <t>Проведення експертної грошової оцінки земельної ділянки чи права на неї</t>
  </si>
  <si>
    <t>0813032</t>
  </si>
  <si>
    <t>Надання пільг окремим категоріям громадян з оплати послуг зв'язку</t>
  </si>
  <si>
    <t>Виконання інвестиційних проектів в рамках здійснення заходів щодо соціально-економічного розвитку окремих територій</t>
  </si>
  <si>
    <t>0617363</t>
  </si>
  <si>
    <t>1517363</t>
  </si>
  <si>
    <t>Утримання та розвиток автомобільних доріг та дорожньої інфраструктури за рахунок коштів місцевого бюджету</t>
  </si>
  <si>
    <t>4210170</t>
  </si>
  <si>
    <t>0131</t>
  </si>
  <si>
    <t>Підвищення кваліфікації депутатів місцевих рад та посадових осіб місцевого самоврядування</t>
  </si>
  <si>
    <t>2818330</t>
  </si>
  <si>
    <t>Інша діяльність у сфері екології та охорони природних ресурсів</t>
  </si>
  <si>
    <t>1517321</t>
  </si>
  <si>
    <t>1517640</t>
  </si>
  <si>
    <t>0813230</t>
  </si>
  <si>
    <t>0614070</t>
  </si>
  <si>
    <t>Фінансова підтримка кінематографії</t>
  </si>
  <si>
    <t>0823</t>
  </si>
  <si>
    <t>1617350</t>
  </si>
  <si>
    <t>7350</t>
  </si>
  <si>
    <t>Розроблення схем планування та забудови територій (містобудівної документації)</t>
  </si>
  <si>
    <t>3719800</t>
  </si>
  <si>
    <t xml:space="preserve">Субвенція з місцевого бюджету державному бюджету на виконання програм соціально-економічного розвитку регіонів </t>
  </si>
  <si>
    <t>3719770</t>
  </si>
  <si>
    <t>1517530</t>
  </si>
  <si>
    <t>7530</t>
  </si>
  <si>
    <t>Інші заходи у сфері зв'язку, телекомунікації та інформатики</t>
  </si>
  <si>
    <t>0460</t>
  </si>
  <si>
    <t>1518230</t>
  </si>
  <si>
    <t>8230</t>
  </si>
  <si>
    <t>Інші заходи громадського порядку та безпеки</t>
  </si>
  <si>
    <t>0380</t>
  </si>
  <si>
    <t>75 Зв'язок, телекомунікації та інформатика</t>
  </si>
  <si>
    <t>0712144</t>
  </si>
  <si>
    <t>Централізовані заходи з лікування хворих на цукровий та нецукровий діабет</t>
  </si>
  <si>
    <t>4116017</t>
  </si>
  <si>
    <t>0617340</t>
  </si>
  <si>
    <t>Проектування, реставрація та охорона пам'яток архітектури</t>
  </si>
  <si>
    <t>Виконання інвестиційних проектів за рахунок субвенцій з інших бюджетів</t>
  </si>
  <si>
    <t>1517368</t>
  </si>
  <si>
    <t>1113131</t>
  </si>
  <si>
    <t>1113242</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</si>
  <si>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</si>
  <si>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</si>
  <si>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1100000</t>
  </si>
  <si>
    <t>1110000</t>
  </si>
  <si>
    <t>1115021</t>
  </si>
  <si>
    <t>1115022</t>
  </si>
  <si>
    <t>1115031</t>
  </si>
  <si>
    <t>1115032</t>
  </si>
  <si>
    <t>1115061</t>
  </si>
  <si>
    <t>1115062</t>
  </si>
  <si>
    <t>екологія</t>
  </si>
  <si>
    <t>зал екологія</t>
  </si>
  <si>
    <t>зал ціл</t>
  </si>
  <si>
    <t>цільов</t>
  </si>
  <si>
    <t>перевірка спец фонд</t>
  </si>
  <si>
    <t>у тому числі за рахунок освітньої субвенціїз державного бюджету місцевим бюджетам</t>
  </si>
  <si>
    <t>у тому числі за рахунок освітньої субвенціїз державного бюджету місцевим бюджетам (залишки)</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</si>
  <si>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</si>
  <si>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 xml:space="preserve"> освіта</t>
  </si>
  <si>
    <t xml:space="preserve"> культура</t>
  </si>
  <si>
    <t xml:space="preserve"> фізична культура та спорт</t>
  </si>
  <si>
    <r>
      <t>охорона здоров</t>
    </r>
    <r>
      <rPr>
        <sz val="11"/>
        <rFont val="Arial Cyr"/>
        <family val="0"/>
      </rPr>
      <t>’</t>
    </r>
    <r>
      <rPr>
        <sz val="8.6"/>
        <rFont val="Times New Roman"/>
        <family val="1"/>
      </rPr>
      <t>я</t>
    </r>
  </si>
  <si>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оснащення ресурсних кімнат)</t>
  </si>
  <si>
    <t>у тому числі субвенція з місцевого бюджету на здійснення переданих видатків у сфері освіти за рахунок коштів освітньої субвенції  на приватні школи</t>
  </si>
  <si>
    <t>у тому числі субвенція з місцевого бюджету на забезпечення якісної, сучасної та доступної загальної середньої освіти "Нова українська школа"</t>
  </si>
  <si>
    <t>у тому числі за рахунок освітньої субвенції з державного бюджету місцевим бюджетам</t>
  </si>
  <si>
    <t>у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</si>
  <si>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</si>
  <si>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</si>
  <si>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r>
      <t xml:space="preserve">у тому числі за рахунок залишку </t>
    </r>
    <r>
      <rPr>
        <i/>
        <sz val="10"/>
        <color indexed="8"/>
        <rFont val="Times New Roman"/>
        <family val="1"/>
      </rPr>
      <t>медичної субвенції з державного бюджету місцевим бюджетам</t>
    </r>
    <r>
      <rPr>
        <i/>
        <sz val="10"/>
        <rFont val="Times New Roman"/>
        <family val="1"/>
      </rPr>
      <t>, що утворився на 01.01.2019 року</t>
    </r>
  </si>
  <si>
    <t>у тому числі за рахунок субвенції з місцевого бюджету на здійснення переданих видатків у сфері охорони здоров"я за рахунок коштів медичної субвенції</t>
  </si>
  <si>
    <t xml:space="preserve">у тому числі за рахунок залишку субвенціїї з місцевого бюджету на здійснення переданих видатків у сфері охорони здоров'я за рахунок коштів медичної субвенції,ї що утворився на 01.01.2019 року </t>
  </si>
  <si>
    <t xml:space="preserve">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</si>
  <si>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у тому числі на проведення заходів по забезпеченню екстреної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 </t>
  </si>
  <si>
    <t>у тому числі інші субвенції з місцевого бюджету (на соціально-економічний розвиток)</t>
  </si>
  <si>
    <t>у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</si>
  <si>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у тому числі за рахунок зовнішнього місцевого запозичення шляхом залучення кредиту від Північної Екологічної Фінансвової Корпорації (НЕФКО) </t>
  </si>
  <si>
    <t>у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</si>
  <si>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у тому числі за рахунок місцевого бюджету (на виконання доручень виборців депутутами міської ради у 2019 році)</t>
  </si>
  <si>
    <t xml:space="preserve">у тому числі на заходи та роботи з територіальної оборони та мобілізаційної підготовки місцевого значення </t>
  </si>
  <si>
    <t>у тому числі інші субвенції з місцевого бюджету (з селищного бюджету до міського бюджету на соціально-економічний розвиток)</t>
  </si>
  <si>
    <t>0611162</t>
  </si>
  <si>
    <t>Інші програми та заходи у сфері освіти</t>
  </si>
  <si>
    <t>0618340</t>
  </si>
  <si>
    <t>1518340</t>
  </si>
  <si>
    <t>2919770</t>
  </si>
  <si>
    <t xml:space="preserve">Інші субвенції з місцевого бюджету </t>
  </si>
  <si>
    <t>1516015</t>
  </si>
  <si>
    <t>Забезпечення надійної та безперебійної експлуатації ліфтів</t>
  </si>
  <si>
    <t>3416020</t>
  </si>
  <si>
    <t>3719150</t>
  </si>
  <si>
    <t>Інші дотації з місцевого бюджету</t>
  </si>
  <si>
    <t>0810170</t>
  </si>
  <si>
    <t>3210170</t>
  </si>
  <si>
    <t>Орган у справах сім’ї, молоді та спорту</t>
  </si>
  <si>
    <t>у тому числі інші субвенції з місцевого бюджету (на виконання доручень виборців депутатами обласної ради у 2019 році)</t>
  </si>
  <si>
    <t>3133</t>
  </si>
  <si>
    <t>ККД 41050900</t>
  </si>
  <si>
    <t>Секретар міської ради</t>
  </si>
  <si>
    <t>О.Ю.Залевський</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</si>
  <si>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</si>
  <si>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в т.ч. за рахунок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</si>
  <si>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</si>
  <si>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0719770</t>
  </si>
  <si>
    <t>90 Міжбюджетні трансферти (депут, мат резерв, здрав)</t>
  </si>
  <si>
    <t>власні</t>
  </si>
  <si>
    <t>в т.ч. за рахунок субвенції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</si>
  <si>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соцзахист+ 3210</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</si>
  <si>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</si>
  <si>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</si>
  <si>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</si>
  <si>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74 транспорт, дороги</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</si>
  <si>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</si>
  <si>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0170 "АУП"</t>
  </si>
  <si>
    <t>7680"АУП"</t>
  </si>
  <si>
    <t>0710170</t>
  </si>
  <si>
    <t>1510170</t>
  </si>
  <si>
    <t>1610170</t>
  </si>
  <si>
    <t>2810170</t>
  </si>
  <si>
    <t>2710170</t>
  </si>
  <si>
    <t>АУП разом</t>
  </si>
  <si>
    <t>1517693</t>
  </si>
  <si>
    <t>1517463</t>
  </si>
  <si>
    <t>Утримання та розвиток автомобільних доріг та дорожньої інфраструктури за рахунок трансфертів з інших місцевих бюджетів</t>
  </si>
  <si>
    <t>1110160</t>
  </si>
  <si>
    <t>Інші заходи, пов'язані з економічною діяльністю</t>
  </si>
  <si>
    <t>в тому числі на виконання доручень виборців депутатами обласної ради у 2019 році</t>
  </si>
  <si>
    <t>Інші заходи та заклади молодіжної політики</t>
  </si>
  <si>
    <t>Код Програмної класифікації видатків та кредитування місцевих бюджетів</t>
  </si>
  <si>
    <t>ККД 41054500</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</si>
  <si>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</si>
  <si>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</si>
  <si>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</si>
  <si>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усього</t>
  </si>
  <si>
    <t>у тому числі бюджет розвитку</t>
  </si>
  <si>
    <t>(грн)</t>
  </si>
  <si>
    <t>Х</t>
  </si>
  <si>
    <t>УСЬОГО</t>
  </si>
  <si>
    <t>РОЗПОДІЛ</t>
  </si>
  <si>
    <t>Загальний фонд</t>
  </si>
  <si>
    <t>видатки споживання</t>
  </si>
  <si>
    <t>з них</t>
  </si>
  <si>
    <t>оплата праці</t>
  </si>
  <si>
    <t>комунальні послуги та енергоносії</t>
  </si>
  <si>
    <t>видатки розвитку</t>
  </si>
  <si>
    <t>Спеціальний фонд</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</si>
  <si>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</si>
  <si>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</si>
  <si>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</si>
  <si>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</si>
  <si>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</si>
  <si>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</si>
  <si>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</si>
  <si>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</si>
  <si>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</si>
  <si>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</si>
  <si>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</si>
  <si>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0118410</t>
  </si>
  <si>
    <t>0830</t>
  </si>
  <si>
    <t>8410</t>
  </si>
  <si>
    <t>Фінансова підтримка засобів масової інформації</t>
  </si>
  <si>
    <t>0200000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</si>
  <si>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</si>
  <si>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0210000</t>
  </si>
  <si>
    <t>0210160</t>
  </si>
  <si>
    <t>0160</t>
  </si>
  <si>
    <t>Керівництво і управління у відповідній сфері у містах (місті Києві), селищах, селах, об`єднаних територіальних громадах</t>
  </si>
  <si>
    <t>0210180</t>
  </si>
  <si>
    <t>0600000</t>
  </si>
  <si>
    <t>Орган з питань освіти і науки</t>
  </si>
  <si>
    <t>0610000</t>
  </si>
  <si>
    <t>Департамент з гуманітарних питань  міської ради</t>
  </si>
  <si>
    <t>0610160</t>
  </si>
  <si>
    <t>0610180</t>
  </si>
  <si>
    <t>0611010</t>
  </si>
  <si>
    <t>0910</t>
  </si>
  <si>
    <t>1010</t>
  </si>
  <si>
    <t>Надання дошкільної освіти</t>
  </si>
  <si>
    <t>0611020</t>
  </si>
  <si>
    <t>0921</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</si>
  <si>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</si>
  <si>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</si>
  <si>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0611040</t>
  </si>
  <si>
    <t>0922</t>
  </si>
  <si>
    <t>1040</t>
  </si>
  <si>
    <t>Надання загальної середньої освіти загальноосвiтнiми школами-iнтернатами, загальноосвітніми санаторними школами-інтернатами</t>
  </si>
  <si>
    <t>0611090</t>
  </si>
  <si>
    <t>0960</t>
  </si>
  <si>
    <t>1090</t>
  </si>
  <si>
    <t>Надання позашкільної освіти позашкільними закладами освіти, заходи із позашкільної роботи з дітьми</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</si>
  <si>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</si>
  <si>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</si>
  <si>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</si>
  <si>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0611150</t>
  </si>
  <si>
    <t>0990</t>
  </si>
  <si>
    <t>1150</t>
  </si>
  <si>
    <t>Методичне забезпечення діяльності навчальних закладів</t>
  </si>
  <si>
    <t>0613131</t>
  </si>
  <si>
    <t>3131</t>
  </si>
  <si>
    <t>Здійснення заходів та реалізація проектів на виконання Державної цільової соціальної програми `Молодь України`</t>
  </si>
  <si>
    <t>0613140</t>
  </si>
  <si>
    <t>3140</t>
  </si>
  <si>
    <t>1110180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</si>
  <si>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</si>
  <si>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0614010</t>
  </si>
  <si>
    <t>0821</t>
  </si>
  <si>
    <t>4010</t>
  </si>
  <si>
    <t>Фінансова підтримка театрів</t>
  </si>
  <si>
    <t>0614030</t>
  </si>
  <si>
    <t>0824</t>
  </si>
  <si>
    <t>4030</t>
  </si>
  <si>
    <t>Забезпечення діяльності бібліотек</t>
  </si>
  <si>
    <t>0614040</t>
  </si>
  <si>
    <t>4040</t>
  </si>
  <si>
    <t>Забезпечення діяльності музеїв i виставок</t>
  </si>
  <si>
    <t>0615011</t>
  </si>
  <si>
    <t>0810</t>
  </si>
  <si>
    <t>5011</t>
  </si>
  <si>
    <t>Проведення навчально-тренувальних зборів і змагань з олімпійських видів спорту</t>
  </si>
  <si>
    <t>0615012</t>
  </si>
  <si>
    <t>5012</t>
  </si>
  <si>
    <t>Проведення навчально-тренувальних зборів і змагань з неолімпійських видів спорту</t>
  </si>
  <si>
    <t>0615021</t>
  </si>
  <si>
    <t>5021</t>
  </si>
  <si>
    <t>0615022</t>
  </si>
  <si>
    <t>5022</t>
  </si>
  <si>
    <t>0813087</t>
  </si>
  <si>
    <t>Надання допомоги на дітей, які виховуються у багатодітних сім'ях</t>
  </si>
  <si>
    <t>0615031</t>
  </si>
  <si>
    <t>5031</t>
  </si>
  <si>
    <t>Утримання та навчально-тренувальна робота комунальних дитячо-юнацьких спортивних шкіл</t>
  </si>
  <si>
    <t>0615032</t>
  </si>
  <si>
    <t>5032</t>
  </si>
  <si>
    <t>Фінансова підтримка дитячо-юнацьких спортивних шкіл фізкультурно-спортивних товариств</t>
  </si>
  <si>
    <t>Утримання та фінансова підтримка спортивних споруд</t>
  </si>
  <si>
    <t>0615061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</si>
  <si>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</si>
  <si>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</si>
  <si>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0615062</t>
  </si>
  <si>
    <t>5062</t>
  </si>
  <si>
    <t>Підтримка спорту вищих досягнень та організацій, які здійснюють фізкультурно-спортивну діяльність в регіоні</t>
  </si>
  <si>
    <t>0443</t>
  </si>
  <si>
    <t>0617321</t>
  </si>
  <si>
    <t>7321</t>
  </si>
  <si>
    <t>Будівництво освітніх установ та закладів</t>
  </si>
  <si>
    <t>0470</t>
  </si>
  <si>
    <t>7640</t>
  </si>
  <si>
    <t>Заходи з енергозбереження</t>
  </si>
  <si>
    <t>0617670</t>
  </si>
  <si>
    <t>0490</t>
  </si>
  <si>
    <t>7670</t>
  </si>
  <si>
    <t>Внески до статутного капіталу суб`єктів господарювання</t>
  </si>
  <si>
    <t>0700000</t>
  </si>
  <si>
    <t>Орган з питань охорони здоров`я</t>
  </si>
  <si>
    <t>0710000</t>
  </si>
  <si>
    <t>0710160</t>
  </si>
  <si>
    <t>0710180</t>
  </si>
  <si>
    <t>0712010</t>
  </si>
  <si>
    <t>0731</t>
  </si>
  <si>
    <t>2010</t>
  </si>
  <si>
    <t>Багатопрофільна стаціонарна медична допомога населенню</t>
  </si>
  <si>
    <t>0712020</t>
  </si>
  <si>
    <t>0732</t>
  </si>
  <si>
    <t>2020</t>
  </si>
  <si>
    <t>Спеціалізована стаціонарна медична допомога населенню</t>
  </si>
  <si>
    <t>0712080</t>
  </si>
  <si>
    <t>0721</t>
  </si>
  <si>
    <t>2080</t>
  </si>
  <si>
    <t>0712100</t>
  </si>
  <si>
    <t>0722</t>
  </si>
  <si>
    <t>2100</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</si>
  <si>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</si>
  <si>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</si>
  <si>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</si>
  <si>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</si>
  <si>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</si>
  <si>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0717322</t>
  </si>
  <si>
    <t>7322</t>
  </si>
  <si>
    <t>Будівництво медичних установ та закладів</t>
  </si>
  <si>
    <t>0800000</t>
  </si>
  <si>
    <t>Орган з питань праці та соціального захисту населення</t>
  </si>
  <si>
    <t>0810000</t>
  </si>
  <si>
    <t>0810160</t>
  </si>
  <si>
    <t>0810180</t>
  </si>
  <si>
    <t>1060</t>
  </si>
  <si>
    <t xml:space="preserve">у тому числі субвенція з місцевого бюджету на реалізацію заходів, спрямованих на підвищення якості освіти за рахунок відповідної субвенції 
з державного бюджету на придбання послуг з доступу до Інтернету закладів загальної середньої освіти
</t>
  </si>
  <si>
    <t>1515045</t>
  </si>
  <si>
    <t>Будівництво мультифункціональних майданчиків для занять ігровими видами спорту</t>
  </si>
  <si>
    <t xml:space="preserve">у тому числі 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t>
  </si>
  <si>
    <t>0813011</t>
  </si>
  <si>
    <t>1030</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</si>
  <si>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</si>
  <si>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</si>
  <si>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</si>
  <si>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</si>
  <si>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</si>
  <si>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</si>
  <si>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</si>
  <si>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</si>
  <si>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</si>
  <si>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</si>
  <si>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</si>
  <si>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ККД 41031400</t>
  </si>
  <si>
    <t>0816083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</si>
  <si>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</si>
  <si>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</si>
  <si>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залишки</t>
  </si>
  <si>
    <t>ККД 41037400</t>
  </si>
  <si>
    <t>ККД 41053900</t>
  </si>
  <si>
    <t>ККД41033900</t>
  </si>
  <si>
    <t>ККД 41034200</t>
  </si>
  <si>
    <t>ККД 41034500</t>
  </si>
  <si>
    <t>ККД 41034500 передали Карнауховке</t>
  </si>
  <si>
    <t>ККД41039100</t>
  </si>
  <si>
    <t>ККД41051000</t>
  </si>
  <si>
    <t>ККД41051100</t>
  </si>
  <si>
    <t>ККД 41051400</t>
  </si>
  <si>
    <t>ККД 41051200</t>
  </si>
  <si>
    <t>ККД 41051500</t>
  </si>
  <si>
    <t>ККД 41052000</t>
  </si>
  <si>
    <t>ККД 41053500</t>
  </si>
  <si>
    <t>ККД 41054300</t>
  </si>
  <si>
    <t>ККД 41053900 Карнауховка</t>
  </si>
  <si>
    <t xml:space="preserve">залишки </t>
  </si>
  <si>
    <t>Відділ праці та соціально-трудових відносин міської ради</t>
  </si>
  <si>
    <t>0611070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</si>
  <si>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</si>
  <si>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0813031</t>
  </si>
  <si>
    <t>3031</t>
  </si>
  <si>
    <t>Надання інших пільг окремим категоріям громадян відповідно до законодавства</t>
  </si>
  <si>
    <t>0813033</t>
  </si>
  <si>
    <t>1070</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</si>
  <si>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</si>
  <si>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</si>
  <si>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</si>
  <si>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</si>
  <si>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</si>
  <si>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0813036</t>
  </si>
  <si>
    <t>3036</t>
  </si>
  <si>
    <t>Компенсаційні виплати на пільговий проїзд електротранспортом окремим категоріям громадян</t>
  </si>
  <si>
    <t>0813041</t>
  </si>
  <si>
    <t>3041</t>
  </si>
  <si>
    <t>Надання допомоги у зв`язку з вагітністю і пологами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</si>
  <si>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</si>
  <si>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</si>
  <si>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</si>
  <si>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</si>
  <si>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</si>
  <si>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</si>
  <si>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</si>
  <si>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</si>
  <si>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</si>
  <si>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</si>
  <si>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</si>
  <si>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Управління молоді та спорту міської ради</t>
  </si>
  <si>
    <t>Надання тимчасової державної допомоги дітям</t>
  </si>
  <si>
    <t>0813047</t>
  </si>
  <si>
    <t>3047</t>
  </si>
  <si>
    <t>Надання допомоги при усиновленні дитини</t>
  </si>
  <si>
    <t>0813104</t>
  </si>
  <si>
    <t>3104</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</si>
  <si>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</si>
  <si>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</si>
  <si>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</si>
  <si>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</si>
  <si>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</si>
  <si>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</si>
  <si>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0813140</t>
  </si>
  <si>
    <t>0813160</t>
  </si>
  <si>
    <t>3160</t>
  </si>
  <si>
    <t>0717691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</si>
  <si>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</si>
  <si>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</si>
  <si>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3180</t>
  </si>
  <si>
    <t>0900000</t>
  </si>
  <si>
    <t>Орган у справах дітей</t>
  </si>
  <si>
    <t>0910000</t>
  </si>
  <si>
    <t>0910160</t>
  </si>
  <si>
    <t>0910180</t>
  </si>
  <si>
    <t>0913111</t>
  </si>
  <si>
    <t>3111</t>
  </si>
  <si>
    <t>0913112</t>
  </si>
  <si>
    <t>3112</t>
  </si>
  <si>
    <t>Заходи державної політики з питань дітей та їх соціального захисту</t>
  </si>
  <si>
    <t>1500000</t>
  </si>
  <si>
    <t>Орган з питань будівництва</t>
  </si>
  <si>
    <t>1510000</t>
  </si>
  <si>
    <t>Департамент житлово-комунального господарства та будівництва міської ради</t>
  </si>
  <si>
    <t>1510160</t>
  </si>
  <si>
    <t>1510180</t>
  </si>
  <si>
    <t>1050</t>
  </si>
  <si>
    <t>Організація та проведення громадських робіт</t>
  </si>
  <si>
    <t>1516011</t>
  </si>
  <si>
    <t>0620</t>
  </si>
  <si>
    <t>6011</t>
  </si>
  <si>
    <t>Експлуатація та технічне обслуговування житлового фонду</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</si>
  <si>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</si>
  <si>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</si>
  <si>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</si>
  <si>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1516030</t>
  </si>
  <si>
    <t>6030</t>
  </si>
  <si>
    <t>Організація благоустрою населених пунктів</t>
  </si>
  <si>
    <t>1516086</t>
  </si>
  <si>
    <t>0610</t>
  </si>
  <si>
    <t>6086</t>
  </si>
  <si>
    <t>Інша діяльність щодо забезпечення житлом громадян</t>
  </si>
  <si>
    <t>1516090</t>
  </si>
  <si>
    <t>0640</t>
  </si>
  <si>
    <t>6090</t>
  </si>
  <si>
    <t>Інша діяльність у сфері житлово-комунального господарства</t>
  </si>
  <si>
    <t>1517310</t>
  </si>
  <si>
    <t>7310</t>
  </si>
  <si>
    <t>Будівництво об`єктів житлово-комунального господарства</t>
  </si>
  <si>
    <t>1517322</t>
  </si>
  <si>
    <t>1517323</t>
  </si>
  <si>
    <t>7323</t>
  </si>
  <si>
    <t>Будівництво установ та закладів соціальної сфери</t>
  </si>
  <si>
    <t>1517325</t>
  </si>
  <si>
    <t>7325</t>
  </si>
  <si>
    <t>Будівництво споруд, установ та закладів фізичної культури і спорту</t>
  </si>
  <si>
    <t>0456</t>
  </si>
  <si>
    <t>1517670</t>
  </si>
  <si>
    <t>9770</t>
  </si>
  <si>
    <t>Інші субвенції з місцевого бюджету</t>
  </si>
  <si>
    <t>1600000</t>
  </si>
  <si>
    <t>Орган з питань містобудування та архітектури</t>
  </si>
  <si>
    <t>1610000</t>
  </si>
  <si>
    <t>1610160</t>
  </si>
  <si>
    <t>1610180</t>
  </si>
  <si>
    <t>1619770</t>
  </si>
  <si>
    <t>1700000</t>
  </si>
  <si>
    <t>Орган з питань державного архітектурно-будівельного контролю</t>
  </si>
  <si>
    <t>1710000</t>
  </si>
  <si>
    <t>1710160</t>
  </si>
  <si>
    <t>1710180</t>
  </si>
  <si>
    <t>1900000</t>
  </si>
  <si>
    <t>1910000</t>
  </si>
  <si>
    <t>1910160</t>
  </si>
  <si>
    <t>1910180</t>
  </si>
  <si>
    <t>1917413</t>
  </si>
  <si>
    <t>0451</t>
  </si>
  <si>
    <t>7413</t>
  </si>
  <si>
    <t>Інші заходи у сфері автотранспорту</t>
  </si>
  <si>
    <t>1917426</t>
  </si>
  <si>
    <t>0453</t>
  </si>
  <si>
    <t>7426</t>
  </si>
  <si>
    <t>Інші заходи у сфері електротранспорту</t>
  </si>
  <si>
    <t>1917670</t>
  </si>
  <si>
    <t>2700000</t>
  </si>
  <si>
    <t>Орган з питань економічного розвитку, торгівлі та інвестицій</t>
  </si>
  <si>
    <t>2710000</t>
  </si>
  <si>
    <t>2710160</t>
  </si>
  <si>
    <t>2710180</t>
  </si>
  <si>
    <t>2717622</t>
  </si>
  <si>
    <t>7622</t>
  </si>
  <si>
    <t>Реалізація програм і заходів в галузі туризму та курортів</t>
  </si>
  <si>
    <t>2717640</t>
  </si>
  <si>
    <t>2717693</t>
  </si>
  <si>
    <t>7693</t>
  </si>
  <si>
    <t>Інші заходи, пов`язані з економічною діяльністю</t>
  </si>
  <si>
    <t>2800000</t>
  </si>
  <si>
    <t>2810000</t>
  </si>
  <si>
    <t>2810160</t>
  </si>
  <si>
    <t>2810180</t>
  </si>
  <si>
    <t>2817670</t>
  </si>
  <si>
    <t>2818340</t>
  </si>
  <si>
    <t>0540</t>
  </si>
  <si>
    <t>8340</t>
  </si>
  <si>
    <t>Природоохоронні заходи за рахунок цільових фондів</t>
  </si>
  <si>
    <t>2900000</t>
  </si>
  <si>
    <t>2910000</t>
  </si>
  <si>
    <t>2910160</t>
  </si>
  <si>
    <t>2910180</t>
  </si>
  <si>
    <t>2918110</t>
  </si>
  <si>
    <t>0320</t>
  </si>
  <si>
    <t>8110</t>
  </si>
  <si>
    <t>3100000</t>
  </si>
  <si>
    <t>Орган з питань управління комунальним майном</t>
  </si>
  <si>
    <t>3110000</t>
  </si>
  <si>
    <t>3110160</t>
  </si>
  <si>
    <t>3110180</t>
  </si>
  <si>
    <t>3116082</t>
  </si>
  <si>
    <t>6082</t>
  </si>
  <si>
    <t>Придбання житла для окремих категорій населення відповідно до законодавства</t>
  </si>
  <si>
    <t>3116086</t>
  </si>
  <si>
    <t>3117130</t>
  </si>
  <si>
    <t>0421</t>
  </si>
  <si>
    <t>7130</t>
  </si>
  <si>
    <t>Здійснення заходів із землеустрою</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</si>
  <si>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</si>
  <si>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</si>
  <si>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</si>
  <si>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</si>
  <si>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3200000</t>
  </si>
  <si>
    <t>Орган з питань реклами та масових заходів</t>
  </si>
  <si>
    <t>3210000</t>
  </si>
  <si>
    <t>3210160</t>
  </si>
  <si>
    <t>3210180</t>
  </si>
  <si>
    <t>3216030</t>
  </si>
  <si>
    <t>3400000</t>
  </si>
  <si>
    <t>Орган з питань надання адміністративних послуг</t>
  </si>
  <si>
    <t>3410000</t>
  </si>
  <si>
    <t>3410160</t>
  </si>
  <si>
    <t>3410180</t>
  </si>
  <si>
    <t>3417610</t>
  </si>
  <si>
    <t>0411</t>
  </si>
  <si>
    <t>7610</t>
  </si>
  <si>
    <t>Сприяння розвитку малого та середнього підприємництва</t>
  </si>
  <si>
    <t>3700000</t>
  </si>
  <si>
    <t>Орган з питань фінансів</t>
  </si>
  <si>
    <t>3710000</t>
  </si>
  <si>
    <t>3710160</t>
  </si>
  <si>
    <t>3710180</t>
  </si>
  <si>
    <t>3717693</t>
  </si>
  <si>
    <t>3718600</t>
  </si>
  <si>
    <t>0170</t>
  </si>
  <si>
    <t>8600</t>
  </si>
  <si>
    <t>Обслуговування місцевого боргу</t>
  </si>
  <si>
    <t>3718700</t>
  </si>
  <si>
    <t>8700</t>
  </si>
  <si>
    <t>Резервний фонд</t>
  </si>
  <si>
    <t>4100000</t>
  </si>
  <si>
    <t>Районні державні адміністрації у містах з районним поділом за відсутності районних у містах рад</t>
  </si>
  <si>
    <t>4110000</t>
  </si>
  <si>
    <t>4110160</t>
  </si>
  <si>
    <t>4110180</t>
  </si>
  <si>
    <t>4116030</t>
  </si>
  <si>
    <t>4200000</t>
  </si>
  <si>
    <t>4210000</t>
  </si>
  <si>
    <t>4210160</t>
  </si>
  <si>
    <t>4210180</t>
  </si>
  <si>
    <t>4216030</t>
  </si>
  <si>
    <t>4300000</t>
  </si>
  <si>
    <t>4310000</t>
  </si>
  <si>
    <t>4310160</t>
  </si>
  <si>
    <t>4310180</t>
  </si>
  <si>
    <t>4316030</t>
  </si>
  <si>
    <t>видатків міського бюджету  на 2019 рік</t>
  </si>
  <si>
    <r>
      <t xml:space="preserve">від </t>
    </r>
    <r>
      <rPr>
        <u val="single"/>
        <sz val="12"/>
        <rFont val="Times New Roman"/>
        <family val="1"/>
      </rPr>
      <t>21.12.2018</t>
    </r>
    <r>
      <rPr>
        <sz val="12"/>
        <rFont val="Times New Roman"/>
        <family val="1"/>
      </rPr>
      <t xml:space="preserve">  № </t>
    </r>
    <r>
      <rPr>
        <u val="single"/>
        <sz val="12"/>
        <rFont val="Times New Roman"/>
        <family val="1"/>
      </rPr>
      <t>1305-30/VII</t>
    </r>
  </si>
  <si>
    <t>(у редакції рішення міської ради</t>
  </si>
  <si>
    <t>від ________ №__________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</si>
</sst>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_ ;[Red]\-0.00\ "/>
    <numFmt numFmtId="203" formatCode="#,##0.00_ ;[Red]\-#,##0.00\ "/>
  </numFmts>
  <fonts count="87">
    <font>
      <sz val="10"/>
      <name val="Arial Cyr"/>
      <family val="0"/>
    </font>
    <font>
      <sz val="8"/>
      <name val="Arial Cyr"/>
      <family val="0"/>
    </font>
    <font>
      <sz val="11"/>
      <name val="Times New Roman"/>
      <family val="1"/>
    </font>
    <font>
      <sz val="24"/>
      <name val="Times New Roman"/>
      <family val="1"/>
    </font>
    <font>
      <i/>
      <sz val="9"/>
      <name val="Times New Roman"/>
      <family val="1"/>
    </font>
    <font>
      <u val="single"/>
      <sz val="7.5"/>
      <color indexed="12"/>
      <name val="Arial Cyr"/>
      <family val="0"/>
    </font>
    <font>
      <u val="single"/>
      <sz val="7.5"/>
      <color indexed="36"/>
      <name val="Arial Cyr"/>
      <family val="0"/>
    </font>
    <font>
      <sz val="10"/>
      <name val="Times New Roman"/>
      <family val="1"/>
    </font>
    <font>
      <sz val="9"/>
      <name val="Times New Roman"/>
      <family val="1"/>
    </font>
    <font>
      <i/>
      <sz val="10"/>
      <name val="Times New Roman"/>
      <family val="1"/>
    </font>
    <font>
      <sz val="10"/>
      <color indexed="12"/>
      <name val="Times New Roman"/>
      <family val="1"/>
    </font>
    <font>
      <sz val="12"/>
      <name val="Times New Roman"/>
      <family val="1"/>
    </font>
    <font>
      <b/>
      <sz val="12"/>
      <name val="Times New Roman"/>
      <family val="1"/>
    </font>
    <font>
      <i/>
      <sz val="10"/>
      <color indexed="12"/>
      <name val="Times New Roman"/>
      <family val="1"/>
    </font>
    <font>
      <i/>
      <sz val="11"/>
      <name val="Times New Roman"/>
      <family val="1"/>
    </font>
    <font>
      <b/>
      <sz val="13"/>
      <name val="Times New Roman"/>
      <family val="1"/>
    </font>
    <font>
      <b/>
      <i/>
      <sz val="11"/>
      <name val="Times New Roman"/>
      <family val="1"/>
    </font>
    <font>
      <b/>
      <sz val="13"/>
      <color indexed="9"/>
      <name val="Times New Roman"/>
      <family val="1"/>
    </font>
    <font>
      <sz val="13"/>
      <color indexed="9"/>
      <name val="Times New Roman"/>
      <family val="1"/>
    </font>
    <font>
      <sz val="9"/>
      <color indexed="9"/>
      <name val="Times New Roman"/>
      <family val="1"/>
    </font>
    <font>
      <sz val="12"/>
      <color indexed="9"/>
      <name val="Times New Roman"/>
      <family val="1"/>
    </font>
    <font>
      <sz val="11"/>
      <color indexed="12"/>
      <name val="Times New Roman"/>
      <family val="1"/>
    </font>
    <font>
      <b/>
      <i/>
      <sz val="10"/>
      <name val="Times New Roman"/>
      <family val="1"/>
    </font>
    <font>
      <i/>
      <sz val="10"/>
      <color indexed="8"/>
      <name val="Times New Roman"/>
      <family val="1"/>
    </font>
    <font>
      <b/>
      <sz val="11"/>
      <name val="Times New Roman"/>
      <family val="1"/>
    </font>
    <font>
      <sz val="11"/>
      <color indexed="50"/>
      <name val="Times New Roman"/>
      <family val="1"/>
    </font>
    <font>
      <i/>
      <sz val="11"/>
      <color indexed="12"/>
      <name val="Times New Roman"/>
      <family val="1"/>
    </font>
    <font>
      <sz val="11"/>
      <color indexed="10"/>
      <name val="Times New Roman"/>
      <family val="1"/>
    </font>
    <font>
      <sz val="10"/>
      <color indexed="9"/>
      <name val="Times New Roman"/>
      <family val="1"/>
    </font>
    <font>
      <i/>
      <sz val="11"/>
      <color indexed="9"/>
      <name val="Times New Roman"/>
      <family val="1"/>
    </font>
    <font>
      <i/>
      <sz val="12"/>
      <color indexed="9"/>
      <name val="Times New Roman"/>
      <family val="1"/>
    </font>
    <font>
      <i/>
      <sz val="10"/>
      <color indexed="9"/>
      <name val="Times New Roman"/>
      <family val="1"/>
    </font>
    <font>
      <sz val="8"/>
      <color indexed="9"/>
      <name val="Times New Roman"/>
      <family val="1"/>
    </font>
    <font>
      <sz val="12"/>
      <color indexed="12"/>
      <name val="Times New Roman"/>
      <family val="1"/>
    </font>
    <font>
      <b/>
      <i/>
      <sz val="12"/>
      <name val="Times New Roman"/>
      <family val="1"/>
    </font>
    <font>
      <i/>
      <sz val="12"/>
      <color indexed="12"/>
      <name val="Times New Roman"/>
      <family val="1"/>
    </font>
    <font>
      <b/>
      <i/>
      <sz val="10"/>
      <color indexed="12"/>
      <name val="Times New Roman"/>
      <family val="1"/>
    </font>
    <font>
      <sz val="11"/>
      <name val="Arial Cyr"/>
      <family val="0"/>
    </font>
    <font>
      <sz val="8.6"/>
      <name val="Times New Roman"/>
      <family val="1"/>
    </font>
    <font>
      <sz val="11"/>
      <color indexed="8"/>
      <name val="Times New Roman"/>
      <family val="1"/>
    </font>
    <font>
      <sz val="9"/>
      <color indexed="12"/>
      <name val="Times New Roman"/>
      <family val="1"/>
    </font>
    <font>
      <b/>
      <sz val="9"/>
      <name val="Times New Roman"/>
      <family val="1"/>
    </font>
    <font>
      <sz val="9"/>
      <color indexed="50"/>
      <name val="Times New Roman"/>
      <family val="1"/>
    </font>
    <font>
      <b/>
      <i/>
      <sz val="9"/>
      <name val="Times New Roman"/>
      <family val="1"/>
    </font>
    <font>
      <b/>
      <sz val="9"/>
      <color indexed="9"/>
      <name val="Times New Roman"/>
      <family val="1"/>
    </font>
    <font>
      <i/>
      <sz val="9"/>
      <color indexed="9"/>
      <name val="Times New Roman"/>
      <family val="1"/>
    </font>
    <font>
      <sz val="9"/>
      <color indexed="10"/>
      <name val="Times New Roman"/>
      <family val="1"/>
    </font>
    <font>
      <b/>
      <sz val="9"/>
      <color indexed="36"/>
      <name val="Times New Roman"/>
      <family val="1"/>
    </font>
    <font>
      <sz val="16"/>
      <name val="Times New Roman"/>
      <family val="1"/>
    </font>
    <font>
      <u val="single"/>
      <sz val="12"/>
      <name val="Times New Roman"/>
      <family val="1"/>
    </font>
    <font>
      <i/>
      <sz val="10"/>
      <color indexed="10"/>
      <name val="Times New Roman"/>
      <family val="1"/>
    </font>
    <font>
      <i/>
      <sz val="9"/>
      <color indexed="10"/>
      <name val="Times New Roman"/>
      <family val="1"/>
    </font>
    <font>
      <sz val="14"/>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7" borderId="7" applyNumberFormat="0" applyAlignment="0" applyProtection="0"/>
    <xf numFmtId="0" fontId="80" fillId="0" borderId="0" applyNumberFormat="0" applyFill="0" applyBorder="0" applyAlignment="0" applyProtection="0"/>
    <xf numFmtId="0" fontId="81"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6" fillId="31" borderId="0" applyNumberFormat="0" applyBorder="0" applyAlignment="0" applyProtection="0"/>
  </cellStyleXfs>
  <cellXfs count="377">
    <xf numFmtId="0" fontId="0" fillId="0" borderId="0" xfId="0" applyAlignment="1">
      <alignment/>
    </xf>
    <xf numFmtId="2" fontId="2" fillId="0" borderId="10" xfId="0" applyNumberFormat="1" applyFont="1" applyFill="1" applyBorder="1" applyAlignment="1">
      <alignment horizontal="left" vertical="center" wrapText="1"/>
    </xf>
    <xf numFmtId="1" fontId="7"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2" fontId="9" fillId="0" borderId="10" xfId="0" applyNumberFormat="1" applyFont="1" applyBorder="1" applyAlignment="1" quotePrefix="1">
      <alignment vertical="center" wrapText="1"/>
    </xf>
    <xf numFmtId="2" fontId="9" fillId="0" borderId="10" xfId="0" applyNumberFormat="1" applyFont="1" applyFill="1" applyBorder="1" applyAlignment="1">
      <alignment vertical="center" wrapText="1"/>
    </xf>
    <xf numFmtId="0" fontId="7" fillId="0" borderId="0" xfId="0" applyFont="1" applyAlignment="1">
      <alignment vertical="center" wrapText="1"/>
    </xf>
    <xf numFmtId="3" fontId="7" fillId="4" borderId="0" xfId="0" applyNumberFormat="1" applyFont="1" applyFill="1" applyBorder="1" applyAlignment="1">
      <alignment vertical="center" wrapText="1"/>
    </xf>
    <xf numFmtId="0" fontId="9" fillId="0" borderId="10" xfId="0" applyFont="1" applyBorder="1" applyAlignment="1">
      <alignment vertical="center" wrapText="1"/>
    </xf>
    <xf numFmtId="1" fontId="11" fillId="32" borderId="10" xfId="0" applyNumberFormat="1" applyFont="1" applyFill="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0" xfId="0" applyNumberFormat="1" applyFont="1" applyFill="1" applyBorder="1" applyAlignment="1">
      <alignment horizontal="center" vertical="center" wrapText="1"/>
    </xf>
    <xf numFmtId="3" fontId="11" fillId="0" borderId="0" xfId="0" applyNumberFormat="1" applyFont="1" applyFill="1" applyBorder="1" applyAlignment="1">
      <alignment vertical="center" wrapText="1"/>
    </xf>
    <xf numFmtId="0" fontId="11" fillId="0" borderId="0" xfId="0" applyNumberFormat="1" applyFont="1" applyFill="1" applyAlignment="1" applyProtection="1">
      <alignment vertical="center" wrapText="1"/>
      <protection/>
    </xf>
    <xf numFmtId="3" fontId="11" fillId="4" borderId="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1" fontId="11" fillId="32" borderId="11" xfId="0" applyNumberFormat="1" applyFont="1" applyFill="1" applyBorder="1" applyAlignment="1">
      <alignment horizontal="center" vertical="center" wrapText="1"/>
    </xf>
    <xf numFmtId="0" fontId="4" fillId="0" borderId="0" xfId="0" applyFont="1" applyBorder="1" applyAlignment="1">
      <alignment vertical="center" wrapText="1"/>
    </xf>
    <xf numFmtId="49" fontId="9" fillId="0" borderId="10" xfId="0" applyNumberFormat="1" applyFont="1" applyBorder="1" applyAlignment="1" quotePrefix="1">
      <alignment horizontal="center" vertical="center" wrapText="1"/>
    </xf>
    <xf numFmtId="0" fontId="9" fillId="0" borderId="10" xfId="0" applyFont="1" applyBorder="1" applyAlignment="1" quotePrefix="1">
      <alignment horizontal="center" vertical="center" wrapText="1"/>
    </xf>
    <xf numFmtId="49" fontId="9" fillId="0" borderId="12" xfId="0" applyNumberFormat="1" applyFont="1" applyBorder="1" applyAlignment="1" quotePrefix="1">
      <alignment horizontal="center" vertical="center" wrapText="1"/>
    </xf>
    <xf numFmtId="2" fontId="9" fillId="0" borderId="10" xfId="0" applyNumberFormat="1" applyFont="1" applyBorder="1" applyAlignment="1">
      <alignment horizontal="left" vertical="center" wrapText="1"/>
    </xf>
    <xf numFmtId="4" fontId="9" fillId="32" borderId="10" xfId="0" applyNumberFormat="1" applyFont="1" applyFill="1" applyBorder="1" applyAlignment="1">
      <alignment vertical="center" wrapText="1"/>
    </xf>
    <xf numFmtId="4" fontId="9" fillId="0" borderId="10" xfId="0" applyNumberFormat="1" applyFont="1" applyBorder="1" applyAlignment="1">
      <alignment vertical="center" wrapText="1"/>
    </xf>
    <xf numFmtId="4" fontId="9" fillId="33" borderId="10" xfId="0" applyNumberFormat="1" applyFont="1" applyFill="1" applyBorder="1" applyAlignment="1">
      <alignment vertical="center" wrapText="1"/>
    </xf>
    <xf numFmtId="4" fontId="9" fillId="32" borderId="11" xfId="0" applyNumberFormat="1" applyFont="1" applyFill="1" applyBorder="1" applyAlignment="1">
      <alignment vertical="center" wrapText="1"/>
    </xf>
    <xf numFmtId="49"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4" fontId="14" fillId="32" borderId="10" xfId="0" applyNumberFormat="1" applyFont="1" applyFill="1" applyBorder="1" applyAlignment="1">
      <alignment vertical="center" wrapText="1"/>
    </xf>
    <xf numFmtId="4" fontId="14" fillId="0" borderId="10" xfId="0" applyNumberFormat="1" applyFont="1" applyBorder="1" applyAlignment="1">
      <alignment vertical="center" wrapText="1"/>
    </xf>
    <xf numFmtId="4" fontId="14" fillId="33" borderId="10" xfId="0" applyNumberFormat="1" applyFont="1" applyFill="1" applyBorder="1" applyAlignment="1">
      <alignment vertical="center" wrapText="1"/>
    </xf>
    <xf numFmtId="4" fontId="14" fillId="0" borderId="10" xfId="0" applyNumberFormat="1" applyFont="1" applyFill="1" applyBorder="1" applyAlignment="1">
      <alignment vertical="center" wrapText="1"/>
    </xf>
    <xf numFmtId="4" fontId="14" fillId="32" borderId="11" xfId="0" applyNumberFormat="1" applyFont="1" applyFill="1" applyBorder="1" applyAlignment="1">
      <alignment vertical="center" wrapText="1"/>
    </xf>
    <xf numFmtId="2" fontId="14" fillId="0" borderId="10" xfId="0" applyNumberFormat="1" applyFont="1" applyBorder="1" applyAlignment="1">
      <alignment vertical="center" wrapText="1"/>
    </xf>
    <xf numFmtId="49" fontId="9" fillId="0" borderId="10" xfId="0" applyNumberFormat="1" applyFont="1" applyBorder="1" applyAlignment="1">
      <alignment horizontal="center" vertical="center" wrapText="1"/>
    </xf>
    <xf numFmtId="49" fontId="15" fillId="32" borderId="10" xfId="0" applyNumberFormat="1" applyFont="1" applyFill="1" applyBorder="1" applyAlignment="1">
      <alignment horizontal="center" vertical="center" wrapText="1"/>
    </xf>
    <xf numFmtId="0" fontId="15" fillId="32" borderId="10" xfId="0" applyFont="1" applyFill="1" applyBorder="1" applyAlignment="1">
      <alignment horizontal="center" vertical="center" wrapText="1"/>
    </xf>
    <xf numFmtId="2" fontId="15" fillId="32" borderId="10" xfId="0" applyNumberFormat="1" applyFont="1" applyFill="1" applyBorder="1" applyAlignment="1">
      <alignment vertical="center" wrapText="1"/>
    </xf>
    <xf numFmtId="4" fontId="15" fillId="32" borderId="10" xfId="0" applyNumberFormat="1" applyFont="1" applyFill="1" applyBorder="1" applyAlignment="1">
      <alignment vertical="center" wrapText="1"/>
    </xf>
    <xf numFmtId="4" fontId="15" fillId="33" borderId="10" xfId="0" applyNumberFormat="1" applyFont="1" applyFill="1" applyBorder="1" applyAlignment="1">
      <alignment vertical="center" wrapText="1"/>
    </xf>
    <xf numFmtId="4" fontId="20" fillId="4" borderId="0" xfId="0" applyNumberFormat="1" applyFont="1" applyFill="1" applyBorder="1" applyAlignment="1">
      <alignment vertical="center" wrapText="1"/>
    </xf>
    <xf numFmtId="4" fontId="11"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 fontId="7" fillId="33" borderId="10" xfId="0" applyNumberFormat="1" applyFont="1" applyFill="1" applyBorder="1" applyAlignment="1">
      <alignment vertical="center" wrapText="1"/>
    </xf>
    <xf numFmtId="0" fontId="9"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quotePrefix="1">
      <alignment horizontal="center"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4" fontId="9" fillId="33" borderId="11" xfId="0" applyNumberFormat="1" applyFont="1" applyFill="1" applyBorder="1" applyAlignment="1">
      <alignment vertical="center" wrapText="1"/>
    </xf>
    <xf numFmtId="2" fontId="2" fillId="0" borderId="10" xfId="0" applyNumberFormat="1" applyFont="1" applyBorder="1" applyAlignment="1" quotePrefix="1">
      <alignment vertical="center" wrapText="1"/>
    </xf>
    <xf numFmtId="2" fontId="2" fillId="0" borderId="10" xfId="0" applyNumberFormat="1" applyFont="1" applyBorder="1" applyAlignment="1">
      <alignment vertical="center" wrapText="1"/>
    </xf>
    <xf numFmtId="49" fontId="2" fillId="0" borderId="10" xfId="0" applyNumberFormat="1" applyFont="1" applyBorder="1" applyAlignment="1" quotePrefix="1">
      <alignment horizontal="center" vertical="center" wrapText="1"/>
    </xf>
    <xf numFmtId="0" fontId="2" fillId="0" borderId="10" xfId="0" applyFont="1" applyBorder="1" applyAlignment="1" quotePrefix="1">
      <alignment horizontal="center" vertical="center" wrapText="1"/>
    </xf>
    <xf numFmtId="4" fontId="2" fillId="32"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wrapText="1"/>
    </xf>
    <xf numFmtId="4" fontId="2" fillId="32" borderId="11" xfId="0" applyNumberFormat="1" applyFont="1" applyFill="1" applyBorder="1" applyAlignment="1">
      <alignment vertical="center" wrapText="1"/>
    </xf>
    <xf numFmtId="0" fontId="2" fillId="0" borderId="0" xfId="0" applyFont="1" applyAlignment="1">
      <alignment vertical="center" wrapText="1"/>
    </xf>
    <xf numFmtId="0" fontId="7" fillId="0" borderId="10" xfId="0" applyFont="1" applyBorder="1" applyAlignment="1" quotePrefix="1">
      <alignment horizontal="center" vertical="center" wrapText="1"/>
    </xf>
    <xf numFmtId="4" fontId="7" fillId="0" borderId="10"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49" fontId="2" fillId="0" borderId="10" xfId="0" applyNumberFormat="1" applyFont="1" applyBorder="1" applyAlignment="1">
      <alignment horizontal="center" vertical="center" wrapText="1"/>
    </xf>
    <xf numFmtId="4"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49" fontId="11" fillId="0" borderId="0" xfId="0" applyNumberFormat="1" applyFont="1" applyAlignment="1">
      <alignment vertical="center" wrapText="1"/>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Border="1" applyAlignment="1">
      <alignment vertical="center" wrapText="1"/>
    </xf>
    <xf numFmtId="2" fontId="11" fillId="0" borderId="0" xfId="0" applyNumberFormat="1" applyFont="1" applyAlignment="1">
      <alignment vertical="center" wrapText="1"/>
    </xf>
    <xf numFmtId="4" fontId="7" fillId="0" borderId="0" xfId="0" applyNumberFormat="1" applyFont="1" applyAlignment="1">
      <alignment vertical="center" wrapText="1"/>
    </xf>
    <xf numFmtId="4" fontId="7" fillId="0" borderId="0" xfId="0" applyNumberFormat="1" applyFont="1" applyBorder="1" applyAlignment="1">
      <alignment vertical="center" wrapText="1"/>
    </xf>
    <xf numFmtId="4" fontId="11" fillId="0" borderId="0" xfId="0" applyNumberFormat="1" applyFont="1" applyAlignment="1">
      <alignment horizontal="right" vertical="center" wrapText="1"/>
    </xf>
    <xf numFmtId="1" fontId="8" fillId="0" borderId="0" xfId="0" applyNumberFormat="1" applyFont="1" applyBorder="1" applyAlignment="1">
      <alignment vertical="center" wrapText="1"/>
    </xf>
    <xf numFmtId="1" fontId="19" fillId="0" borderId="0" xfId="0" applyNumberFormat="1" applyFont="1" applyBorder="1" applyAlignment="1">
      <alignment vertical="center" wrapText="1"/>
    </xf>
    <xf numFmtId="1" fontId="8" fillId="0" borderId="0" xfId="0" applyNumberFormat="1"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2"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4" fillId="0" borderId="0" xfId="0" applyFont="1" applyAlignment="1">
      <alignment vertical="center" wrapText="1"/>
    </xf>
    <xf numFmtId="0" fontId="8" fillId="0" borderId="0" xfId="0" applyFont="1" applyBorder="1" applyAlignment="1">
      <alignment vertical="center" wrapText="1"/>
    </xf>
    <xf numFmtId="4" fontId="15" fillId="32" borderId="11" xfId="0" applyNumberFormat="1" applyFont="1" applyFill="1" applyBorder="1" applyAlignment="1">
      <alignment vertical="center" wrapText="1"/>
    </xf>
    <xf numFmtId="0" fontId="18" fillId="0" borderId="0" xfId="0" applyFont="1" applyBorder="1" applyAlignment="1">
      <alignment vertical="center" wrapText="1"/>
    </xf>
    <xf numFmtId="4" fontId="17" fillId="0" borderId="0" xfId="0" applyNumberFormat="1" applyFont="1" applyAlignment="1">
      <alignment vertical="center" wrapText="1"/>
    </xf>
    <xf numFmtId="0" fontId="15" fillId="0" borderId="0" xfId="0" applyFont="1" applyAlignment="1">
      <alignment vertical="center" wrapText="1"/>
    </xf>
    <xf numFmtId="4" fontId="11" fillId="0" borderId="0" xfId="0" applyNumberFormat="1" applyFont="1" applyFill="1" applyAlignment="1">
      <alignment vertical="center" wrapText="1"/>
    </xf>
    <xf numFmtId="0" fontId="2" fillId="35" borderId="0" xfId="0" applyFont="1" applyFill="1" applyBorder="1" applyAlignment="1">
      <alignment vertical="center" wrapText="1"/>
    </xf>
    <xf numFmtId="0" fontId="2" fillId="35" borderId="10" xfId="0" applyFont="1" applyFill="1" applyBorder="1" applyAlignment="1">
      <alignment vertical="center" wrapText="1"/>
    </xf>
    <xf numFmtId="0" fontId="2" fillId="0" borderId="10" xfId="0" applyFont="1" applyBorder="1" applyAlignment="1">
      <alignment vertical="center" wrapText="1"/>
    </xf>
    <xf numFmtId="4" fontId="2" fillId="33" borderId="11"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4" fontId="2" fillId="4" borderId="10" xfId="0" applyNumberFormat="1" applyFont="1" applyFill="1" applyBorder="1" applyAlignment="1">
      <alignment vertical="center" wrapText="1"/>
    </xf>
    <xf numFmtId="4" fontId="2" fillId="0" borderId="0" xfId="0" applyNumberFormat="1" applyFont="1" applyBorder="1" applyAlignment="1">
      <alignment vertical="center" wrapText="1"/>
    </xf>
    <xf numFmtId="4" fontId="2" fillId="0" borderId="13" xfId="0" applyNumberFormat="1" applyFont="1" applyBorder="1" applyAlignment="1">
      <alignment vertical="center" wrapText="1"/>
    </xf>
    <xf numFmtId="0" fontId="2" fillId="0" borderId="14" xfId="0" applyFont="1" applyBorder="1" applyAlignment="1">
      <alignment vertical="center" wrapText="1"/>
    </xf>
    <xf numFmtId="0" fontId="2" fillId="35" borderId="14" xfId="0" applyFont="1" applyFill="1" applyBorder="1" applyAlignment="1">
      <alignment vertical="center" wrapText="1"/>
    </xf>
    <xf numFmtId="49" fontId="2" fillId="34" borderId="10" xfId="0" applyNumberFormat="1" applyFont="1" applyFill="1" applyBorder="1" applyAlignment="1" quotePrefix="1">
      <alignment horizontal="center" vertical="center" wrapText="1"/>
    </xf>
    <xf numFmtId="0" fontId="2" fillId="34" borderId="10" xfId="0" applyFont="1" applyFill="1" applyBorder="1" applyAlignment="1" quotePrefix="1">
      <alignment horizontal="center"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vertical="center" wrapText="1"/>
    </xf>
    <xf numFmtId="49" fontId="9" fillId="0" borderId="13" xfId="0" applyNumberFormat="1" applyFont="1" applyBorder="1" applyAlignment="1" quotePrefix="1">
      <alignment horizontal="center" vertical="center" wrapText="1"/>
    </xf>
    <xf numFmtId="0" fontId="9" fillId="0" borderId="13" xfId="0" applyFont="1" applyBorder="1" applyAlignment="1" quotePrefix="1">
      <alignment horizontal="center" vertical="center" wrapText="1"/>
    </xf>
    <xf numFmtId="4" fontId="9" fillId="32" borderId="13" xfId="0" applyNumberFormat="1" applyFont="1" applyFill="1" applyBorder="1" applyAlignment="1">
      <alignment vertical="center" wrapText="1"/>
    </xf>
    <xf numFmtId="4" fontId="9" fillId="0" borderId="13" xfId="0" applyNumberFormat="1" applyFont="1" applyBorder="1" applyAlignment="1">
      <alignment vertical="center" wrapText="1"/>
    </xf>
    <xf numFmtId="4" fontId="9" fillId="32" borderId="15" xfId="0" applyNumberFormat="1" applyFont="1" applyFill="1" applyBorder="1" applyAlignment="1">
      <alignment vertical="center" wrapText="1"/>
    </xf>
    <xf numFmtId="49" fontId="9" fillId="0" borderId="16" xfId="0" applyNumberFormat="1" applyFont="1" applyBorder="1" applyAlignment="1" quotePrefix="1">
      <alignment horizontal="center" vertical="center" wrapText="1"/>
    </xf>
    <xf numFmtId="0" fontId="9" fillId="0" borderId="16" xfId="0" applyFont="1" applyBorder="1" applyAlignment="1" quotePrefix="1">
      <alignment horizontal="center" vertical="center" wrapText="1"/>
    </xf>
    <xf numFmtId="4" fontId="9" fillId="0" borderId="16" xfId="0" applyNumberFormat="1" applyFont="1" applyBorder="1" applyAlignment="1">
      <alignment vertical="center" wrapText="1"/>
    </xf>
    <xf numFmtId="4" fontId="9" fillId="32" borderId="17" xfId="0" applyNumberFormat="1" applyFont="1" applyFill="1" applyBorder="1" applyAlignment="1">
      <alignment vertical="center" wrapText="1"/>
    </xf>
    <xf numFmtId="4" fontId="9" fillId="32" borderId="18" xfId="0" applyNumberFormat="1" applyFont="1" applyFill="1" applyBorder="1" applyAlignment="1">
      <alignment vertical="center" wrapText="1"/>
    </xf>
    <xf numFmtId="0" fontId="2" fillId="0" borderId="10" xfId="0" applyFont="1" applyFill="1" applyBorder="1" applyAlignment="1">
      <alignment vertical="center" wrapText="1"/>
    </xf>
    <xf numFmtId="49" fontId="2" fillId="4" borderId="10" xfId="0" applyNumberFormat="1" applyFont="1" applyFill="1" applyBorder="1" applyAlignment="1">
      <alignment horizontal="center" vertical="center" wrapText="1"/>
    </xf>
    <xf numFmtId="0" fontId="2" fillId="4" borderId="10" xfId="0" applyFont="1" applyFill="1" applyBorder="1" applyAlignment="1" quotePrefix="1">
      <alignment horizontal="center" vertical="center" wrapText="1"/>
    </xf>
    <xf numFmtId="49" fontId="2" fillId="4" borderId="10" xfId="0" applyNumberFormat="1" applyFont="1" applyFill="1" applyBorder="1" applyAlignment="1" quotePrefix="1">
      <alignment horizontal="center" vertical="center" wrapText="1"/>
    </xf>
    <xf numFmtId="2" fontId="2" fillId="4" borderId="10" xfId="0" applyNumberFormat="1"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Alignment="1">
      <alignment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quotePrefix="1">
      <alignment vertical="center" wrapText="1"/>
    </xf>
    <xf numFmtId="4" fontId="2" fillId="4" borderId="11" xfId="0" applyNumberFormat="1"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Alignment="1">
      <alignment vertical="center" wrapText="1"/>
    </xf>
    <xf numFmtId="49" fontId="14" fillId="0" borderId="12" xfId="0" applyNumberFormat="1" applyFont="1" applyBorder="1" applyAlignment="1" quotePrefix="1">
      <alignment horizontal="center"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2" fontId="2" fillId="0" borderId="10" xfId="0" applyNumberFormat="1" applyFont="1" applyFill="1" applyBorder="1" applyAlignment="1" quotePrefix="1">
      <alignment vertical="center" wrapText="1"/>
    </xf>
    <xf numFmtId="4" fontId="27" fillId="34" borderId="10" xfId="0" applyNumberFormat="1" applyFont="1" applyFill="1" applyBorder="1" applyAlignment="1">
      <alignment vertical="center" wrapText="1"/>
    </xf>
    <xf numFmtId="0" fontId="2" fillId="36" borderId="0" xfId="0" applyFont="1" applyFill="1" applyBorder="1" applyAlignment="1">
      <alignment vertical="center" wrapText="1"/>
    </xf>
    <xf numFmtId="0" fontId="2" fillId="36" borderId="0" xfId="0" applyFont="1" applyFill="1" applyAlignment="1">
      <alignment vertical="center" wrapText="1"/>
    </xf>
    <xf numFmtId="49" fontId="9" fillId="0" borderId="13" xfId="0" applyNumberFormat="1" applyFont="1" applyBorder="1" applyAlignment="1">
      <alignment horizontal="center" vertical="center" wrapText="1"/>
    </xf>
    <xf numFmtId="0" fontId="9" fillId="0" borderId="19" xfId="0" applyFont="1" applyBorder="1" applyAlignment="1">
      <alignment vertical="center" wrapText="1"/>
    </xf>
    <xf numFmtId="0" fontId="9" fillId="0" borderId="13" xfId="0" applyFont="1" applyBorder="1" applyAlignment="1">
      <alignment vertical="center" wrapText="1"/>
    </xf>
    <xf numFmtId="4" fontId="9" fillId="0" borderId="13" xfId="0" applyNumberFormat="1" applyFont="1" applyFill="1" applyBorder="1" applyAlignment="1">
      <alignment vertical="center" wrapText="1"/>
    </xf>
    <xf numFmtId="49" fontId="2" fillId="0" borderId="2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 fontId="2" fillId="0" borderId="20" xfId="0" applyNumberFormat="1" applyFont="1" applyBorder="1" applyAlignment="1">
      <alignment vertical="center" wrapText="1"/>
    </xf>
    <xf numFmtId="4" fontId="2" fillId="32" borderId="20" xfId="0" applyNumberFormat="1" applyFont="1" applyFill="1" applyBorder="1" applyAlignment="1">
      <alignment vertical="center" wrapText="1"/>
    </xf>
    <xf numFmtId="0" fontId="9" fillId="0" borderId="14" xfId="0" applyFont="1" applyBorder="1" applyAlignment="1">
      <alignment vertical="center" wrapText="1"/>
    </xf>
    <xf numFmtId="4" fontId="20" fillId="0" borderId="0" xfId="0" applyNumberFormat="1" applyFont="1" applyAlignment="1">
      <alignment vertical="center" wrapText="1"/>
    </xf>
    <xf numFmtId="0" fontId="28" fillId="0" borderId="0" xfId="0" applyFont="1" applyBorder="1" applyAlignment="1">
      <alignment vertical="center" wrapText="1"/>
    </xf>
    <xf numFmtId="4" fontId="2" fillId="0" borderId="10" xfId="0" applyNumberFormat="1" applyFont="1" applyBorder="1" applyAlignment="1">
      <alignment horizontal="center" vertical="center" wrapText="1"/>
    </xf>
    <xf numFmtId="49" fontId="29" fillId="0" borderId="0" xfId="0" applyNumberFormat="1" applyFont="1" applyAlignment="1">
      <alignment horizontal="center" vertical="center" wrapText="1"/>
    </xf>
    <xf numFmtId="0" fontId="29" fillId="0" borderId="0" xfId="0" applyFont="1" applyAlignment="1">
      <alignment horizontal="center" vertical="center" wrapText="1"/>
    </xf>
    <xf numFmtId="4" fontId="30" fillId="0" borderId="1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29" fillId="0" borderId="0" xfId="0" applyFont="1" applyBorder="1" applyAlignment="1">
      <alignment horizontal="center" vertical="center" wrapText="1"/>
    </xf>
    <xf numFmtId="202" fontId="30"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4" fontId="22" fillId="32" borderId="10" xfId="0" applyNumberFormat="1" applyFont="1" applyFill="1" applyBorder="1" applyAlignment="1">
      <alignment vertical="center" wrapText="1"/>
    </xf>
    <xf numFmtId="4" fontId="16" fillId="0" borderId="10" xfId="0" applyNumberFormat="1" applyFont="1" applyBorder="1" applyAlignment="1">
      <alignment horizontal="center" vertical="center" wrapText="1"/>
    </xf>
    <xf numFmtId="4" fontId="32" fillId="0" borderId="0" xfId="0" applyNumberFormat="1" applyFont="1" applyBorder="1" applyAlignment="1">
      <alignment vertical="center" wrapText="1"/>
    </xf>
    <xf numFmtId="3" fontId="11" fillId="0" borderId="0" xfId="0" applyNumberFormat="1" applyFont="1" applyAlignment="1">
      <alignment vertical="center" wrapText="1"/>
    </xf>
    <xf numFmtId="0" fontId="2" fillId="0" borderId="21" xfId="0" applyFont="1" applyBorder="1" applyAlignment="1">
      <alignment vertical="center" wrapText="1"/>
    </xf>
    <xf numFmtId="0" fontId="33" fillId="0" borderId="0" xfId="0" applyFont="1" applyAlignment="1">
      <alignment vertical="center" wrapText="1"/>
    </xf>
    <xf numFmtId="0" fontId="2" fillId="0" borderId="10" xfId="0" applyFont="1" applyBorder="1" applyAlignment="1">
      <alignment horizontal="left" vertical="center" wrapText="1"/>
    </xf>
    <xf numFmtId="4" fontId="2" fillId="0" borderId="21" xfId="0" applyNumberFormat="1" applyFont="1" applyBorder="1" applyAlignment="1">
      <alignment vertical="center" wrapText="1"/>
    </xf>
    <xf numFmtId="0" fontId="2" fillId="0" borderId="11" xfId="0" applyFont="1" applyBorder="1" applyAlignment="1">
      <alignment vertical="center" wrapText="1"/>
    </xf>
    <xf numFmtId="49" fontId="11" fillId="0" borderId="0" xfId="0" applyNumberFormat="1" applyFont="1" applyBorder="1" applyAlignment="1">
      <alignment vertical="center" wrapText="1"/>
    </xf>
    <xf numFmtId="0" fontId="11" fillId="0" borderId="0" xfId="0" applyFont="1" applyBorder="1" applyAlignment="1">
      <alignment vertical="center" wrapText="1"/>
    </xf>
    <xf numFmtId="49" fontId="34" fillId="0" borderId="0" xfId="0" applyNumberFormat="1" applyFont="1" applyAlignment="1">
      <alignment vertical="center" wrapText="1"/>
    </xf>
    <xf numFmtId="0" fontId="34" fillId="0" borderId="0" xfId="0" applyFont="1" applyAlignment="1">
      <alignment vertical="center" wrapText="1"/>
    </xf>
    <xf numFmtId="0" fontId="22" fillId="0" borderId="10" xfId="0" applyFont="1" applyBorder="1" applyAlignment="1">
      <alignment horizontal="center" vertical="center" wrapText="1"/>
    </xf>
    <xf numFmtId="4" fontId="34" fillId="0" borderId="10" xfId="0" applyNumberFormat="1" applyFont="1" applyBorder="1" applyAlignment="1">
      <alignment horizontal="center" vertical="center" wrapText="1"/>
    </xf>
    <xf numFmtId="4" fontId="22" fillId="0" borderId="0" xfId="0" applyNumberFormat="1" applyFont="1" applyBorder="1" applyAlignment="1">
      <alignment vertical="center" wrapText="1"/>
    </xf>
    <xf numFmtId="0" fontId="22" fillId="0" borderId="0" xfId="0" applyFont="1" applyBorder="1" applyAlignment="1">
      <alignment vertical="center" wrapText="1"/>
    </xf>
    <xf numFmtId="0" fontId="22" fillId="0" borderId="0" xfId="0" applyFont="1" applyAlignment="1">
      <alignment vertical="center" wrapText="1"/>
    </xf>
    <xf numFmtId="4" fontId="34" fillId="0" borderId="0" xfId="0" applyNumberFormat="1" applyFont="1" applyBorder="1" applyAlignment="1">
      <alignment vertical="center" wrapText="1"/>
    </xf>
    <xf numFmtId="4" fontId="11" fillId="0" borderId="0" xfId="0" applyNumberFormat="1" applyFont="1" applyBorder="1" applyAlignment="1">
      <alignment horizontal="center" vertical="center" wrapText="1"/>
    </xf>
    <xf numFmtId="202" fontId="30" fillId="0" borderId="0" xfId="0" applyNumberFormat="1" applyFont="1" applyAlignment="1">
      <alignment vertical="center" wrapText="1"/>
    </xf>
    <xf numFmtId="202" fontId="29" fillId="0" borderId="0" xfId="0" applyNumberFormat="1" applyFont="1" applyAlignment="1">
      <alignment horizontal="center" vertical="center" wrapText="1"/>
    </xf>
    <xf numFmtId="203" fontId="30" fillId="0" borderId="0" xfId="0" applyNumberFormat="1" applyFont="1" applyAlignment="1">
      <alignment vertical="center" wrapText="1"/>
    </xf>
    <xf numFmtId="202" fontId="31" fillId="0" borderId="0" xfId="0" applyNumberFormat="1" applyFont="1" applyBorder="1" applyAlignment="1">
      <alignment vertical="center" wrapText="1"/>
    </xf>
    <xf numFmtId="202" fontId="31" fillId="0" borderId="0" xfId="0" applyNumberFormat="1" applyFont="1" applyAlignment="1">
      <alignment vertical="center" wrapText="1"/>
    </xf>
    <xf numFmtId="202" fontId="26" fillId="0" borderId="0" xfId="0" applyNumberFormat="1" applyFont="1" applyAlignment="1">
      <alignment horizontal="right" vertical="center" wrapText="1"/>
    </xf>
    <xf numFmtId="203" fontId="35" fillId="0" borderId="10" xfId="0" applyNumberFormat="1" applyFont="1" applyBorder="1" applyAlignment="1">
      <alignment horizontal="center" vertical="center" wrapText="1"/>
    </xf>
    <xf numFmtId="4" fontId="10" fillId="0" borderId="10" xfId="0" applyNumberFormat="1" applyFont="1" applyBorder="1" applyAlignment="1">
      <alignment vertical="center" wrapText="1"/>
    </xf>
    <xf numFmtId="4" fontId="36" fillId="0" borderId="10" xfId="0" applyNumberFormat="1" applyFont="1" applyBorder="1" applyAlignment="1">
      <alignment vertical="center" wrapText="1"/>
    </xf>
    <xf numFmtId="0" fontId="36" fillId="0" borderId="0" xfId="0" applyFont="1" applyAlignment="1">
      <alignment horizontal="right" vertical="center" wrapText="1"/>
    </xf>
    <xf numFmtId="49" fontId="12" fillId="32" borderId="10" xfId="0" applyNumberFormat="1" applyFont="1" applyFill="1" applyBorder="1" applyAlignment="1" quotePrefix="1">
      <alignment horizontal="center" vertical="center" wrapText="1"/>
    </xf>
    <xf numFmtId="0" fontId="12" fillId="32" borderId="10" xfId="0"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2" fontId="12" fillId="32" borderId="10" xfId="0" applyNumberFormat="1" applyFont="1" applyFill="1" applyBorder="1" applyAlignment="1">
      <alignment vertical="center" wrapText="1"/>
    </xf>
    <xf numFmtId="4" fontId="12" fillId="32"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4" fontId="12" fillId="32" borderId="11" xfId="0" applyNumberFormat="1" applyFont="1" applyFill="1" applyBorder="1" applyAlignment="1">
      <alignment vertical="center" wrapText="1"/>
    </xf>
    <xf numFmtId="0" fontId="12" fillId="32" borderId="0" xfId="0" applyFont="1" applyFill="1" applyBorder="1" applyAlignment="1">
      <alignment vertical="center" wrapText="1"/>
    </xf>
    <xf numFmtId="0" fontId="12" fillId="32" borderId="0" xfId="0" applyFont="1" applyFill="1" applyAlignment="1">
      <alignment vertical="center" wrapText="1"/>
    </xf>
    <xf numFmtId="2" fontId="12" fillId="32" borderId="10" xfId="0" applyNumberFormat="1" applyFont="1" applyFill="1" applyBorder="1" applyAlignment="1" quotePrefix="1">
      <alignment vertical="center" wrapText="1"/>
    </xf>
    <xf numFmtId="0" fontId="11" fillId="32" borderId="0" xfId="0" applyFont="1" applyFill="1" applyBorder="1" applyAlignment="1">
      <alignment vertical="center" wrapText="1"/>
    </xf>
    <xf numFmtId="0" fontId="11" fillId="32" borderId="0" xfId="0" applyFont="1" applyFill="1" applyAlignment="1">
      <alignment vertical="center" wrapText="1"/>
    </xf>
    <xf numFmtId="49" fontId="12" fillId="33" borderId="10" xfId="0" applyNumberFormat="1" applyFont="1" applyFill="1" applyBorder="1" applyAlignment="1" quotePrefix="1">
      <alignment horizontal="center" vertical="center" wrapText="1"/>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vertical="center" wrapText="1"/>
    </xf>
    <xf numFmtId="4" fontId="12" fillId="33" borderId="11" xfId="0" applyNumberFormat="1" applyFont="1" applyFill="1" applyBorder="1" applyAlignment="1">
      <alignment vertical="center" wrapText="1"/>
    </xf>
    <xf numFmtId="0" fontId="12" fillId="33" borderId="0" xfId="0" applyFont="1" applyFill="1" applyBorder="1" applyAlignment="1">
      <alignment vertical="center" wrapText="1"/>
    </xf>
    <xf numFmtId="0" fontId="12" fillId="33" borderId="0" xfId="0" applyFont="1" applyFill="1" applyAlignment="1">
      <alignment vertical="center" wrapText="1"/>
    </xf>
    <xf numFmtId="0" fontId="12" fillId="32" borderId="10" xfId="0" applyFont="1" applyFill="1" applyBorder="1" applyAlignment="1" quotePrefix="1">
      <alignment horizontal="center" vertical="center" wrapText="1"/>
    </xf>
    <xf numFmtId="49" fontId="2" fillId="0" borderId="13" xfId="0" applyNumberFormat="1" applyFont="1" applyFill="1" applyBorder="1" applyAlignment="1" quotePrefix="1">
      <alignment horizontal="center" vertical="center" wrapText="1"/>
    </xf>
    <xf numFmtId="0" fontId="2" fillId="0" borderId="13" xfId="0" applyFont="1" applyFill="1" applyBorder="1" applyAlignment="1" quotePrefix="1">
      <alignment horizontal="center" vertical="center" wrapText="1"/>
    </xf>
    <xf numFmtId="4" fontId="22" fillId="4" borderId="10" xfId="0" applyNumberFormat="1" applyFont="1" applyFill="1" applyBorder="1" applyAlignment="1">
      <alignment horizontal="right" vertical="center" wrapText="1"/>
    </xf>
    <xf numFmtId="4" fontId="22" fillId="0" borderId="10" xfId="0" applyNumberFormat="1" applyFont="1" applyBorder="1" applyAlignment="1">
      <alignment horizontal="right" vertical="center" wrapText="1"/>
    </xf>
    <xf numFmtId="4" fontId="21" fillId="0" borderId="0" xfId="0" applyNumberFormat="1" applyFont="1" applyBorder="1" applyAlignment="1">
      <alignment vertical="center" wrapText="1"/>
    </xf>
    <xf numFmtId="0" fontId="9" fillId="0" borderId="0" xfId="0" applyFont="1" applyAlignment="1">
      <alignment horizontal="justify"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alignment vertical="center" wrapText="1"/>
    </xf>
    <xf numFmtId="4" fontId="8" fillId="4" borderId="0" xfId="0" applyNumberFormat="1" applyFont="1" applyFill="1" applyBorder="1" applyAlignment="1">
      <alignment vertical="center" wrapText="1"/>
    </xf>
    <xf numFmtId="0" fontId="40" fillId="0" borderId="0" xfId="0" applyFont="1" applyBorder="1" applyAlignment="1">
      <alignment vertical="center" wrapText="1"/>
    </xf>
    <xf numFmtId="4" fontId="8" fillId="0" borderId="0" xfId="0" applyNumberFormat="1" applyFont="1" applyBorder="1" applyAlignment="1">
      <alignment vertical="center" wrapText="1"/>
    </xf>
    <xf numFmtId="0" fontId="8" fillId="4" borderId="0" xfId="0" applyFont="1" applyFill="1" applyBorder="1" applyAlignment="1">
      <alignment vertical="center" wrapText="1"/>
    </xf>
    <xf numFmtId="0" fontId="41" fillId="32" borderId="0" xfId="0" applyFont="1" applyFill="1" applyBorder="1" applyAlignment="1">
      <alignment vertical="center" wrapText="1"/>
    </xf>
    <xf numFmtId="4" fontId="4" fillId="4" borderId="0" xfId="0" applyNumberFormat="1" applyFont="1" applyFill="1" applyBorder="1" applyAlignment="1">
      <alignment vertical="center" wrapText="1"/>
    </xf>
    <xf numFmtId="0" fontId="8" fillId="35" borderId="0"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32" borderId="0" xfId="0" applyFont="1" applyFill="1" applyBorder="1" applyAlignment="1">
      <alignment vertical="center" wrapText="1"/>
    </xf>
    <xf numFmtId="4" fontId="8" fillId="0" borderId="0" xfId="0" applyNumberFormat="1" applyFont="1" applyFill="1" applyBorder="1" applyAlignment="1">
      <alignment vertical="center" wrapText="1"/>
    </xf>
    <xf numFmtId="4" fontId="41" fillId="33" borderId="0" xfId="0" applyNumberFormat="1" applyFont="1" applyFill="1" applyBorder="1" applyAlignment="1">
      <alignment vertical="center" wrapText="1"/>
    </xf>
    <xf numFmtId="0" fontId="41" fillId="33" borderId="0" xfId="0" applyFont="1" applyFill="1" applyBorder="1" applyAlignment="1">
      <alignment vertical="center" wrapText="1"/>
    </xf>
    <xf numFmtId="4" fontId="41" fillId="4" borderId="0" xfId="0" applyNumberFormat="1" applyFont="1" applyFill="1" applyBorder="1" applyAlignment="1">
      <alignment vertical="center" wrapText="1"/>
    </xf>
    <xf numFmtId="4" fontId="42" fillId="4" borderId="0" xfId="0" applyNumberFormat="1" applyFont="1" applyFill="1" applyBorder="1" applyAlignment="1">
      <alignment vertical="center" wrapText="1"/>
    </xf>
    <xf numFmtId="0" fontId="42" fillId="4" borderId="0" xfId="0" applyFont="1" applyFill="1" applyBorder="1" applyAlignment="1">
      <alignment vertical="center" wrapText="1"/>
    </xf>
    <xf numFmtId="4" fontId="41" fillId="32" borderId="0" xfId="0" applyNumberFormat="1" applyFont="1" applyFill="1" applyBorder="1" applyAlignment="1">
      <alignment vertical="center" wrapText="1"/>
    </xf>
    <xf numFmtId="0" fontId="40" fillId="0" borderId="0" xfId="0" applyFont="1" applyFill="1" applyBorder="1" applyAlignment="1">
      <alignment vertical="center" wrapText="1"/>
    </xf>
    <xf numFmtId="4" fontId="41" fillId="0" borderId="0" xfId="0" applyNumberFormat="1" applyFont="1" applyAlignment="1">
      <alignment vertical="center" wrapText="1"/>
    </xf>
    <xf numFmtId="4" fontId="43" fillId="0" borderId="0" xfId="0" applyNumberFormat="1" applyFont="1" applyAlignment="1">
      <alignment vertical="center" wrapText="1"/>
    </xf>
    <xf numFmtId="0" fontId="8" fillId="36" borderId="0" xfId="0" applyFont="1" applyFill="1" applyBorder="1" applyAlignment="1">
      <alignment vertical="center" wrapText="1"/>
    </xf>
    <xf numFmtId="4" fontId="44" fillId="0" borderId="0" xfId="0" applyNumberFormat="1" applyFont="1" applyBorder="1" applyAlignment="1">
      <alignment vertical="center" wrapText="1"/>
    </xf>
    <xf numFmtId="4" fontId="19" fillId="0" borderId="0" xfId="0" applyNumberFormat="1" applyFont="1" applyBorder="1" applyAlignment="1">
      <alignment vertical="center" wrapText="1"/>
    </xf>
    <xf numFmtId="4" fontId="19" fillId="34" borderId="0" xfId="0" applyNumberFormat="1" applyFont="1" applyFill="1" applyBorder="1" applyAlignment="1">
      <alignment horizontal="right" vertical="center" wrapText="1"/>
    </xf>
    <xf numFmtId="0" fontId="19" fillId="0" borderId="0" xfId="0" applyFont="1" applyBorder="1" applyAlignment="1">
      <alignment horizontal="right" vertical="center" wrapText="1"/>
    </xf>
    <xf numFmtId="4" fontId="19" fillId="0" borderId="0" xfId="0" applyNumberFormat="1" applyFont="1" applyBorder="1" applyAlignment="1">
      <alignment horizontal="right" vertical="center" wrapText="1"/>
    </xf>
    <xf numFmtId="4" fontId="45" fillId="0" borderId="0" xfId="0" applyNumberFormat="1" applyFont="1" applyBorder="1" applyAlignment="1">
      <alignment horizontal="right" vertical="center" wrapText="1"/>
    </xf>
    <xf numFmtId="0" fontId="45" fillId="0" borderId="0" xfId="0" applyFont="1" applyBorder="1" applyAlignment="1">
      <alignment horizontal="right" vertical="center" wrapText="1"/>
    </xf>
    <xf numFmtId="0" fontId="19" fillId="0" borderId="0" xfId="0" applyFont="1" applyBorder="1" applyAlignment="1">
      <alignment vertical="center" wrapText="1"/>
    </xf>
    <xf numFmtId="0" fontId="46" fillId="0" borderId="0" xfId="0" applyFont="1" applyBorder="1" applyAlignment="1">
      <alignment vertical="center" wrapText="1"/>
    </xf>
    <xf numFmtId="4" fontId="43" fillId="0" borderId="0" xfId="0" applyNumberFormat="1" applyFont="1" applyBorder="1" applyAlignment="1">
      <alignment vertical="center" wrapText="1"/>
    </xf>
    <xf numFmtId="202" fontId="45" fillId="0" borderId="0" xfId="0" applyNumberFormat="1" applyFont="1" applyBorder="1" applyAlignment="1">
      <alignment vertical="center" wrapText="1"/>
    </xf>
    <xf numFmtId="4" fontId="47" fillId="36" borderId="0" xfId="0" applyNumberFormat="1" applyFont="1" applyFill="1" applyAlignment="1">
      <alignment vertical="center" wrapText="1"/>
    </xf>
    <xf numFmtId="4" fontId="28" fillId="0" borderId="0" xfId="0" applyNumberFormat="1" applyFont="1" applyBorder="1" applyAlignment="1">
      <alignment vertical="center" wrapText="1"/>
    </xf>
    <xf numFmtId="0" fontId="2" fillId="0" borderId="10" xfId="0" applyFont="1" applyFill="1" applyBorder="1" applyAlignment="1">
      <alignment wrapText="1"/>
    </xf>
    <xf numFmtId="49" fontId="14" fillId="0" borderId="10" xfId="0" applyNumberFormat="1" applyFont="1" applyFill="1" applyBorder="1" applyAlignment="1" quotePrefix="1">
      <alignment horizontal="center" vertical="center" wrapText="1"/>
    </xf>
    <xf numFmtId="0" fontId="14" fillId="0" borderId="10" xfId="0" applyFont="1" applyFill="1" applyBorder="1" applyAlignment="1" quotePrefix="1">
      <alignment horizontal="center" vertical="center" wrapText="1"/>
    </xf>
    <xf numFmtId="0" fontId="14" fillId="0" borderId="10" xfId="0" applyFont="1" applyFill="1" applyBorder="1" applyAlignment="1">
      <alignment vertical="center" wrapText="1"/>
    </xf>
    <xf numFmtId="0" fontId="48" fillId="0" borderId="0" xfId="0" applyFont="1" applyBorder="1" applyAlignment="1">
      <alignment vertical="center" wrapText="1"/>
    </xf>
    <xf numFmtId="4" fontId="48" fillId="0" borderId="0" xfId="0" applyNumberFormat="1" applyFont="1" applyBorder="1" applyAlignment="1">
      <alignment vertical="center" wrapText="1"/>
    </xf>
    <xf numFmtId="4" fontId="14" fillId="33" borderId="11" xfId="0" applyNumberFormat="1" applyFont="1" applyFill="1" applyBorder="1" applyAlignment="1">
      <alignment vertical="center" wrapText="1"/>
    </xf>
    <xf numFmtId="0" fontId="45" fillId="0" borderId="0" xfId="0" applyFont="1" applyBorder="1" applyAlignment="1">
      <alignment vertical="center" wrapText="1"/>
    </xf>
    <xf numFmtId="4" fontId="7" fillId="0" borderId="10" xfId="0" applyNumberFormat="1" applyFont="1" applyFill="1" applyBorder="1" applyAlignment="1">
      <alignment vertical="center" wrapText="1"/>
    </xf>
    <xf numFmtId="4" fontId="9" fillId="0" borderId="0" xfId="0" applyNumberFormat="1" applyFont="1" applyFill="1" applyBorder="1" applyAlignment="1">
      <alignment vertical="center" wrapText="1"/>
    </xf>
    <xf numFmtId="4" fontId="9" fillId="0" borderId="16"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4" fontId="11" fillId="0" borderId="0" xfId="0" applyNumberFormat="1" applyFont="1" applyFill="1" applyBorder="1" applyAlignment="1">
      <alignment vertical="center" wrapText="1"/>
    </xf>
    <xf numFmtId="4" fontId="30" fillId="0" borderId="10"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4" fontId="2"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34" fillId="0" borderId="1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203" fontId="30" fillId="0" borderId="0" xfId="0" applyNumberFormat="1" applyFont="1" applyFill="1" applyAlignment="1">
      <alignment vertical="center" wrapText="1"/>
    </xf>
    <xf numFmtId="203" fontId="35" fillId="0" borderId="10"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 fontId="36" fillId="0" borderId="10" xfId="0" applyNumberFormat="1" applyFont="1" applyFill="1" applyBorder="1" applyAlignment="1">
      <alignment vertical="center" wrapText="1"/>
    </xf>
    <xf numFmtId="0" fontId="45" fillId="0" borderId="0" xfId="0" applyFont="1" applyBorder="1" applyAlignment="1">
      <alignment vertical="center" wrapText="1"/>
    </xf>
    <xf numFmtId="0" fontId="12" fillId="36" borderId="0" xfId="0" applyFont="1" applyFill="1" applyAlignment="1">
      <alignment vertical="center" wrapText="1"/>
    </xf>
    <xf numFmtId="49" fontId="12" fillId="36" borderId="0" xfId="0" applyNumberFormat="1" applyFont="1" applyFill="1" applyAlignment="1">
      <alignment vertical="center" wrapText="1"/>
    </xf>
    <xf numFmtId="0" fontId="24" fillId="36" borderId="11" xfId="0" applyFont="1" applyFill="1" applyBorder="1" applyAlignment="1">
      <alignment vertical="center" wrapText="1"/>
    </xf>
    <xf numFmtId="4" fontId="22" fillId="36" borderId="10" xfId="0" applyNumberFormat="1" applyFont="1" applyFill="1" applyBorder="1" applyAlignment="1">
      <alignment vertical="center" wrapText="1"/>
    </xf>
    <xf numFmtId="4" fontId="2" fillId="36" borderId="10" xfId="0" applyNumberFormat="1" applyFont="1" applyFill="1" applyBorder="1" applyAlignment="1">
      <alignment horizontal="center" vertical="center" wrapText="1"/>
    </xf>
    <xf numFmtId="4" fontId="22" fillId="36" borderId="10" xfId="0" applyNumberFormat="1" applyFont="1" applyFill="1" applyBorder="1" applyAlignment="1">
      <alignment horizontal="right" vertical="center" wrapText="1"/>
    </xf>
    <xf numFmtId="4" fontId="16" fillId="36" borderId="10" xfId="0" applyNumberFormat="1" applyFont="1" applyFill="1" applyBorder="1" applyAlignment="1">
      <alignment horizontal="center" vertical="center" wrapText="1"/>
    </xf>
    <xf numFmtId="0" fontId="41" fillId="36" borderId="0" xfId="0" applyFont="1" applyFill="1" applyBorder="1" applyAlignment="1">
      <alignment vertical="center" wrapText="1"/>
    </xf>
    <xf numFmtId="4" fontId="41" fillId="36" borderId="0" xfId="0" applyNumberFormat="1" applyFont="1" applyFill="1" applyBorder="1" applyAlignment="1">
      <alignment vertical="center" wrapText="1"/>
    </xf>
    <xf numFmtId="4" fontId="12" fillId="36" borderId="0" xfId="0" applyNumberFormat="1" applyFont="1" applyFill="1" applyBorder="1" applyAlignment="1">
      <alignment vertical="center" wrapText="1"/>
    </xf>
    <xf numFmtId="0" fontId="12" fillId="36" borderId="0" xfId="0" applyFont="1" applyFill="1" applyBorder="1" applyAlignment="1">
      <alignment vertical="center" wrapText="1"/>
    </xf>
    <xf numFmtId="2" fontId="2" fillId="34" borderId="10" xfId="0" applyNumberFormat="1" applyFont="1" applyFill="1" applyBorder="1" applyAlignment="1" quotePrefix="1">
      <alignment vertical="center" wrapText="1"/>
    </xf>
    <xf numFmtId="4" fontId="8" fillId="34" borderId="0" xfId="0" applyNumberFormat="1" applyFont="1" applyFill="1" applyBorder="1" applyAlignment="1">
      <alignment vertical="center" wrapText="1"/>
    </xf>
    <xf numFmtId="0" fontId="8" fillId="34" borderId="0" xfId="0" applyFont="1" applyFill="1" applyBorder="1" applyAlignment="1">
      <alignment vertical="center" wrapText="1"/>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left" vertical="center" wrapText="1"/>
    </xf>
    <xf numFmtId="0" fontId="40" fillId="34" borderId="0" xfId="0" applyFont="1" applyFill="1" applyBorder="1" applyAlignment="1">
      <alignment vertical="center" wrapText="1"/>
    </xf>
    <xf numFmtId="0" fontId="21" fillId="34" borderId="0" xfId="0" applyFont="1" applyFill="1" applyBorder="1" applyAlignment="1">
      <alignment vertical="center" wrapText="1"/>
    </xf>
    <xf numFmtId="0" fontId="21" fillId="34" borderId="0" xfId="0" applyFont="1" applyFill="1" applyAlignment="1">
      <alignment vertical="center" wrapText="1"/>
    </xf>
    <xf numFmtId="49" fontId="9" fillId="34" borderId="10" xfId="0" applyNumberFormat="1" applyFont="1" applyFill="1" applyBorder="1" applyAlignment="1" quotePrefix="1">
      <alignment horizontal="center" vertical="center" wrapText="1"/>
    </xf>
    <xf numFmtId="0" fontId="9" fillId="34" borderId="10" xfId="0" applyFont="1" applyFill="1" applyBorder="1" applyAlignment="1" quotePrefix="1">
      <alignment horizontal="center" vertical="center" wrapText="1"/>
    </xf>
    <xf numFmtId="0" fontId="9" fillId="34" borderId="0" xfId="0" applyFont="1" applyFill="1" applyAlignment="1">
      <alignment horizontal="justify" vertical="center" wrapText="1"/>
    </xf>
    <xf numFmtId="4" fontId="9" fillId="34" borderId="10" xfId="0" applyNumberFormat="1" applyFont="1" applyFill="1" applyBorder="1" applyAlignment="1">
      <alignment vertical="center" wrapText="1"/>
    </xf>
    <xf numFmtId="4" fontId="4" fillId="34" borderId="0" xfId="0" applyNumberFormat="1" applyFont="1" applyFill="1" applyBorder="1" applyAlignment="1">
      <alignment vertical="center" wrapText="1"/>
    </xf>
    <xf numFmtId="0" fontId="45" fillId="34" borderId="0" xfId="0" applyFont="1" applyFill="1" applyBorder="1" applyAlignment="1">
      <alignment vertical="center" wrapText="1"/>
    </xf>
    <xf numFmtId="0" fontId="9" fillId="34" borderId="0" xfId="0" applyFont="1" applyFill="1" applyBorder="1" applyAlignment="1">
      <alignment vertical="center" wrapText="1"/>
    </xf>
    <xf numFmtId="0" fontId="9" fillId="34" borderId="0" xfId="0" applyFont="1" applyFill="1" applyAlignment="1">
      <alignment vertical="center" wrapText="1"/>
    </xf>
    <xf numFmtId="49" fontId="14" fillId="34" borderId="10" xfId="0" applyNumberFormat="1" applyFont="1" applyFill="1" applyBorder="1" applyAlignment="1" quotePrefix="1">
      <alignment horizontal="center" vertical="center" wrapText="1"/>
    </xf>
    <xf numFmtId="0" fontId="14" fillId="34" borderId="10" xfId="0" applyFont="1" applyFill="1" applyBorder="1" applyAlignment="1" quotePrefix="1">
      <alignment horizontal="center" vertical="center" wrapText="1"/>
    </xf>
    <xf numFmtId="4" fontId="14" fillId="34" borderId="10" xfId="0" applyNumberFormat="1" applyFont="1" applyFill="1" applyBorder="1" applyAlignment="1">
      <alignment vertical="center" wrapText="1"/>
    </xf>
    <xf numFmtId="0" fontId="14" fillId="34" borderId="0" xfId="0" applyFont="1" applyFill="1" applyBorder="1" applyAlignment="1">
      <alignment vertical="center" wrapText="1"/>
    </xf>
    <xf numFmtId="0" fontId="14" fillId="34" borderId="0" xfId="0" applyFont="1" applyFill="1" applyAlignment="1">
      <alignment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quotePrefix="1">
      <alignment horizontal="center" vertical="center" wrapText="1"/>
    </xf>
    <xf numFmtId="2" fontId="9" fillId="34" borderId="10" xfId="0" applyNumberFormat="1" applyFont="1" applyFill="1" applyBorder="1" applyAlignment="1">
      <alignment vertical="center" wrapText="1"/>
    </xf>
    <xf numFmtId="4" fontId="7" fillId="34"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4" fontId="2" fillId="34" borderId="20" xfId="0" applyNumberFormat="1" applyFont="1" applyFill="1" applyBorder="1" applyAlignment="1">
      <alignment horizontal="right" vertical="center" wrapText="1"/>
    </xf>
    <xf numFmtId="4" fontId="2" fillId="34" borderId="10" xfId="0" applyNumberFormat="1" applyFont="1" applyFill="1" applyBorder="1" applyAlignment="1">
      <alignment horizontal="right" vertical="center" wrapText="1"/>
    </xf>
    <xf numFmtId="0" fontId="2" fillId="34" borderId="14" xfId="0" applyFont="1" applyFill="1" applyBorder="1" applyAlignment="1">
      <alignment vertical="center" wrapText="1"/>
    </xf>
    <xf numFmtId="49" fontId="2" fillId="34" borderId="10" xfId="53" applyNumberFormat="1" applyFont="1" applyFill="1" applyBorder="1" applyAlignment="1" quotePrefix="1">
      <alignment horizontal="center" vertical="center" wrapText="1"/>
      <protection/>
    </xf>
    <xf numFmtId="0" fontId="2" fillId="34" borderId="10" xfId="53" applyFont="1" applyFill="1" applyBorder="1" applyAlignment="1" quotePrefix="1">
      <alignment horizontal="center" vertical="center" wrapText="1"/>
      <protection/>
    </xf>
    <xf numFmtId="49" fontId="2" fillId="34" borderId="10" xfId="53" applyNumberFormat="1" applyFont="1" applyFill="1" applyBorder="1" applyAlignment="1">
      <alignment horizontal="center" vertical="center" wrapText="1"/>
      <protection/>
    </xf>
    <xf numFmtId="0" fontId="2" fillId="34" borderId="10" xfId="53" applyFont="1" applyFill="1" applyBorder="1" applyAlignment="1">
      <alignment vertical="center" wrapText="1"/>
      <protection/>
    </xf>
    <xf numFmtId="4" fontId="2" fillId="34" borderId="13" xfId="0" applyNumberFormat="1" applyFont="1" applyFill="1" applyBorder="1" applyAlignment="1">
      <alignment vertical="center" wrapText="1"/>
    </xf>
    <xf numFmtId="0" fontId="2" fillId="34" borderId="19" xfId="0" applyFont="1" applyFill="1" applyBorder="1" applyAlignment="1">
      <alignment vertical="center" wrapText="1"/>
    </xf>
    <xf numFmtId="0" fontId="2" fillId="34" borderId="13" xfId="0" applyFont="1" applyFill="1" applyBorder="1" applyAlignment="1">
      <alignment vertical="center" wrapText="1"/>
    </xf>
    <xf numFmtId="49" fontId="2" fillId="34" borderId="13" xfId="0" applyNumberFormat="1" applyFont="1" applyFill="1" applyBorder="1" applyAlignment="1">
      <alignment horizontal="center" vertical="center" wrapText="1"/>
    </xf>
    <xf numFmtId="0" fontId="2" fillId="34" borderId="13" xfId="0" applyFont="1" applyFill="1" applyBorder="1" applyAlignment="1" quotePrefix="1">
      <alignment horizontal="center" vertical="center" wrapText="1"/>
    </xf>
    <xf numFmtId="0" fontId="39" fillId="34" borderId="10" xfId="0" applyFont="1" applyFill="1" applyBorder="1" applyAlignment="1">
      <alignment wrapText="1"/>
    </xf>
    <xf numFmtId="49" fontId="2" fillId="34" borderId="10" xfId="0" applyNumberFormat="1" applyFont="1" applyFill="1" applyBorder="1" applyAlignment="1" applyProtection="1">
      <alignment horizontal="center" vertical="center" wrapText="1"/>
      <protection/>
    </xf>
    <xf numFmtId="4" fontId="7" fillId="32" borderId="11" xfId="0" applyNumberFormat="1" applyFont="1" applyFill="1" applyBorder="1" applyAlignment="1">
      <alignment vertical="center" wrapText="1"/>
    </xf>
    <xf numFmtId="49" fontId="50" fillId="0" borderId="10" xfId="0" applyNumberFormat="1" applyFont="1" applyBorder="1" applyAlignment="1" quotePrefix="1">
      <alignment horizontal="center" vertical="center" wrapText="1"/>
    </xf>
    <xf numFmtId="0" fontId="50" fillId="0" borderId="10" xfId="0" applyFont="1" applyBorder="1" applyAlignment="1" quotePrefix="1">
      <alignment horizontal="center" vertical="center" wrapText="1"/>
    </xf>
    <xf numFmtId="49" fontId="50" fillId="0" borderId="10" xfId="0" applyNumberFormat="1" applyFont="1" applyBorder="1" applyAlignment="1">
      <alignment horizontal="center" vertical="center" wrapText="1"/>
    </xf>
    <xf numFmtId="2" fontId="50" fillId="0" borderId="10" xfId="0" applyNumberFormat="1" applyFont="1" applyBorder="1" applyAlignment="1">
      <alignment vertical="center" wrapText="1"/>
    </xf>
    <xf numFmtId="4" fontId="50" fillId="32" borderId="10" xfId="0" applyNumberFormat="1" applyFont="1" applyFill="1" applyBorder="1" applyAlignment="1">
      <alignment vertical="center" wrapText="1"/>
    </xf>
    <xf numFmtId="4" fontId="50" fillId="0" borderId="10" xfId="0" applyNumberFormat="1" applyFont="1" applyBorder="1" applyAlignment="1">
      <alignment vertical="center" wrapText="1"/>
    </xf>
    <xf numFmtId="4" fontId="50" fillId="33" borderId="10" xfId="0" applyNumberFormat="1" applyFont="1" applyFill="1" applyBorder="1" applyAlignment="1">
      <alignment vertical="center" wrapText="1"/>
    </xf>
    <xf numFmtId="4" fontId="50" fillId="0" borderId="10" xfId="0" applyNumberFormat="1" applyFont="1" applyFill="1" applyBorder="1" applyAlignment="1">
      <alignment vertical="center" wrapText="1"/>
    </xf>
    <xf numFmtId="4" fontId="50" fillId="32" borderId="11" xfId="0" applyNumberFormat="1" applyFont="1" applyFill="1" applyBorder="1" applyAlignment="1">
      <alignment vertical="center" wrapText="1"/>
    </xf>
    <xf numFmtId="4" fontId="51" fillId="4" borderId="0" xfId="0" applyNumberFormat="1" applyFont="1" applyFill="1" applyBorder="1" applyAlignment="1">
      <alignment vertical="center" wrapText="1"/>
    </xf>
    <xf numFmtId="0" fontId="50" fillId="0" borderId="0" xfId="0" applyFont="1" applyBorder="1" applyAlignment="1">
      <alignment vertical="center" wrapText="1"/>
    </xf>
    <xf numFmtId="0" fontId="50" fillId="0" borderId="0" xfId="0" applyFont="1" applyAlignment="1">
      <alignment vertical="center" wrapText="1"/>
    </xf>
    <xf numFmtId="4" fontId="52" fillId="4" borderId="0" xfId="0" applyNumberFormat="1" applyFont="1" applyFill="1" applyBorder="1" applyAlignment="1">
      <alignment vertical="center" wrapText="1"/>
    </xf>
    <xf numFmtId="4" fontId="29" fillId="0" borderId="0" xfId="0" applyNumberFormat="1" applyFont="1" applyAlignment="1">
      <alignment horizontal="center" vertical="center" wrapText="1"/>
    </xf>
    <xf numFmtId="0" fontId="33" fillId="0" borderId="0" xfId="0" applyFont="1" applyBorder="1" applyAlignment="1">
      <alignment horizontal="left" vertical="center" wrapText="1"/>
    </xf>
    <xf numFmtId="4" fontId="21"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4" fontId="1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 fontId="11" fillId="32" borderId="11" xfId="0" applyNumberFormat="1" applyFont="1" applyFill="1" applyBorder="1" applyAlignment="1">
      <alignment horizontal="center" vertical="center" wrapText="1"/>
    </xf>
    <xf numFmtId="4" fontId="11" fillId="0" borderId="11" xfId="0" applyNumberFormat="1" applyFont="1" applyBorder="1" applyAlignment="1">
      <alignment horizontal="center" vertical="center" wrapText="1"/>
    </xf>
    <xf numFmtId="4" fontId="11" fillId="0" borderId="0" xfId="0" applyNumberFormat="1" applyFont="1" applyAlignment="1">
      <alignment horizontal="left" vertical="center" wrapText="1"/>
    </xf>
    <xf numFmtId="4" fontId="33" fillId="0" borderId="10" xfId="0" applyNumberFormat="1" applyFont="1" applyBorder="1" applyAlignment="1">
      <alignment horizontal="center"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4" fontId="21" fillId="0" borderId="11"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3" fillId="0" borderId="0" xfId="0" applyNumberFormat="1" applyFont="1" applyFill="1" applyAlignment="1" applyProtection="1">
      <alignment horizontal="right" vertical="center" wrapText="1"/>
      <protection/>
    </xf>
    <xf numFmtId="0" fontId="3" fillId="0" borderId="0" xfId="0" applyFont="1" applyAlignment="1">
      <alignment horizontal="right" vertical="center" wrapText="1"/>
    </xf>
    <xf numFmtId="0" fontId="11" fillId="0" borderId="0" xfId="0" applyFont="1" applyAlignment="1">
      <alignment horizontal="left" vertical="center" wrapText="1"/>
    </xf>
    <xf numFmtId="4" fontId="11" fillId="0"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4" fontId="11" fillId="0" borderId="12"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0" fontId="3" fillId="0" borderId="0" xfId="0" applyNumberFormat="1" applyFont="1" applyFill="1" applyAlignment="1" applyProtection="1">
      <alignment horizontal="left" vertical="center" wrapText="1"/>
      <protection/>
    </xf>
    <xf numFmtId="4" fontId="11" fillId="32" borderId="10"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1_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sheetNames>
    <sheetDataSet>
      <sheetData sheetId="0">
        <row r="208">
          <cell r="C208">
            <v>2889981292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07"/>
  <sheetViews>
    <sheetView tabSelected="1" view="pageBreakPreview" zoomScale="66" zoomScaleNormal="75" zoomScaleSheetLayoutView="66" zoomScalePageLayoutView="0" workbookViewId="0" topLeftCell="E1">
      <pane ySplit="13" topLeftCell="A328" activePane="bottomLeft" state="frozen"/>
      <selection pane="topLeft" activeCell="A1" sqref="A1"/>
      <selection pane="bottomLeft" activeCell="O331" sqref="O331"/>
    </sheetView>
  </sheetViews>
  <sheetFormatPr defaultColWidth="9.00390625" defaultRowHeight="12.75"/>
  <cols>
    <col min="1" max="1" width="12.00390625" style="70" customWidth="1"/>
    <col min="2" max="2" width="10.625" style="71" customWidth="1"/>
    <col min="3" max="3" width="12.75390625" style="70" customWidth="1"/>
    <col min="4" max="4" width="58.625" style="6" customWidth="1"/>
    <col min="5" max="5" width="22.375" style="72" customWidth="1"/>
    <col min="6" max="6" width="21.875" style="72" customWidth="1"/>
    <col min="7" max="10" width="18.75390625" style="72" customWidth="1"/>
    <col min="11" max="11" width="19.875" style="101" customWidth="1"/>
    <col min="12" max="12" width="18.375" style="72" customWidth="1"/>
    <col min="13" max="13" width="17.375" style="72" customWidth="1"/>
    <col min="14" max="14" width="16.00390625" style="72" customWidth="1"/>
    <col min="15" max="15" width="19.00390625" style="101" customWidth="1"/>
    <col min="16" max="16" width="21.75390625" style="72" customWidth="1"/>
    <col min="17" max="17" width="27.125" style="96" customWidth="1"/>
    <col min="18" max="18" width="25.125" style="96" customWidth="1"/>
    <col min="19" max="19" width="17.625" style="73" bestFit="1" customWidth="1"/>
    <col min="20" max="20" width="14.625" style="73" bestFit="1" customWidth="1"/>
    <col min="21" max="21" width="23.25390625" style="6" customWidth="1"/>
    <col min="22" max="16384" width="9.125" style="6" customWidth="1"/>
  </cols>
  <sheetData>
    <row r="1" spans="12:16" ht="15.75">
      <c r="L1" s="357" t="s">
        <v>124</v>
      </c>
      <c r="M1" s="367"/>
      <c r="N1" s="367"/>
      <c r="O1" s="367"/>
      <c r="P1" s="367"/>
    </row>
    <row r="2" spans="12:16" ht="24" customHeight="1">
      <c r="L2" s="357" t="s">
        <v>125</v>
      </c>
      <c r="M2" s="357"/>
      <c r="N2" s="357"/>
      <c r="O2" s="357"/>
      <c r="P2" s="357"/>
    </row>
    <row r="3" spans="2:18" ht="24" customHeight="1">
      <c r="B3" s="72"/>
      <c r="L3" s="357" t="s">
        <v>669</v>
      </c>
      <c r="M3" s="357"/>
      <c r="N3" s="357"/>
      <c r="O3" s="357"/>
      <c r="P3" s="357"/>
      <c r="Q3" s="261"/>
      <c r="R3" s="261"/>
    </row>
    <row r="4" spans="2:18" ht="24" customHeight="1">
      <c r="B4" s="72"/>
      <c r="L4" s="357" t="s">
        <v>670</v>
      </c>
      <c r="M4" s="357"/>
      <c r="N4" s="357"/>
      <c r="O4" s="357"/>
      <c r="P4" s="357"/>
      <c r="Q4" s="261"/>
      <c r="R4" s="261"/>
    </row>
    <row r="5" spans="2:18" ht="33" customHeight="1">
      <c r="B5" s="74"/>
      <c r="D5" s="75"/>
      <c r="L5" s="357" t="s">
        <v>671</v>
      </c>
      <c r="M5" s="357"/>
      <c r="N5" s="357"/>
      <c r="O5" s="357"/>
      <c r="P5" s="357"/>
      <c r="Q5" s="262"/>
      <c r="R5" s="261"/>
    </row>
    <row r="6" spans="1:18" ht="30.75">
      <c r="A6" s="369" t="s">
        <v>269</v>
      </c>
      <c r="B6" s="369"/>
      <c r="C6" s="369"/>
      <c r="D6" s="369"/>
      <c r="E6" s="369"/>
      <c r="F6" s="369"/>
      <c r="G6" s="369"/>
      <c r="H6" s="369"/>
      <c r="I6" s="369"/>
      <c r="J6" s="369"/>
      <c r="K6" s="369"/>
      <c r="L6" s="369"/>
      <c r="M6" s="369"/>
      <c r="N6" s="369"/>
      <c r="O6" s="369"/>
      <c r="P6" s="369"/>
      <c r="Q6" s="261"/>
      <c r="R6" s="261"/>
    </row>
    <row r="7" spans="1:18" ht="30.75">
      <c r="A7" s="351" t="s">
        <v>668</v>
      </c>
      <c r="B7" s="351"/>
      <c r="C7" s="351"/>
      <c r="D7" s="351"/>
      <c r="E7" s="351"/>
      <c r="F7" s="351"/>
      <c r="G7" s="351"/>
      <c r="H7" s="351"/>
      <c r="I7" s="351"/>
      <c r="J7" s="351"/>
      <c r="K7" s="351"/>
      <c r="L7" s="351"/>
      <c r="M7" s="351"/>
      <c r="N7" s="351"/>
      <c r="O7" s="351"/>
      <c r="P7" s="351"/>
      <c r="Q7" s="261"/>
      <c r="R7" s="261"/>
    </row>
    <row r="8" spans="16:18" ht="20.25">
      <c r="P8" s="77" t="s">
        <v>266</v>
      </c>
      <c r="Q8" s="261"/>
      <c r="R8" s="261"/>
    </row>
    <row r="9" spans="1:16" ht="31.5" customHeight="1">
      <c r="A9" s="354" t="s">
        <v>259</v>
      </c>
      <c r="B9" s="353" t="s">
        <v>261</v>
      </c>
      <c r="C9" s="354" t="s">
        <v>262</v>
      </c>
      <c r="D9" s="353" t="s">
        <v>263</v>
      </c>
      <c r="E9" s="352" t="s">
        <v>270</v>
      </c>
      <c r="F9" s="352"/>
      <c r="G9" s="352"/>
      <c r="H9" s="352"/>
      <c r="I9" s="352"/>
      <c r="J9" s="356" t="s">
        <v>276</v>
      </c>
      <c r="K9" s="370"/>
      <c r="L9" s="370"/>
      <c r="M9" s="370"/>
      <c r="N9" s="370"/>
      <c r="O9" s="371"/>
      <c r="P9" s="355" t="s">
        <v>277</v>
      </c>
    </row>
    <row r="10" spans="1:16" ht="38.25" customHeight="1">
      <c r="A10" s="354"/>
      <c r="B10" s="353"/>
      <c r="C10" s="354"/>
      <c r="D10" s="353"/>
      <c r="E10" s="373" t="s">
        <v>264</v>
      </c>
      <c r="F10" s="352" t="s">
        <v>271</v>
      </c>
      <c r="G10" s="352" t="s">
        <v>272</v>
      </c>
      <c r="H10" s="352"/>
      <c r="I10" s="352" t="s">
        <v>275</v>
      </c>
      <c r="J10" s="373" t="s">
        <v>264</v>
      </c>
      <c r="K10" s="374" t="s">
        <v>265</v>
      </c>
      <c r="L10" s="352" t="s">
        <v>271</v>
      </c>
      <c r="M10" s="352" t="s">
        <v>272</v>
      </c>
      <c r="N10" s="352"/>
      <c r="O10" s="368" t="s">
        <v>275</v>
      </c>
      <c r="P10" s="356"/>
    </row>
    <row r="11" spans="1:16" ht="30.75" customHeight="1">
      <c r="A11" s="354"/>
      <c r="B11" s="353"/>
      <c r="C11" s="354"/>
      <c r="D11" s="353"/>
      <c r="E11" s="352"/>
      <c r="F11" s="352"/>
      <c r="G11" s="352" t="s">
        <v>273</v>
      </c>
      <c r="H11" s="352" t="s">
        <v>274</v>
      </c>
      <c r="I11" s="352"/>
      <c r="J11" s="352"/>
      <c r="K11" s="375"/>
      <c r="L11" s="352"/>
      <c r="M11" s="352" t="s">
        <v>273</v>
      </c>
      <c r="N11" s="352" t="s">
        <v>274</v>
      </c>
      <c r="O11" s="368"/>
      <c r="P11" s="356"/>
    </row>
    <row r="12" spans="1:16" ht="40.5" customHeight="1">
      <c r="A12" s="354"/>
      <c r="B12" s="353"/>
      <c r="C12" s="354"/>
      <c r="D12" s="353"/>
      <c r="E12" s="352"/>
      <c r="F12" s="352"/>
      <c r="G12" s="352"/>
      <c r="H12" s="352"/>
      <c r="I12" s="352"/>
      <c r="J12" s="352"/>
      <c r="K12" s="376"/>
      <c r="L12" s="352"/>
      <c r="M12" s="352"/>
      <c r="N12" s="352"/>
      <c r="O12" s="368"/>
      <c r="P12" s="356"/>
    </row>
    <row r="13" spans="1:20" s="80" customFormat="1" ht="15.75">
      <c r="A13" s="15">
        <v>1</v>
      </c>
      <c r="B13" s="10">
        <v>2</v>
      </c>
      <c r="C13" s="15">
        <v>3</v>
      </c>
      <c r="D13" s="2">
        <v>4</v>
      </c>
      <c r="E13" s="9">
        <v>5</v>
      </c>
      <c r="F13" s="10">
        <v>6</v>
      </c>
      <c r="G13" s="10">
        <v>7</v>
      </c>
      <c r="H13" s="10">
        <v>8</v>
      </c>
      <c r="I13" s="10">
        <v>9</v>
      </c>
      <c r="J13" s="9">
        <v>10</v>
      </c>
      <c r="K13" s="11">
        <v>11</v>
      </c>
      <c r="L13" s="10">
        <v>12</v>
      </c>
      <c r="M13" s="10">
        <v>13</v>
      </c>
      <c r="N13" s="10">
        <v>14</v>
      </c>
      <c r="O13" s="11">
        <v>15</v>
      </c>
      <c r="P13" s="16">
        <v>16</v>
      </c>
      <c r="Q13" s="78"/>
      <c r="R13" s="79" t="s">
        <v>3</v>
      </c>
      <c r="S13" s="79" t="s">
        <v>4</v>
      </c>
      <c r="T13" s="79" t="s">
        <v>5</v>
      </c>
    </row>
    <row r="14" spans="1:20" s="138" customFormat="1" ht="88.5" customHeight="1">
      <c r="A14" s="130" t="s">
        <v>278</v>
      </c>
      <c r="B14" s="134"/>
      <c r="C14" s="128"/>
      <c r="D14" s="135" t="s">
        <v>239</v>
      </c>
      <c r="E14" s="108">
        <f aca="true" t="shared" si="0" ref="E14:E23">F14+I14</f>
        <v>32571554</v>
      </c>
      <c r="F14" s="108">
        <f>SUM(F15)</f>
        <v>32571554</v>
      </c>
      <c r="G14" s="108">
        <f>SUM(G15)</f>
        <v>17479267</v>
      </c>
      <c r="H14" s="108">
        <f>SUM(H15)</f>
        <v>1152897</v>
      </c>
      <c r="I14" s="108">
        <f>SUM(I15)</f>
        <v>0</v>
      </c>
      <c r="J14" s="108">
        <f>L14+O14</f>
        <v>2782000</v>
      </c>
      <c r="K14" s="108">
        <f>SUM(K15)</f>
        <v>2782000</v>
      </c>
      <c r="L14" s="108">
        <f>SUM(L15)</f>
        <v>0</v>
      </c>
      <c r="M14" s="108">
        <f>SUM(M15)</f>
        <v>0</v>
      </c>
      <c r="N14" s="108">
        <f>SUM(N15)</f>
        <v>0</v>
      </c>
      <c r="O14" s="108">
        <f>SUM(O15)</f>
        <v>2782000</v>
      </c>
      <c r="P14" s="136">
        <f aca="true" t="shared" si="1" ref="P14:P69">E14+J14</f>
        <v>35353554</v>
      </c>
      <c r="Q14" s="223"/>
      <c r="R14" s="226"/>
      <c r="S14" s="137"/>
      <c r="T14" s="137"/>
    </row>
    <row r="15" spans="1:20" s="203" customFormat="1" ht="30" customHeight="1">
      <c r="A15" s="195" t="s">
        <v>279</v>
      </c>
      <c r="B15" s="196"/>
      <c r="C15" s="197"/>
      <c r="D15" s="198" t="s">
        <v>15</v>
      </c>
      <c r="E15" s="199">
        <f t="shared" si="0"/>
        <v>32571554</v>
      </c>
      <c r="F15" s="199">
        <f>SUM(F16+F17+F19+F18)</f>
        <v>32571554</v>
      </c>
      <c r="G15" s="199">
        <f>SUM(G16+G17+G19+G18)</f>
        <v>17479267</v>
      </c>
      <c r="H15" s="199">
        <f>SUM(H16+H17+H19+H18)</f>
        <v>1152897</v>
      </c>
      <c r="I15" s="199">
        <f>SUM(I16+I17+I19+I18)</f>
        <v>0</v>
      </c>
      <c r="J15" s="200">
        <f>L15+O15</f>
        <v>2782000</v>
      </c>
      <c r="K15" s="200">
        <f>L15+O15</f>
        <v>2782000</v>
      </c>
      <c r="L15" s="200">
        <f>SUM(L16+L17+L19+L18)</f>
        <v>0</v>
      </c>
      <c r="M15" s="200">
        <f>SUM(M16+M17+M19+M18)</f>
        <v>0</v>
      </c>
      <c r="N15" s="200">
        <f>SUM(N16+N17+N19+N18)</f>
        <v>0</v>
      </c>
      <c r="O15" s="200">
        <f>SUM(O16+O17+O19+O18)</f>
        <v>2782000</v>
      </c>
      <c r="P15" s="201">
        <f t="shared" si="1"/>
        <v>35353554</v>
      </c>
      <c r="Q15" s="223"/>
      <c r="R15" s="227"/>
      <c r="S15" s="202"/>
      <c r="T15" s="202"/>
    </row>
    <row r="16" spans="1:20" s="59" customFormat="1" ht="65.25" customHeight="1">
      <c r="A16" s="52" t="s">
        <v>280</v>
      </c>
      <c r="B16" s="53" t="s">
        <v>282</v>
      </c>
      <c r="C16" s="52" t="s">
        <v>281</v>
      </c>
      <c r="D16" s="50" t="s">
        <v>283</v>
      </c>
      <c r="E16" s="54">
        <f t="shared" si="0"/>
        <v>26280853</v>
      </c>
      <c r="F16" s="55">
        <f>25329231+200000+100000+7000+380000+5000+122000-212476+151280+200000+150000-5000-220000+73818</f>
        <v>26280853</v>
      </c>
      <c r="G16" s="55">
        <f>16896785+100000+124000+122950+27050+208482</f>
        <v>17479267</v>
      </c>
      <c r="H16" s="55">
        <f>1545904-212476-180531</f>
        <v>1152897</v>
      </c>
      <c r="I16" s="55">
        <v>0</v>
      </c>
      <c r="J16" s="56">
        <f aca="true" t="shared" si="2" ref="J16:J69">L16+O16</f>
        <v>2082000</v>
      </c>
      <c r="K16" s="66">
        <f>1200000-100000+89000+106000+12000+550000+5000+220000</f>
        <v>2082000</v>
      </c>
      <c r="L16" s="55">
        <v>0</v>
      </c>
      <c r="M16" s="55">
        <v>0</v>
      </c>
      <c r="N16" s="55">
        <v>0</v>
      </c>
      <c r="O16" s="66">
        <f>1200000-100000+89000+106000+12000+550000+5000+220000</f>
        <v>2082000</v>
      </c>
      <c r="P16" s="58">
        <f t="shared" si="1"/>
        <v>28362853</v>
      </c>
      <c r="Q16" s="223"/>
      <c r="R16" s="96"/>
      <c r="S16" s="83"/>
      <c r="T16" s="83"/>
    </row>
    <row r="17" spans="1:20" s="59" customFormat="1" ht="23.25" customHeight="1">
      <c r="A17" s="52" t="s">
        <v>284</v>
      </c>
      <c r="B17" s="53" t="s">
        <v>286</v>
      </c>
      <c r="C17" s="52" t="s">
        <v>285</v>
      </c>
      <c r="D17" s="50" t="s">
        <v>287</v>
      </c>
      <c r="E17" s="54">
        <f t="shared" si="0"/>
        <v>686600</v>
      </c>
      <c r="F17" s="55">
        <f>498600-35000+281000-90000+20000+12000</f>
        <v>686600</v>
      </c>
      <c r="G17" s="55">
        <v>0</v>
      </c>
      <c r="H17" s="55">
        <v>0</v>
      </c>
      <c r="I17" s="55">
        <v>0</v>
      </c>
      <c r="J17" s="56">
        <f t="shared" si="2"/>
        <v>0</v>
      </c>
      <c r="K17" s="66"/>
      <c r="L17" s="55">
        <v>0</v>
      </c>
      <c r="M17" s="55">
        <v>0</v>
      </c>
      <c r="N17" s="55">
        <v>0</v>
      </c>
      <c r="O17" s="66">
        <v>0</v>
      </c>
      <c r="P17" s="58">
        <f t="shared" si="1"/>
        <v>686600</v>
      </c>
      <c r="Q17" s="223"/>
      <c r="R17" s="96"/>
      <c r="S17" s="83"/>
      <c r="T17" s="83"/>
    </row>
    <row r="18" spans="1:20" s="59" customFormat="1" ht="30" customHeight="1">
      <c r="A18" s="150" t="s">
        <v>61</v>
      </c>
      <c r="B18" s="150" t="s">
        <v>62</v>
      </c>
      <c r="C18" s="151" t="s">
        <v>380</v>
      </c>
      <c r="D18" s="152" t="s">
        <v>63</v>
      </c>
      <c r="E18" s="153">
        <f t="shared" si="0"/>
        <v>227796</v>
      </c>
      <c r="F18" s="55">
        <f>156000+71796</f>
        <v>227796</v>
      </c>
      <c r="G18" s="55"/>
      <c r="H18" s="55"/>
      <c r="I18" s="55">
        <v>0</v>
      </c>
      <c r="J18" s="56">
        <f t="shared" si="2"/>
        <v>0</v>
      </c>
      <c r="K18" s="66"/>
      <c r="L18" s="55"/>
      <c r="M18" s="55"/>
      <c r="N18" s="55"/>
      <c r="O18" s="66"/>
      <c r="P18" s="58">
        <f t="shared" si="1"/>
        <v>227796</v>
      </c>
      <c r="Q18" s="223"/>
      <c r="R18" s="96"/>
      <c r="S18" s="83"/>
      <c r="T18" s="83"/>
    </row>
    <row r="19" spans="1:20" s="59" customFormat="1" ht="27" customHeight="1">
      <c r="A19" s="52" t="s">
        <v>288</v>
      </c>
      <c r="B19" s="53" t="s">
        <v>290</v>
      </c>
      <c r="C19" s="52" t="s">
        <v>289</v>
      </c>
      <c r="D19" s="50" t="s">
        <v>291</v>
      </c>
      <c r="E19" s="54">
        <f t="shared" si="0"/>
        <v>5376305</v>
      </c>
      <c r="F19" s="55">
        <f>5610300-233995</f>
        <v>5376305</v>
      </c>
      <c r="G19" s="55"/>
      <c r="H19" s="55">
        <v>0</v>
      </c>
      <c r="I19" s="55">
        <v>0</v>
      </c>
      <c r="J19" s="56">
        <f t="shared" si="2"/>
        <v>700000</v>
      </c>
      <c r="K19" s="66">
        <f>500000+200000</f>
        <v>700000</v>
      </c>
      <c r="L19" s="55">
        <v>0</v>
      </c>
      <c r="M19" s="55">
        <v>0</v>
      </c>
      <c r="N19" s="55"/>
      <c r="O19" s="66">
        <f>500000+200000</f>
        <v>700000</v>
      </c>
      <c r="P19" s="58">
        <f t="shared" si="1"/>
        <v>6076305</v>
      </c>
      <c r="Q19" s="223"/>
      <c r="R19" s="96"/>
      <c r="S19" s="83"/>
      <c r="T19" s="83"/>
    </row>
    <row r="20" spans="1:20" s="138" customFormat="1" ht="75.75" customHeight="1">
      <c r="A20" s="130" t="s">
        <v>292</v>
      </c>
      <c r="B20" s="134"/>
      <c r="C20" s="128"/>
      <c r="D20" s="135" t="s">
        <v>293</v>
      </c>
      <c r="E20" s="108">
        <f t="shared" si="0"/>
        <v>2006703</v>
      </c>
      <c r="F20" s="108">
        <f>SUM(F21)</f>
        <v>2006703</v>
      </c>
      <c r="G20" s="108">
        <f>SUM(G21)</f>
        <v>1295478</v>
      </c>
      <c r="H20" s="108">
        <f>SUM(H21)</f>
        <v>278399</v>
      </c>
      <c r="I20" s="108">
        <f>SUM(I21)</f>
        <v>0</v>
      </c>
      <c r="J20" s="108">
        <f t="shared" si="2"/>
        <v>10000</v>
      </c>
      <c r="K20" s="108">
        <f>SUM(K21)</f>
        <v>0</v>
      </c>
      <c r="L20" s="108">
        <f>SUM(L21)</f>
        <v>10000</v>
      </c>
      <c r="M20" s="108">
        <f>SUM(M21)</f>
        <v>0</v>
      </c>
      <c r="N20" s="108">
        <f>SUM(N21)</f>
        <v>0</v>
      </c>
      <c r="O20" s="108">
        <f>SUM(O21)</f>
        <v>0</v>
      </c>
      <c r="P20" s="136">
        <f t="shared" si="1"/>
        <v>2016703</v>
      </c>
      <c r="Q20" s="223"/>
      <c r="R20" s="226"/>
      <c r="S20" s="137"/>
      <c r="T20" s="137"/>
    </row>
    <row r="21" spans="1:20" s="203" customFormat="1" ht="28.5" customHeight="1">
      <c r="A21" s="195" t="s">
        <v>294</v>
      </c>
      <c r="B21" s="196"/>
      <c r="C21" s="197"/>
      <c r="D21" s="198" t="s">
        <v>16</v>
      </c>
      <c r="E21" s="199">
        <f t="shared" si="0"/>
        <v>2006703</v>
      </c>
      <c r="F21" s="199">
        <f>SUM(F22+F23)</f>
        <v>2006703</v>
      </c>
      <c r="G21" s="199">
        <f>SUM(G22+G23)</f>
        <v>1295478</v>
      </c>
      <c r="H21" s="199">
        <f>SUM(H22+H23)</f>
        <v>278399</v>
      </c>
      <c r="I21" s="199">
        <f>SUM(I22+I23)</f>
        <v>0</v>
      </c>
      <c r="J21" s="200">
        <f t="shared" si="2"/>
        <v>10000</v>
      </c>
      <c r="K21" s="200">
        <f>K22</f>
        <v>0</v>
      </c>
      <c r="L21" s="200">
        <f>L22</f>
        <v>10000</v>
      </c>
      <c r="M21" s="200">
        <f>SUM(M22+M23)</f>
        <v>0</v>
      </c>
      <c r="N21" s="200">
        <f>SUM(N22+N23)</f>
        <v>0</v>
      </c>
      <c r="O21" s="200">
        <f>SUM(O22+O23)</f>
        <v>0</v>
      </c>
      <c r="P21" s="201">
        <f t="shared" si="1"/>
        <v>2016703</v>
      </c>
      <c r="Q21" s="223"/>
      <c r="R21" s="227"/>
      <c r="S21" s="202"/>
      <c r="T21" s="202"/>
    </row>
    <row r="22" spans="1:20" s="59" customFormat="1" ht="39.75" customHeight="1">
      <c r="A22" s="52" t="s">
        <v>295</v>
      </c>
      <c r="B22" s="53" t="s">
        <v>296</v>
      </c>
      <c r="C22" s="52" t="s">
        <v>281</v>
      </c>
      <c r="D22" s="50" t="s">
        <v>297</v>
      </c>
      <c r="E22" s="54">
        <f t="shared" si="0"/>
        <v>1886703</v>
      </c>
      <c r="F22" s="55">
        <f>1880108+6595</f>
        <v>1886703</v>
      </c>
      <c r="G22" s="55">
        <v>1295478</v>
      </c>
      <c r="H22" s="55">
        <v>278399</v>
      </c>
      <c r="I22" s="55">
        <v>0</v>
      </c>
      <c r="J22" s="56">
        <f t="shared" si="2"/>
        <v>10000</v>
      </c>
      <c r="K22" s="66"/>
      <c r="L22" s="55">
        <v>10000</v>
      </c>
      <c r="M22" s="55"/>
      <c r="N22" s="55"/>
      <c r="O22" s="66">
        <v>0</v>
      </c>
      <c r="P22" s="58">
        <f t="shared" si="1"/>
        <v>1896703</v>
      </c>
      <c r="Q22" s="223"/>
      <c r="R22" s="96"/>
      <c r="S22" s="83"/>
      <c r="T22" s="83"/>
    </row>
    <row r="23" spans="1:20" s="59" customFormat="1" ht="25.5" customHeight="1">
      <c r="A23" s="52" t="s">
        <v>298</v>
      </c>
      <c r="B23" s="53" t="s">
        <v>286</v>
      </c>
      <c r="C23" s="52" t="s">
        <v>285</v>
      </c>
      <c r="D23" s="50" t="s">
        <v>287</v>
      </c>
      <c r="E23" s="54">
        <f t="shared" si="0"/>
        <v>120000</v>
      </c>
      <c r="F23" s="55">
        <f>80000+40000</f>
        <v>120000</v>
      </c>
      <c r="G23" s="55"/>
      <c r="H23" s="55"/>
      <c r="I23" s="55"/>
      <c r="J23" s="56">
        <f t="shared" si="2"/>
        <v>0</v>
      </c>
      <c r="K23" s="66"/>
      <c r="L23" s="55">
        <v>0</v>
      </c>
      <c r="M23" s="55">
        <v>0</v>
      </c>
      <c r="N23" s="55">
        <v>0</v>
      </c>
      <c r="O23" s="66">
        <v>0</v>
      </c>
      <c r="P23" s="58">
        <f t="shared" si="1"/>
        <v>120000</v>
      </c>
      <c r="Q23" s="223"/>
      <c r="R23" s="96"/>
      <c r="S23" s="83"/>
      <c r="T23" s="83"/>
    </row>
    <row r="24" spans="1:20" s="138" customFormat="1" ht="29.25" customHeight="1">
      <c r="A24" s="130" t="s">
        <v>299</v>
      </c>
      <c r="B24" s="134"/>
      <c r="C24" s="128"/>
      <c r="D24" s="135" t="s">
        <v>300</v>
      </c>
      <c r="E24" s="108">
        <f>E25</f>
        <v>897857289.5799999</v>
      </c>
      <c r="F24" s="108">
        <f aca="true" t="shared" si="3" ref="F24:P24">F25</f>
        <v>897857289.5799999</v>
      </c>
      <c r="G24" s="108">
        <f t="shared" si="3"/>
        <v>526979331.49</v>
      </c>
      <c r="H24" s="108">
        <f t="shared" si="3"/>
        <v>123428872.91999999</v>
      </c>
      <c r="I24" s="108">
        <f t="shared" si="3"/>
        <v>0</v>
      </c>
      <c r="J24" s="108">
        <f>L24+O24</f>
        <v>89202351.12</v>
      </c>
      <c r="K24" s="108">
        <f t="shared" si="3"/>
        <v>45129094.120000005</v>
      </c>
      <c r="L24" s="108">
        <f t="shared" si="3"/>
        <v>43652578</v>
      </c>
      <c r="M24" s="108">
        <f t="shared" si="3"/>
        <v>1442624</v>
      </c>
      <c r="N24" s="108">
        <f t="shared" si="3"/>
        <v>90824</v>
      </c>
      <c r="O24" s="108">
        <f t="shared" si="3"/>
        <v>45549773.120000005</v>
      </c>
      <c r="P24" s="136">
        <f t="shared" si="3"/>
        <v>987059640.6999999</v>
      </c>
      <c r="Q24" s="223"/>
      <c r="R24" s="226"/>
      <c r="S24" s="137"/>
      <c r="T24" s="137"/>
    </row>
    <row r="25" spans="1:20" s="203" customFormat="1" ht="32.25" customHeight="1">
      <c r="A25" s="195" t="s">
        <v>301</v>
      </c>
      <c r="B25" s="196"/>
      <c r="C25" s="197"/>
      <c r="D25" s="204" t="s">
        <v>302</v>
      </c>
      <c r="E25" s="199">
        <f aca="true" t="shared" si="4" ref="E25:E50">F25+I25</f>
        <v>897857289.5799999</v>
      </c>
      <c r="F25" s="199">
        <f>F26+F27+F28+F31+F41+F46+F47+F48+F49+F50+F54+F55+F56+F57+F63+F58+F60+F61+F64+F65+F66+F67+F68+F69+F70+F71+F72+F73+F74+F77+F78+F51+F43</f>
        <v>897857289.5799999</v>
      </c>
      <c r="G25" s="199">
        <f>G26+G27+G28+G31+G41+G46+G47+G48+G49+G50+G54+G55+G56+G57+G63+G58+G60+G61+G64+G65+G66+G67+G68+G69+G70+G71+G72+G73+G74+G77+G78+G51+G43</f>
        <v>526979331.49</v>
      </c>
      <c r="H25" s="199">
        <f>H26+H27+H28+H31+H41+H46+H47+H48+H49+H50+H54+H55+H56+H57+H63+H58+H60+H61+H64+H65+H66+H67+H68+H69+H70+H71+H72+H73+H74+H77+H78+H51+H43</f>
        <v>123428872.91999999</v>
      </c>
      <c r="I25" s="199">
        <f>I26+I27+I28+I31+I41+I46+I47+I48+I49+I50+I54+I55+I56+I57+I63+I58+I60+I61+I64+I65+I66+I67+I68+I69+I70+I71+I72+I73+I74+I77+I78+I51+I43</f>
        <v>0</v>
      </c>
      <c r="J25" s="200">
        <f>L25+O25</f>
        <v>89202351.12</v>
      </c>
      <c r="K25" s="200">
        <f>K26+K27+K28+K31+K41+K46+K47+K48+K49+K50+K54+K55+K56+K57+K63+K58+K60+K61+K64+K65+K66+K67+K68+K69+K70+K71+K72+K73+K74+K77+K78+K51+K43</f>
        <v>45129094.120000005</v>
      </c>
      <c r="L25" s="200">
        <f>L26+L27+L28+L31+L41+L46+L47+L48+L49+L50+L54+L55+L56+L57+L63+L58+L60+L61+L64+L65+L66+L67+L68+L69+L70+L71+L72+L73+L74+L77+L78+L51+L43</f>
        <v>43652578</v>
      </c>
      <c r="M25" s="200">
        <f>M26+M27+M28+M31+M41+M46+M47+M48+M49+M50+M54+M55+M56+M57+M63+M58+M60+M61+M64+M65+M66+M67+M68+M69+M70+M71+M72+M73+M74+M77+M78+M51+M43</f>
        <v>1442624</v>
      </c>
      <c r="N25" s="200">
        <f>N26+N27+N28+N31+N41+N46+N47+N48+N49+N50+N54+N55+N56+N57+N63+N58+N60+N61+N64+N65+N66+N67+N68+N69+N70+N71+N72+N73+N74+N77+N78+N51+N43</f>
        <v>90824</v>
      </c>
      <c r="O25" s="200">
        <f>O26+O27+O28+O31+O41+O46+O47+O48+O49+O50+O54+O55+O56+O57+O63+O58+O60+O61+O64+O65+O66+O67+O68+O69+O70+O71+O72+O73+O74+O77+O78+O51+O43</f>
        <v>45549773.120000005</v>
      </c>
      <c r="P25" s="201">
        <f>E25+J25</f>
        <v>987059640.6999999</v>
      </c>
      <c r="Q25" s="223">
        <f>K25-K72-K74-K77</f>
        <v>40927180.120000005</v>
      </c>
      <c r="R25" s="227"/>
      <c r="S25" s="202"/>
      <c r="T25" s="202"/>
    </row>
    <row r="26" spans="1:20" s="59" customFormat="1" ht="44.25" customHeight="1">
      <c r="A26" s="52" t="s">
        <v>303</v>
      </c>
      <c r="B26" s="53" t="s">
        <v>296</v>
      </c>
      <c r="C26" s="52" t="s">
        <v>281</v>
      </c>
      <c r="D26" s="50" t="s">
        <v>297</v>
      </c>
      <c r="E26" s="54">
        <f t="shared" si="4"/>
        <v>3521927</v>
      </c>
      <c r="F26" s="55">
        <f>3820827+15000-526860+120600+92360</f>
        <v>3521927</v>
      </c>
      <c r="G26" s="55">
        <f>2920726-413735+95500+71850</f>
        <v>2674341</v>
      </c>
      <c r="H26" s="55">
        <f>105646+15000-15000</f>
        <v>105646</v>
      </c>
      <c r="I26" s="55"/>
      <c r="J26" s="56">
        <f t="shared" si="2"/>
        <v>0</v>
      </c>
      <c r="K26" s="66"/>
      <c r="L26" s="55"/>
      <c r="M26" s="55"/>
      <c r="N26" s="55"/>
      <c r="O26" s="66"/>
      <c r="P26" s="58">
        <f t="shared" si="1"/>
        <v>3521927</v>
      </c>
      <c r="Q26" s="223"/>
      <c r="R26" s="96"/>
      <c r="S26" s="83"/>
      <c r="T26" s="83"/>
    </row>
    <row r="27" spans="1:20" s="59" customFormat="1" ht="23.25" customHeight="1">
      <c r="A27" s="52" t="s">
        <v>304</v>
      </c>
      <c r="B27" s="53" t="s">
        <v>286</v>
      </c>
      <c r="C27" s="52" t="s">
        <v>285</v>
      </c>
      <c r="D27" s="50" t="s">
        <v>287</v>
      </c>
      <c r="E27" s="54">
        <f t="shared" si="4"/>
        <v>385945</v>
      </c>
      <c r="F27" s="55">
        <f>271900+50000+40000+24045</f>
        <v>385945</v>
      </c>
      <c r="G27" s="55"/>
      <c r="H27" s="55"/>
      <c r="I27" s="55"/>
      <c r="J27" s="56">
        <f t="shared" si="2"/>
        <v>0</v>
      </c>
      <c r="K27" s="66"/>
      <c r="L27" s="55"/>
      <c r="M27" s="55"/>
      <c r="N27" s="55"/>
      <c r="O27" s="66"/>
      <c r="P27" s="58">
        <f t="shared" si="1"/>
        <v>385945</v>
      </c>
      <c r="Q27" s="223"/>
      <c r="R27" s="96"/>
      <c r="S27" s="83"/>
      <c r="T27" s="83"/>
    </row>
    <row r="28" spans="1:20" s="59" customFormat="1" ht="25.5" customHeight="1">
      <c r="A28" s="52" t="s">
        <v>305</v>
      </c>
      <c r="B28" s="53" t="s">
        <v>307</v>
      </c>
      <c r="C28" s="52" t="s">
        <v>306</v>
      </c>
      <c r="D28" s="50" t="s">
        <v>308</v>
      </c>
      <c r="E28" s="54">
        <f t="shared" si="4"/>
        <v>241425766.82999998</v>
      </c>
      <c r="F28" s="55">
        <f>225099900+17236.92+195438.36+5579271+108800+8279+180514-212791+561228+180000-542567+215180+199200+237292+10150+6600+48434.31-74860+130605-20000+19930+151798.06-25000+20902.89+144990.04+55758-294900+100000+105000+5000+6036037.72-983000+1278400+130000+27857.41+130499.88+10025-8637+1875900+8273+7190.24+37600-25000-55500+319081+422300+3350</f>
        <v>241425766.82999998</v>
      </c>
      <c r="G28" s="55">
        <f>133329600+3589129+57968+910100+1332200</f>
        <v>139218997</v>
      </c>
      <c r="H28" s="55">
        <f>31802000+168022+570706+180514-294900+6036037.72-8637+422300</f>
        <v>38876042.72</v>
      </c>
      <c r="I28" s="55"/>
      <c r="J28" s="56">
        <f>L28+O28</f>
        <v>24532537</v>
      </c>
      <c r="K28" s="66">
        <f>4382815+7000-1050000+16000-420000+46248+212791+38772+204820-180000+20450-10150-6600+6410+74860+984500+40920+81612+25000+60000+35000+1500000+9700-12211-21372+6727+20000+6200+60000</f>
        <v>6139492</v>
      </c>
      <c r="L28" s="55">
        <f>18393045</f>
        <v>18393045</v>
      </c>
      <c r="M28" s="55"/>
      <c r="N28" s="55"/>
      <c r="O28" s="66">
        <f>4382815+7000-1050000+16000-420000+46248+212791+38772+204820-180000+20450-10150-6600+6410+74860+984500+40920+81612+25000+60000+35000+1500000+9700-12211-21372+6727+20000+6200+60000</f>
        <v>6139492</v>
      </c>
      <c r="P28" s="58">
        <f t="shared" si="1"/>
        <v>265958303.82999998</v>
      </c>
      <c r="Q28" s="223"/>
      <c r="R28" s="96"/>
      <c r="S28" s="83"/>
      <c r="T28" s="83"/>
    </row>
    <row r="29" spans="1:20" s="82" customFormat="1" ht="46.5" customHeight="1">
      <c r="A29" s="18"/>
      <c r="B29" s="19"/>
      <c r="C29" s="18"/>
      <c r="D29" s="3" t="s">
        <v>243</v>
      </c>
      <c r="E29" s="22">
        <f t="shared" si="4"/>
        <v>108800</v>
      </c>
      <c r="F29" s="23">
        <f>108800</f>
        <v>108800</v>
      </c>
      <c r="G29" s="23">
        <f>57968</f>
        <v>57968</v>
      </c>
      <c r="H29" s="23"/>
      <c r="I29" s="23"/>
      <c r="J29" s="24"/>
      <c r="K29" s="48"/>
      <c r="L29" s="23"/>
      <c r="M29" s="23"/>
      <c r="N29" s="23"/>
      <c r="O29" s="48"/>
      <c r="P29" s="25">
        <f>E29+J29</f>
        <v>108800</v>
      </c>
      <c r="Q29" s="228"/>
      <c r="R29" s="264" t="s">
        <v>448</v>
      </c>
      <c r="S29" s="81"/>
      <c r="T29" s="81"/>
    </row>
    <row r="30" spans="1:20" s="82" customFormat="1" ht="36.75" customHeight="1">
      <c r="A30" s="18"/>
      <c r="B30" s="19"/>
      <c r="C30" s="18"/>
      <c r="D30" s="3" t="s">
        <v>226</v>
      </c>
      <c r="E30" s="22">
        <f t="shared" si="4"/>
        <v>170979.89</v>
      </c>
      <c r="F30" s="23">
        <f>8279+10150+20902.89+105000+5000+10025+8273+3350</f>
        <v>170979.89</v>
      </c>
      <c r="G30" s="23"/>
      <c r="H30" s="23"/>
      <c r="I30" s="23"/>
      <c r="J30" s="24">
        <f>L30+O30</f>
        <v>77825</v>
      </c>
      <c r="K30" s="48">
        <f>46248-10150+35000+6727</f>
        <v>77825</v>
      </c>
      <c r="L30" s="23"/>
      <c r="M30" s="23"/>
      <c r="N30" s="23"/>
      <c r="O30" s="48">
        <f>46248-10150+35000+6727</f>
        <v>77825</v>
      </c>
      <c r="P30" s="25">
        <f>E30+J30</f>
        <v>248804.89</v>
      </c>
      <c r="Q30" s="228"/>
      <c r="R30" s="264" t="s">
        <v>439</v>
      </c>
      <c r="S30" s="81"/>
      <c r="T30" s="81"/>
    </row>
    <row r="31" spans="1:20" s="59" customFormat="1" ht="62.25" customHeight="1">
      <c r="A31" s="52" t="s">
        <v>309</v>
      </c>
      <c r="B31" s="53" t="s">
        <v>311</v>
      </c>
      <c r="C31" s="52" t="s">
        <v>310</v>
      </c>
      <c r="D31" s="50" t="s">
        <v>312</v>
      </c>
      <c r="E31" s="54">
        <f t="shared" si="4"/>
        <v>484991008.04999995</v>
      </c>
      <c r="F31" s="55">
        <f>470377400+4013887+274445-2746075+92038.38+778100+697000+203000+403224.4-5579271+1382531-110284-170000-1054000+199000-200196+2421460+1596567+295000+609558.6+162083.13+22000+16000+167360.4+94909.44+59400+83500+21600+199980+20000+177500+147695+88941+104595+1323000+12162-56000+33000-100000-73536+207554.02-159611.02+280134.87+22015.13+121300+170300+60000+35000+10649000-1017000+10000+950000+341174.08+74977.62-72789-1000000-77800+1026400-1032300+20000+70054+11050-540100-307126-145231-800000+106430</f>
        <v>484991008.04999995</v>
      </c>
      <c r="G31" s="55">
        <f>307920500+2689563+224955-2014090-224955-3589129+926279-101088.42+791200-1022400</f>
        <v>305600834.58</v>
      </c>
      <c r="H31" s="55">
        <f>59350700+590219-570706-200196-1806.52+121300+170300+10649000-540100</f>
        <v>69568710.47999999</v>
      </c>
      <c r="I31" s="55"/>
      <c r="J31" s="56">
        <f t="shared" si="2"/>
        <v>49410340.120000005</v>
      </c>
      <c r="K31" s="66">
        <f>13834099+1034213+652187+86702.8+44512-1075000+10000000+903753+382295-1330381+1303863+143707+110284+170000+850000+27744+38200-628500+111010+56550+177400-30000+37305+56000+55000+27041.34-60000+47850+317090+85000+21372+10000+37397.98+20000</f>
        <v>27516695.12</v>
      </c>
      <c r="L31" s="55">
        <f>21859495</f>
        <v>21859495</v>
      </c>
      <c r="M31" s="55">
        <v>87000</v>
      </c>
      <c r="N31" s="55">
        <f>82324</f>
        <v>82324</v>
      </c>
      <c r="O31" s="66">
        <f>34150+13834099+1034213+652187+86702.8+44512-1075000+10000000+903753+382295-1330381+1303863+143707+110284+170000+850000+27744+38200-628500+111010+56550+177400-30000+37305+56000+55000+27041.34-60000+47850+317090+85000+21372+10000+37397.98+20000</f>
        <v>27550845.12</v>
      </c>
      <c r="P31" s="58">
        <f t="shared" si="1"/>
        <v>534401348.16999996</v>
      </c>
      <c r="Q31" s="223"/>
      <c r="R31" s="96"/>
      <c r="S31" s="83"/>
      <c r="T31" s="83"/>
    </row>
    <row r="32" spans="1:20" s="82" customFormat="1" ht="34.5" customHeight="1">
      <c r="A32" s="18"/>
      <c r="B32" s="19"/>
      <c r="C32" s="18"/>
      <c r="D32" s="3" t="s">
        <v>186</v>
      </c>
      <c r="E32" s="22">
        <f t="shared" si="4"/>
        <v>270712100</v>
      </c>
      <c r="F32" s="23">
        <f>269685700+1026400</f>
        <v>270712100</v>
      </c>
      <c r="G32" s="23">
        <f>221053900+791200</f>
        <v>221845100</v>
      </c>
      <c r="H32" s="23"/>
      <c r="I32" s="23"/>
      <c r="J32" s="24">
        <f t="shared" si="2"/>
        <v>0</v>
      </c>
      <c r="K32" s="48"/>
      <c r="L32" s="23"/>
      <c r="M32" s="23"/>
      <c r="N32" s="23"/>
      <c r="O32" s="48"/>
      <c r="P32" s="25">
        <f t="shared" si="1"/>
        <v>270712100</v>
      </c>
      <c r="Q32" s="228">
        <f>P32+P42+P44</f>
        <v>287960200</v>
      </c>
      <c r="R32" s="264" t="s">
        <v>440</v>
      </c>
      <c r="S32" s="81"/>
      <c r="T32" s="81"/>
    </row>
    <row r="33" spans="1:20" s="82" customFormat="1" ht="34.5" customHeight="1">
      <c r="A33" s="18"/>
      <c r="B33" s="19"/>
      <c r="C33" s="18"/>
      <c r="D33" s="3" t="s">
        <v>187</v>
      </c>
      <c r="E33" s="22">
        <f t="shared" si="4"/>
        <v>0</v>
      </c>
      <c r="F33" s="23"/>
      <c r="G33" s="23"/>
      <c r="H33" s="23"/>
      <c r="I33" s="23"/>
      <c r="J33" s="24">
        <f t="shared" si="2"/>
        <v>86702.8</v>
      </c>
      <c r="K33" s="48">
        <f>86702.8</f>
        <v>86702.8</v>
      </c>
      <c r="L33" s="23"/>
      <c r="M33" s="23"/>
      <c r="N33" s="23"/>
      <c r="O33" s="48">
        <f>86702.8</f>
        <v>86702.8</v>
      </c>
      <c r="P33" s="25">
        <f t="shared" si="1"/>
        <v>86702.8</v>
      </c>
      <c r="Q33" s="228"/>
      <c r="R33" s="264" t="s">
        <v>437</v>
      </c>
      <c r="S33" s="81"/>
      <c r="T33" s="81"/>
    </row>
    <row r="34" spans="1:20" s="82" customFormat="1" ht="48" customHeight="1">
      <c r="A34" s="18"/>
      <c r="B34" s="19"/>
      <c r="C34" s="18"/>
      <c r="D34" s="3" t="s">
        <v>188</v>
      </c>
      <c r="E34" s="22">
        <f t="shared" si="4"/>
        <v>0</v>
      </c>
      <c r="F34" s="23"/>
      <c r="G34" s="23"/>
      <c r="H34" s="23"/>
      <c r="I34" s="23"/>
      <c r="J34" s="24">
        <f t="shared" si="2"/>
        <v>10000000</v>
      </c>
      <c r="K34" s="48">
        <v>10000000</v>
      </c>
      <c r="L34" s="23"/>
      <c r="M34" s="23"/>
      <c r="N34" s="23"/>
      <c r="O34" s="48">
        <v>10000000</v>
      </c>
      <c r="P34" s="25">
        <f t="shared" si="1"/>
        <v>10000000</v>
      </c>
      <c r="Q34" s="228">
        <f>P34+P35</f>
        <v>10903753</v>
      </c>
      <c r="R34" s="264" t="s">
        <v>446</v>
      </c>
      <c r="S34" s="81"/>
      <c r="T34" s="81"/>
    </row>
    <row r="35" spans="1:20" s="82" customFormat="1" ht="49.5" customHeight="1">
      <c r="A35" s="18"/>
      <c r="B35" s="19"/>
      <c r="C35" s="18"/>
      <c r="D35" s="3" t="s">
        <v>193</v>
      </c>
      <c r="E35" s="22">
        <f t="shared" si="4"/>
        <v>0</v>
      </c>
      <c r="F35" s="23"/>
      <c r="G35" s="23"/>
      <c r="H35" s="23"/>
      <c r="I35" s="23"/>
      <c r="J35" s="24">
        <f t="shared" si="2"/>
        <v>903753</v>
      </c>
      <c r="K35" s="48">
        <v>903753</v>
      </c>
      <c r="L35" s="23"/>
      <c r="M35" s="23"/>
      <c r="N35" s="23"/>
      <c r="O35" s="48">
        <v>903753</v>
      </c>
      <c r="P35" s="25">
        <f t="shared" si="1"/>
        <v>903753</v>
      </c>
      <c r="Q35" s="228"/>
      <c r="R35" s="264" t="s">
        <v>446</v>
      </c>
      <c r="S35" s="81"/>
      <c r="T35" s="81"/>
    </row>
    <row r="36" spans="1:20" s="82" customFormat="1" ht="51" customHeight="1">
      <c r="A36" s="18"/>
      <c r="B36" s="19"/>
      <c r="C36" s="18"/>
      <c r="D36" s="3" t="s">
        <v>194</v>
      </c>
      <c r="E36" s="22">
        <f t="shared" si="4"/>
        <v>274445</v>
      </c>
      <c r="F36" s="23">
        <f>274445</f>
        <v>274445</v>
      </c>
      <c r="G36" s="23">
        <f>224955-224955</f>
        <v>0</v>
      </c>
      <c r="H36" s="23"/>
      <c r="I36" s="23"/>
      <c r="J36" s="24">
        <f t="shared" si="2"/>
        <v>0</v>
      </c>
      <c r="K36" s="48"/>
      <c r="L36" s="23"/>
      <c r="M36" s="23"/>
      <c r="N36" s="23"/>
      <c r="O36" s="48"/>
      <c r="P36" s="25">
        <f t="shared" si="1"/>
        <v>274445</v>
      </c>
      <c r="Q36" s="228">
        <f>P36+P52</f>
        <v>3396716</v>
      </c>
      <c r="R36" s="264" t="s">
        <v>445</v>
      </c>
      <c r="S36" s="81"/>
      <c r="T36" s="81"/>
    </row>
    <row r="37" spans="1:20" s="82" customFormat="1" ht="51" customHeight="1">
      <c r="A37" s="18"/>
      <c r="B37" s="19"/>
      <c r="C37" s="18"/>
      <c r="D37" s="3" t="s">
        <v>243</v>
      </c>
      <c r="E37" s="22">
        <f t="shared" si="4"/>
        <v>2650343</v>
      </c>
      <c r="F37" s="23">
        <f>4013887-2746075+1382531</f>
        <v>2650343</v>
      </c>
      <c r="G37" s="23">
        <f>2689563-2014090+926279</f>
        <v>1601752</v>
      </c>
      <c r="H37" s="23"/>
      <c r="I37" s="23"/>
      <c r="J37" s="24">
        <f t="shared" si="2"/>
        <v>356019</v>
      </c>
      <c r="K37" s="48">
        <f>1034213+652187-1330381</f>
        <v>356019</v>
      </c>
      <c r="L37" s="23"/>
      <c r="M37" s="23"/>
      <c r="N37" s="23"/>
      <c r="O37" s="48">
        <f>1034213+652187-1330381</f>
        <v>356019</v>
      </c>
      <c r="P37" s="25">
        <f t="shared" si="1"/>
        <v>3006362</v>
      </c>
      <c r="Q37" s="228">
        <f>P37+P53+P29</f>
        <v>3315162</v>
      </c>
      <c r="R37" s="264" t="s">
        <v>448</v>
      </c>
      <c r="S37" s="81"/>
      <c r="T37" s="81"/>
    </row>
    <row r="38" spans="1:20" s="82" customFormat="1" ht="41.25" customHeight="1">
      <c r="A38" s="18"/>
      <c r="B38" s="19"/>
      <c r="C38" s="18"/>
      <c r="D38" s="3" t="s">
        <v>195</v>
      </c>
      <c r="E38" s="22">
        <f t="shared" si="4"/>
        <v>2526055</v>
      </c>
      <c r="F38" s="23">
        <f>2421460+104595</f>
        <v>2526055</v>
      </c>
      <c r="G38" s="23"/>
      <c r="H38" s="23"/>
      <c r="I38" s="23"/>
      <c r="J38" s="24">
        <f t="shared" si="2"/>
        <v>1303863</v>
      </c>
      <c r="K38" s="48">
        <f>1303863</f>
        <v>1303863</v>
      </c>
      <c r="L38" s="23"/>
      <c r="M38" s="23"/>
      <c r="N38" s="23"/>
      <c r="O38" s="48">
        <f>1303863</f>
        <v>1303863</v>
      </c>
      <c r="P38" s="25">
        <f t="shared" si="1"/>
        <v>3829918</v>
      </c>
      <c r="Q38" s="223">
        <f>P38</f>
        <v>3829918</v>
      </c>
      <c r="R38" s="264" t="s">
        <v>447</v>
      </c>
      <c r="S38" s="81"/>
      <c r="T38" s="81"/>
    </row>
    <row r="39" spans="1:20" s="82" customFormat="1" ht="74.25" customHeight="1">
      <c r="A39" s="18"/>
      <c r="B39" s="19"/>
      <c r="C39" s="18"/>
      <c r="D39" s="3" t="s">
        <v>416</v>
      </c>
      <c r="E39" s="22">
        <f t="shared" si="4"/>
        <v>1323000</v>
      </c>
      <c r="F39" s="23">
        <f>1323000</f>
        <v>1323000</v>
      </c>
      <c r="G39" s="23"/>
      <c r="H39" s="23"/>
      <c r="I39" s="23"/>
      <c r="J39" s="24">
        <f t="shared" si="2"/>
        <v>0</v>
      </c>
      <c r="K39" s="48"/>
      <c r="L39" s="23"/>
      <c r="M39" s="23"/>
      <c r="N39" s="23"/>
      <c r="O39" s="48"/>
      <c r="P39" s="25">
        <f t="shared" si="1"/>
        <v>1323000</v>
      </c>
      <c r="Q39" s="223">
        <f>P39+P45</f>
        <v>1360800</v>
      </c>
      <c r="R39" s="264" t="s">
        <v>452</v>
      </c>
      <c r="S39" s="81"/>
      <c r="T39" s="81"/>
    </row>
    <row r="40" spans="1:20" s="82" customFormat="1" ht="33" customHeight="1">
      <c r="A40" s="18"/>
      <c r="B40" s="19"/>
      <c r="C40" s="18"/>
      <c r="D40" s="3" t="s">
        <v>226</v>
      </c>
      <c r="E40" s="22">
        <f t="shared" si="4"/>
        <v>175050</v>
      </c>
      <c r="F40" s="23">
        <f>16000+33000+60000+35000+20000+11050</f>
        <v>175050</v>
      </c>
      <c r="G40" s="23"/>
      <c r="H40" s="23"/>
      <c r="I40" s="23"/>
      <c r="J40" s="24">
        <f t="shared" si="2"/>
        <v>65000</v>
      </c>
      <c r="K40" s="48">
        <f>55000+10000</f>
        <v>65000</v>
      </c>
      <c r="L40" s="23"/>
      <c r="M40" s="23"/>
      <c r="N40" s="23"/>
      <c r="O40" s="48">
        <f>55000+10000</f>
        <v>65000</v>
      </c>
      <c r="P40" s="25">
        <f t="shared" si="1"/>
        <v>240050</v>
      </c>
      <c r="Q40" s="223"/>
      <c r="R40" s="264" t="s">
        <v>439</v>
      </c>
      <c r="S40" s="81"/>
      <c r="T40" s="81"/>
    </row>
    <row r="41" spans="1:20" s="59" customFormat="1" ht="45" customHeight="1">
      <c r="A41" s="52" t="s">
        <v>313</v>
      </c>
      <c r="B41" s="53" t="s">
        <v>315</v>
      </c>
      <c r="C41" s="52" t="s">
        <v>314</v>
      </c>
      <c r="D41" s="50" t="s">
        <v>316</v>
      </c>
      <c r="E41" s="54">
        <f t="shared" si="4"/>
        <v>20440213.85</v>
      </c>
      <c r="F41" s="55">
        <f>34082400-600000+37800+100000-13179986.15</f>
        <v>20440213.85</v>
      </c>
      <c r="G41" s="55">
        <f>19621700-7111838.51</f>
        <v>12509861.49</v>
      </c>
      <c r="H41" s="55">
        <f>4334800+23317-1847683.9</f>
        <v>2510433.1</v>
      </c>
      <c r="I41" s="55"/>
      <c r="J41" s="56">
        <f t="shared" si="2"/>
        <v>10000</v>
      </c>
      <c r="K41" s="66"/>
      <c r="L41" s="55">
        <f>10000</f>
        <v>10000</v>
      </c>
      <c r="M41" s="55"/>
      <c r="N41" s="55"/>
      <c r="O41" s="66"/>
      <c r="P41" s="58">
        <f t="shared" si="1"/>
        <v>20450213.85</v>
      </c>
      <c r="Q41" s="223"/>
      <c r="R41" s="96"/>
      <c r="S41" s="83"/>
      <c r="T41" s="83"/>
    </row>
    <row r="42" spans="1:20" s="82" customFormat="1" ht="28.5" customHeight="1">
      <c r="A42" s="18"/>
      <c r="B42" s="19"/>
      <c r="C42" s="18"/>
      <c r="D42" s="3" t="s">
        <v>196</v>
      </c>
      <c r="E42" s="22">
        <f t="shared" si="4"/>
        <v>11598444.76</v>
      </c>
      <c r="F42" s="23">
        <f>18274500-6676055.24</f>
        <v>11598444.76</v>
      </c>
      <c r="G42" s="23">
        <f>14979100-5474248.96</f>
        <v>9504851.04</v>
      </c>
      <c r="H42" s="23"/>
      <c r="I42" s="23"/>
      <c r="J42" s="24">
        <f t="shared" si="2"/>
        <v>0</v>
      </c>
      <c r="K42" s="48"/>
      <c r="L42" s="23"/>
      <c r="M42" s="23"/>
      <c r="N42" s="23"/>
      <c r="O42" s="48"/>
      <c r="P42" s="25">
        <f t="shared" si="1"/>
        <v>11598444.76</v>
      </c>
      <c r="Q42" s="223"/>
      <c r="R42" s="264" t="s">
        <v>440</v>
      </c>
      <c r="S42" s="81"/>
      <c r="T42" s="81"/>
    </row>
    <row r="43" spans="1:20" s="82" customFormat="1" ht="51" customHeight="1">
      <c r="A43" s="42" t="s">
        <v>456</v>
      </c>
      <c r="B43" s="60">
        <v>1070</v>
      </c>
      <c r="C43" s="42" t="s">
        <v>314</v>
      </c>
      <c r="D43" s="222" t="s">
        <v>457</v>
      </c>
      <c r="E43" s="54">
        <f t="shared" si="4"/>
        <v>10748648.15</v>
      </c>
      <c r="F43" s="61">
        <f>13179986.15-100000-1026400-402500-2438-900000</f>
        <v>10748648.15</v>
      </c>
      <c r="G43" s="61">
        <f>7111838.51-845300-339100</f>
        <v>5927438.51</v>
      </c>
      <c r="H43" s="61">
        <v>1847683.9</v>
      </c>
      <c r="I43" s="61"/>
      <c r="J43" s="56">
        <f t="shared" si="2"/>
        <v>0</v>
      </c>
      <c r="K43" s="265"/>
      <c r="L43" s="61"/>
      <c r="M43" s="61"/>
      <c r="N43" s="61"/>
      <c r="O43" s="265"/>
      <c r="P43" s="58">
        <f t="shared" si="1"/>
        <v>10748648.15</v>
      </c>
      <c r="Q43" s="223"/>
      <c r="R43" s="17"/>
      <c r="S43" s="81"/>
      <c r="T43" s="81"/>
    </row>
    <row r="44" spans="1:20" s="82" customFormat="1" ht="31.5" customHeight="1">
      <c r="A44" s="42"/>
      <c r="B44" s="60"/>
      <c r="C44" s="221"/>
      <c r="D44" s="3" t="s">
        <v>196</v>
      </c>
      <c r="E44" s="28">
        <f t="shared" si="4"/>
        <v>5649655.24</v>
      </c>
      <c r="F44" s="23">
        <f>6676055.24-1026400</f>
        <v>5649655.24</v>
      </c>
      <c r="G44" s="23">
        <f>5474248.96-845300</f>
        <v>4628948.96</v>
      </c>
      <c r="H44" s="23"/>
      <c r="I44" s="23"/>
      <c r="J44" s="30">
        <f t="shared" si="2"/>
        <v>0</v>
      </c>
      <c r="K44" s="48"/>
      <c r="L44" s="23"/>
      <c r="M44" s="23"/>
      <c r="N44" s="23"/>
      <c r="O44" s="48"/>
      <c r="P44" s="32">
        <f t="shared" si="1"/>
        <v>5649655.24</v>
      </c>
      <c r="Q44" s="223"/>
      <c r="R44" s="264" t="s">
        <v>440</v>
      </c>
      <c r="S44" s="81"/>
      <c r="T44" s="81"/>
    </row>
    <row r="45" spans="1:20" s="82" customFormat="1" ht="70.5" customHeight="1">
      <c r="A45" s="42"/>
      <c r="B45" s="60"/>
      <c r="C45" s="221"/>
      <c r="D45" s="3" t="s">
        <v>416</v>
      </c>
      <c r="E45" s="22">
        <f t="shared" si="4"/>
        <v>37800</v>
      </c>
      <c r="F45" s="23">
        <v>37800</v>
      </c>
      <c r="G45" s="23"/>
      <c r="H45" s="23"/>
      <c r="I45" s="23"/>
      <c r="J45" s="24">
        <f t="shared" si="2"/>
        <v>0</v>
      </c>
      <c r="K45" s="48"/>
      <c r="L45" s="23"/>
      <c r="M45" s="23"/>
      <c r="N45" s="23"/>
      <c r="O45" s="48"/>
      <c r="P45" s="25">
        <f t="shared" si="1"/>
        <v>37800</v>
      </c>
      <c r="Q45" s="223"/>
      <c r="R45" s="264" t="s">
        <v>452</v>
      </c>
      <c r="S45" s="81"/>
      <c r="T45" s="81"/>
    </row>
    <row r="46" spans="1:20" s="59" customFormat="1" ht="35.25" customHeight="1">
      <c r="A46" s="52" t="s">
        <v>317</v>
      </c>
      <c r="B46" s="53" t="s">
        <v>319</v>
      </c>
      <c r="C46" s="52" t="s">
        <v>318</v>
      </c>
      <c r="D46" s="50" t="s">
        <v>320</v>
      </c>
      <c r="E46" s="54">
        <f t="shared" si="4"/>
        <v>27451513.599999998</v>
      </c>
      <c r="F46" s="55">
        <f>25728900+27818.02+36946.18+19682+19151+7799.4+184751+3100+737700+253600+30000+377600+3466-12500-11700+45200</f>
        <v>27451513.599999998</v>
      </c>
      <c r="G46" s="55">
        <f>18543000+184200+274400</f>
        <v>19001600</v>
      </c>
      <c r="H46" s="55">
        <f>2875500+11391+19682+3100+737700+45200</f>
        <v>3692573</v>
      </c>
      <c r="I46" s="55"/>
      <c r="J46" s="56">
        <f t="shared" si="2"/>
        <v>74570</v>
      </c>
      <c r="K46" s="66">
        <f>9907+25513</f>
        <v>35420</v>
      </c>
      <c r="L46" s="55">
        <f>39150</f>
        <v>39150</v>
      </c>
      <c r="M46" s="55"/>
      <c r="N46" s="55">
        <f>2000</f>
        <v>2000</v>
      </c>
      <c r="O46" s="66">
        <f>9907+25513</f>
        <v>35420</v>
      </c>
      <c r="P46" s="58">
        <f t="shared" si="1"/>
        <v>27526083.599999998</v>
      </c>
      <c r="Q46" s="223"/>
      <c r="R46" s="96"/>
      <c r="S46" s="83"/>
      <c r="T46" s="83"/>
    </row>
    <row r="47" spans="1:20" s="59" customFormat="1" ht="48" customHeight="1">
      <c r="A47" s="52" t="s">
        <v>321</v>
      </c>
      <c r="B47" s="53" t="s">
        <v>322</v>
      </c>
      <c r="C47" s="52" t="s">
        <v>318</v>
      </c>
      <c r="D47" s="50" t="s">
        <v>323</v>
      </c>
      <c r="E47" s="54">
        <f t="shared" si="4"/>
        <v>29084512</v>
      </c>
      <c r="F47" s="55">
        <f>27089800+3038+20000+30000+23951-23400+2760+673500+468000+2302+3961+696600+97800-3800</f>
        <v>29084512</v>
      </c>
      <c r="G47" s="55">
        <f>19948000+381400+567700</f>
        <v>20897100</v>
      </c>
      <c r="H47" s="55">
        <f>2367500+13142+2760+673500+2302+3961+97800</f>
        <v>3160965</v>
      </c>
      <c r="I47" s="55"/>
      <c r="J47" s="56">
        <f t="shared" si="2"/>
        <v>4951292</v>
      </c>
      <c r="K47" s="66">
        <f>1950000+50000+30000</f>
        <v>2030000</v>
      </c>
      <c r="L47" s="55">
        <v>2556263</v>
      </c>
      <c r="M47" s="55">
        <f>1354624</f>
        <v>1354624</v>
      </c>
      <c r="N47" s="55">
        <f>5000</f>
        <v>5000</v>
      </c>
      <c r="O47" s="66">
        <f>365029+1950000+50000+30000</f>
        <v>2395029</v>
      </c>
      <c r="P47" s="58">
        <f t="shared" si="1"/>
        <v>34035804</v>
      </c>
      <c r="Q47" s="223"/>
      <c r="R47" s="96"/>
      <c r="S47" s="83"/>
      <c r="T47" s="83"/>
    </row>
    <row r="48" spans="1:20" s="59" customFormat="1" ht="23.25" customHeight="1">
      <c r="A48" s="52" t="s">
        <v>324</v>
      </c>
      <c r="B48" s="53" t="s">
        <v>326</v>
      </c>
      <c r="C48" s="52" t="s">
        <v>325</v>
      </c>
      <c r="D48" s="50" t="s">
        <v>327</v>
      </c>
      <c r="E48" s="54">
        <f t="shared" si="4"/>
        <v>3250300</v>
      </c>
      <c r="F48" s="55">
        <f>4375300-115400+9500-1019100</f>
        <v>3250300</v>
      </c>
      <c r="G48" s="55">
        <f>3355700-89800-837700</f>
        <v>2428200</v>
      </c>
      <c r="H48" s="55">
        <f>67700+9500</f>
        <v>77200</v>
      </c>
      <c r="I48" s="55"/>
      <c r="J48" s="56">
        <f t="shared" si="2"/>
        <v>0</v>
      </c>
      <c r="K48" s="66"/>
      <c r="L48" s="55"/>
      <c r="M48" s="55"/>
      <c r="N48" s="55"/>
      <c r="O48" s="66"/>
      <c r="P48" s="58">
        <f t="shared" si="1"/>
        <v>3250300</v>
      </c>
      <c r="Q48" s="223"/>
      <c r="R48" s="96"/>
      <c r="S48" s="83"/>
      <c r="T48" s="83"/>
    </row>
    <row r="49" spans="1:20" s="59" customFormat="1" ht="23.25" customHeight="1">
      <c r="A49" s="65" t="s">
        <v>117</v>
      </c>
      <c r="B49" s="53">
        <v>1161</v>
      </c>
      <c r="C49" s="65" t="s">
        <v>325</v>
      </c>
      <c r="D49" s="51" t="s">
        <v>118</v>
      </c>
      <c r="E49" s="54">
        <f t="shared" si="4"/>
        <v>7100242.02</v>
      </c>
      <c r="F49" s="55">
        <f>11320471+5999.76+200000-4562069.76+199900-50910+199000+159611.02+200+134100-489200-3860-13000</f>
        <v>7100242.02</v>
      </c>
      <c r="G49" s="55">
        <f>7931339-3093758-41730+101088.42-420600</f>
        <v>4476339.42</v>
      </c>
      <c r="H49" s="55">
        <f>569900+3432-314156+1806.52+200+134100-13000</f>
        <v>382282.52</v>
      </c>
      <c r="I49" s="55"/>
      <c r="J49" s="56">
        <f t="shared" si="2"/>
        <v>42700</v>
      </c>
      <c r="K49" s="66">
        <f>1158470-1158470</f>
        <v>0</v>
      </c>
      <c r="L49" s="55">
        <v>27700</v>
      </c>
      <c r="M49" s="55"/>
      <c r="N49" s="55"/>
      <c r="O49" s="66">
        <f>1158470+15000-1158470</f>
        <v>15000</v>
      </c>
      <c r="P49" s="58">
        <f t="shared" si="1"/>
        <v>7142942.02</v>
      </c>
      <c r="Q49" s="223"/>
      <c r="R49" s="96"/>
      <c r="S49" s="83"/>
      <c r="T49" s="83"/>
    </row>
    <row r="50" spans="1:20" s="59" customFormat="1" ht="18" customHeight="1">
      <c r="A50" s="65" t="s">
        <v>212</v>
      </c>
      <c r="B50" s="53">
        <v>1162</v>
      </c>
      <c r="C50" s="65" t="s">
        <v>325</v>
      </c>
      <c r="D50" s="51" t="s">
        <v>213</v>
      </c>
      <c r="E50" s="54">
        <f t="shared" si="4"/>
        <v>1474500</v>
      </c>
      <c r="F50" s="55">
        <f>476700+1000000+77800-80000</f>
        <v>1474500</v>
      </c>
      <c r="G50" s="55"/>
      <c r="H50" s="55"/>
      <c r="I50" s="55"/>
      <c r="J50" s="56">
        <f t="shared" si="2"/>
        <v>0</v>
      </c>
      <c r="K50" s="66"/>
      <c r="L50" s="55"/>
      <c r="M50" s="55"/>
      <c r="N50" s="55"/>
      <c r="O50" s="66"/>
      <c r="P50" s="58">
        <f t="shared" si="1"/>
        <v>1474500</v>
      </c>
      <c r="Q50" s="223"/>
      <c r="R50" s="96"/>
      <c r="S50" s="83"/>
      <c r="T50" s="83"/>
    </row>
    <row r="51" spans="1:20" s="59" customFormat="1" ht="28.5" customHeight="1">
      <c r="A51" s="65" t="s">
        <v>101</v>
      </c>
      <c r="B51" s="53">
        <v>1170</v>
      </c>
      <c r="C51" s="65" t="s">
        <v>325</v>
      </c>
      <c r="D51" s="51" t="s">
        <v>102</v>
      </c>
      <c r="E51" s="54">
        <f>F51</f>
        <v>4821840.76</v>
      </c>
      <c r="F51" s="55">
        <f>4562069.76+115400+165200+3400-10400-1029-600-12200</f>
        <v>4821840.76</v>
      </c>
      <c r="G51" s="66">
        <f>3093758+89800+3400</f>
        <v>3186958</v>
      </c>
      <c r="H51" s="55">
        <f>312724+1432+165200-12200</f>
        <v>467156</v>
      </c>
      <c r="I51" s="55"/>
      <c r="J51" s="56">
        <f>L51+O51</f>
        <v>1348173</v>
      </c>
      <c r="K51" s="66">
        <f>1158470+189703</f>
        <v>1348173</v>
      </c>
      <c r="L51" s="55"/>
      <c r="M51" s="55"/>
      <c r="N51" s="55"/>
      <c r="O51" s="66">
        <f>1158470+189703</f>
        <v>1348173</v>
      </c>
      <c r="P51" s="58">
        <f>E51+J51</f>
        <v>6170013.76</v>
      </c>
      <c r="Q51" s="223"/>
      <c r="R51" s="96"/>
      <c r="S51" s="83"/>
      <c r="T51" s="83"/>
    </row>
    <row r="52" spans="1:18" ht="43.5" customHeight="1">
      <c r="A52" s="42"/>
      <c r="B52" s="60"/>
      <c r="C52" s="42"/>
      <c r="D52" s="3" t="s">
        <v>197</v>
      </c>
      <c r="E52" s="22">
        <f>F52</f>
        <v>3122271</v>
      </c>
      <c r="F52" s="23">
        <f>3122271</f>
        <v>3122271</v>
      </c>
      <c r="G52" s="23">
        <f>2559239</f>
        <v>2559239</v>
      </c>
      <c r="H52" s="61"/>
      <c r="I52" s="61"/>
      <c r="J52" s="24">
        <f>L52+O52</f>
        <v>0</v>
      </c>
      <c r="K52" s="265"/>
      <c r="L52" s="61"/>
      <c r="M52" s="61"/>
      <c r="N52" s="61"/>
      <c r="O52" s="265"/>
      <c r="P52" s="25">
        <f>E52+J52</f>
        <v>3122271</v>
      </c>
      <c r="Q52" s="223"/>
      <c r="R52" s="264" t="s">
        <v>445</v>
      </c>
    </row>
    <row r="53" spans="1:18" ht="44.25" customHeight="1">
      <c r="A53" s="42"/>
      <c r="B53" s="60"/>
      <c r="C53" s="42"/>
      <c r="D53" s="3" t="s">
        <v>243</v>
      </c>
      <c r="E53" s="22">
        <f>F53</f>
        <v>200000</v>
      </c>
      <c r="F53" s="23">
        <v>200000</v>
      </c>
      <c r="G53" s="61"/>
      <c r="H53" s="61"/>
      <c r="I53" s="61"/>
      <c r="J53" s="24">
        <f>L53+O53</f>
        <v>0</v>
      </c>
      <c r="K53" s="265"/>
      <c r="L53" s="61"/>
      <c r="M53" s="61"/>
      <c r="N53" s="61"/>
      <c r="O53" s="265"/>
      <c r="P53" s="25">
        <f>E53+J53</f>
        <v>200000</v>
      </c>
      <c r="Q53" s="223"/>
      <c r="R53" s="264" t="s">
        <v>448</v>
      </c>
    </row>
    <row r="54" spans="1:20" s="59" customFormat="1" ht="34.5" customHeight="1">
      <c r="A54" s="52" t="s">
        <v>328</v>
      </c>
      <c r="B54" s="53" t="s">
        <v>329</v>
      </c>
      <c r="C54" s="52" t="s">
        <v>315</v>
      </c>
      <c r="D54" s="50" t="s">
        <v>330</v>
      </c>
      <c r="E54" s="54">
        <f aca="true" t="shared" si="5" ref="E54:E81">F54+I54</f>
        <v>139245</v>
      </c>
      <c r="F54" s="55">
        <f>216150+311000-527150+139245</f>
        <v>139245</v>
      </c>
      <c r="G54" s="55">
        <f>45900-45900</f>
        <v>0</v>
      </c>
      <c r="I54" s="55">
        <v>0</v>
      </c>
      <c r="J54" s="56">
        <f t="shared" si="2"/>
        <v>15000</v>
      </c>
      <c r="K54" s="66">
        <f>15000</f>
        <v>15000</v>
      </c>
      <c r="L54" s="55">
        <v>0</v>
      </c>
      <c r="M54" s="55">
        <v>0</v>
      </c>
      <c r="N54" s="55">
        <v>0</v>
      </c>
      <c r="O54" s="66">
        <f>0+15000</f>
        <v>15000</v>
      </c>
      <c r="P54" s="58">
        <f t="shared" si="1"/>
        <v>154245</v>
      </c>
      <c r="Q54" s="223"/>
      <c r="R54" s="96"/>
      <c r="S54" s="83"/>
      <c r="T54" s="83"/>
    </row>
    <row r="55" spans="1:20" s="59" customFormat="1" ht="50.25" customHeight="1">
      <c r="A55" s="52" t="s">
        <v>331</v>
      </c>
      <c r="B55" s="53" t="s">
        <v>332</v>
      </c>
      <c r="C55" s="52" t="s">
        <v>315</v>
      </c>
      <c r="D55" s="50" t="s">
        <v>334</v>
      </c>
      <c r="E55" s="54">
        <f t="shared" si="5"/>
        <v>5294887</v>
      </c>
      <c r="F55" s="55">
        <f>4722600+608400-12162-23951</f>
        <v>5294887</v>
      </c>
      <c r="G55" s="55"/>
      <c r="H55" s="55"/>
      <c r="I55" s="55">
        <v>0</v>
      </c>
      <c r="J55" s="56">
        <f t="shared" si="2"/>
        <v>700000</v>
      </c>
      <c r="K55" s="66"/>
      <c r="L55" s="55">
        <v>700000</v>
      </c>
      <c r="M55" s="55">
        <v>0</v>
      </c>
      <c r="N55" s="55">
        <v>0</v>
      </c>
      <c r="O55" s="66">
        <v>0</v>
      </c>
      <c r="P55" s="58">
        <f t="shared" si="1"/>
        <v>5994887</v>
      </c>
      <c r="Q55" s="223"/>
      <c r="R55" s="96"/>
      <c r="S55" s="83"/>
      <c r="T55" s="83"/>
    </row>
    <row r="56" spans="1:20" s="59" customFormat="1" ht="28.5" customHeight="1">
      <c r="A56" s="52" t="s">
        <v>79</v>
      </c>
      <c r="B56" s="53">
        <v>3242</v>
      </c>
      <c r="C56" s="52" t="s">
        <v>319</v>
      </c>
      <c r="D56" s="59" t="s">
        <v>80</v>
      </c>
      <c r="E56" s="54">
        <f t="shared" si="5"/>
        <v>99702</v>
      </c>
      <c r="F56" s="55">
        <f>410000-310298</f>
        <v>99702</v>
      </c>
      <c r="G56" s="55"/>
      <c r="H56" s="55"/>
      <c r="I56" s="55">
        <v>0</v>
      </c>
      <c r="J56" s="56">
        <f t="shared" si="2"/>
        <v>0</v>
      </c>
      <c r="K56" s="66"/>
      <c r="L56" s="55">
        <v>0</v>
      </c>
      <c r="M56" s="55">
        <v>0</v>
      </c>
      <c r="N56" s="55">
        <v>0</v>
      </c>
      <c r="O56" s="66">
        <v>0</v>
      </c>
      <c r="P56" s="58">
        <f t="shared" si="1"/>
        <v>99702</v>
      </c>
      <c r="Q56" s="223"/>
      <c r="R56" s="96"/>
      <c r="S56" s="83"/>
      <c r="T56" s="83"/>
    </row>
    <row r="57" spans="1:20" s="296" customFormat="1" ht="19.5" customHeight="1">
      <c r="A57" s="113" t="s">
        <v>335</v>
      </c>
      <c r="B57" s="114" t="s">
        <v>337</v>
      </c>
      <c r="C57" s="113" t="s">
        <v>336</v>
      </c>
      <c r="D57" s="292" t="s">
        <v>338</v>
      </c>
      <c r="E57" s="54">
        <f t="shared" si="5"/>
        <v>32056855</v>
      </c>
      <c r="F57" s="57">
        <f>28114600+10000+8754+119500+1146301-173808+8754+7000+8754+2000000+524000+83000+200000</f>
        <v>32056855</v>
      </c>
      <c r="G57" s="57">
        <v>0</v>
      </c>
      <c r="H57" s="57">
        <v>0</v>
      </c>
      <c r="I57" s="57">
        <v>0</v>
      </c>
      <c r="J57" s="54">
        <f t="shared" si="2"/>
        <v>252000</v>
      </c>
      <c r="K57" s="57">
        <f>1500000-143707-1304293+200000</f>
        <v>252000</v>
      </c>
      <c r="L57" s="57">
        <v>0</v>
      </c>
      <c r="M57" s="57">
        <v>0</v>
      </c>
      <c r="N57" s="57">
        <v>0</v>
      </c>
      <c r="O57" s="57">
        <f>1500000-143707-1304293+200000</f>
        <v>252000</v>
      </c>
      <c r="P57" s="54">
        <f t="shared" si="1"/>
        <v>32308855</v>
      </c>
      <c r="Q57" s="293"/>
      <c r="R57" s="294"/>
      <c r="S57" s="295"/>
      <c r="T57" s="295"/>
    </row>
    <row r="58" spans="1:20" s="296" customFormat="1" ht="18" customHeight="1">
      <c r="A58" s="113" t="s">
        <v>339</v>
      </c>
      <c r="B58" s="114" t="s">
        <v>341</v>
      </c>
      <c r="C58" s="113" t="s">
        <v>340</v>
      </c>
      <c r="D58" s="292" t="s">
        <v>342</v>
      </c>
      <c r="E58" s="54">
        <f t="shared" si="5"/>
        <v>6123060.82</v>
      </c>
      <c r="F58" s="57">
        <f>5794000+10000+3246.82+163800+20640+89000+2374+40000</f>
        <v>6123060.82</v>
      </c>
      <c r="G58" s="57">
        <v>3813300</v>
      </c>
      <c r="H58" s="57">
        <f>738300+8818+89000+2374+40000</f>
        <v>878492</v>
      </c>
      <c r="I58" s="57">
        <v>0</v>
      </c>
      <c r="J58" s="54">
        <f t="shared" si="2"/>
        <v>41000</v>
      </c>
      <c r="K58" s="57">
        <f>5000+35200</f>
        <v>40200</v>
      </c>
      <c r="L58" s="57">
        <v>800</v>
      </c>
      <c r="M58" s="57">
        <v>0</v>
      </c>
      <c r="N58" s="57">
        <v>0</v>
      </c>
      <c r="O58" s="57">
        <f>5000+35200</f>
        <v>40200</v>
      </c>
      <c r="P58" s="54">
        <f t="shared" si="1"/>
        <v>6164060.82</v>
      </c>
      <c r="Q58" s="293"/>
      <c r="R58" s="294"/>
      <c r="S58" s="295"/>
      <c r="T58" s="295"/>
    </row>
    <row r="59" spans="1:20" s="82" customFormat="1" ht="33.75" customHeight="1">
      <c r="A59" s="18"/>
      <c r="B59" s="19"/>
      <c r="C59" s="18"/>
      <c r="D59" s="3" t="s">
        <v>226</v>
      </c>
      <c r="E59" s="22">
        <f t="shared" si="5"/>
        <v>0</v>
      </c>
      <c r="F59" s="23"/>
      <c r="G59" s="23"/>
      <c r="H59" s="23"/>
      <c r="I59" s="23"/>
      <c r="J59" s="24">
        <f t="shared" si="2"/>
        <v>5000</v>
      </c>
      <c r="K59" s="48">
        <v>5000</v>
      </c>
      <c r="L59" s="23"/>
      <c r="M59" s="23"/>
      <c r="N59" s="23"/>
      <c r="O59" s="48">
        <v>5000</v>
      </c>
      <c r="P59" s="25">
        <f>E59+J59</f>
        <v>5000</v>
      </c>
      <c r="Q59" s="228"/>
      <c r="R59" s="264" t="s">
        <v>439</v>
      </c>
      <c r="S59" s="81"/>
      <c r="T59" s="81"/>
    </row>
    <row r="60" spans="1:20" s="59" customFormat="1" ht="21" customHeight="1">
      <c r="A60" s="52" t="s">
        <v>343</v>
      </c>
      <c r="B60" s="53" t="s">
        <v>344</v>
      </c>
      <c r="C60" s="52" t="s">
        <v>340</v>
      </c>
      <c r="D60" s="50" t="s">
        <v>345</v>
      </c>
      <c r="E60" s="54">
        <f t="shared" si="5"/>
        <v>4108700</v>
      </c>
      <c r="F60" s="55">
        <f>3827700+190000+50000+30000+25000+26000-40000</f>
        <v>4108700</v>
      </c>
      <c r="G60" s="55">
        <f>2102300-23673</f>
        <v>2078627</v>
      </c>
      <c r="H60" s="55">
        <f>558600+3916+26000-40000</f>
        <v>548516</v>
      </c>
      <c r="I60" s="55">
        <v>0</v>
      </c>
      <c r="J60" s="56">
        <f t="shared" si="2"/>
        <v>92625</v>
      </c>
      <c r="K60" s="66">
        <f>20000</f>
        <v>20000</v>
      </c>
      <c r="L60" s="55">
        <v>66125</v>
      </c>
      <c r="M60" s="55">
        <v>1000</v>
      </c>
      <c r="N60" s="55">
        <v>1500</v>
      </c>
      <c r="O60" s="66">
        <f>6500+20000</f>
        <v>26500</v>
      </c>
      <c r="P60" s="58">
        <f t="shared" si="1"/>
        <v>4201325</v>
      </c>
      <c r="Q60" s="223"/>
      <c r="R60" s="96"/>
      <c r="S60" s="83"/>
      <c r="T60" s="83"/>
    </row>
    <row r="61" spans="1:20" s="59" customFormat="1" ht="21" customHeight="1">
      <c r="A61" s="65" t="s">
        <v>144</v>
      </c>
      <c r="B61" s="53">
        <v>4070</v>
      </c>
      <c r="C61" s="65" t="s">
        <v>146</v>
      </c>
      <c r="D61" s="51" t="s">
        <v>145</v>
      </c>
      <c r="E61" s="54">
        <f t="shared" si="5"/>
        <v>2565200</v>
      </c>
      <c r="F61" s="66">
        <f>2022900+25000+89800+122500+20000+20000+240000+25000</f>
        <v>2565200</v>
      </c>
      <c r="G61" s="55">
        <v>0</v>
      </c>
      <c r="H61" s="55">
        <v>0</v>
      </c>
      <c r="I61" s="55">
        <v>0</v>
      </c>
      <c r="J61" s="56">
        <f t="shared" si="2"/>
        <v>3150200</v>
      </c>
      <c r="K61" s="66">
        <f>2500000+35200+15000+600000</f>
        <v>3150200</v>
      </c>
      <c r="L61" s="55">
        <v>0</v>
      </c>
      <c r="M61" s="55">
        <v>0</v>
      </c>
      <c r="N61" s="55">
        <v>0</v>
      </c>
      <c r="O61" s="66">
        <f>2500000+35200+15000+600000</f>
        <v>3150200</v>
      </c>
      <c r="P61" s="58">
        <f t="shared" si="1"/>
        <v>5715400</v>
      </c>
      <c r="Q61" s="223"/>
      <c r="R61" s="96"/>
      <c r="S61" s="83"/>
      <c r="T61" s="83"/>
    </row>
    <row r="62" spans="1:20" s="82" customFormat="1" ht="29.25" customHeight="1">
      <c r="A62" s="18"/>
      <c r="B62" s="19"/>
      <c r="C62" s="18"/>
      <c r="D62" s="3" t="s">
        <v>226</v>
      </c>
      <c r="E62" s="22">
        <f t="shared" si="5"/>
        <v>0</v>
      </c>
      <c r="F62" s="23"/>
      <c r="G62" s="23"/>
      <c r="H62" s="23"/>
      <c r="I62" s="23"/>
      <c r="J62" s="24">
        <f t="shared" si="2"/>
        <v>35200</v>
      </c>
      <c r="K62" s="48">
        <v>35200</v>
      </c>
      <c r="L62" s="23"/>
      <c r="M62" s="23"/>
      <c r="N62" s="23"/>
      <c r="O62" s="48">
        <v>35200</v>
      </c>
      <c r="P62" s="25">
        <f t="shared" si="1"/>
        <v>35200</v>
      </c>
      <c r="Q62" s="228"/>
      <c r="R62" s="264" t="s">
        <v>439</v>
      </c>
      <c r="S62" s="81"/>
      <c r="T62" s="81"/>
    </row>
    <row r="63" spans="1:20" s="59" customFormat="1" ht="21.75" customHeight="1">
      <c r="A63" s="52" t="s">
        <v>119</v>
      </c>
      <c r="B63" s="53" t="s">
        <v>120</v>
      </c>
      <c r="C63" s="52" t="s">
        <v>121</v>
      </c>
      <c r="D63" s="51" t="s">
        <v>122</v>
      </c>
      <c r="E63" s="54">
        <f t="shared" si="5"/>
        <v>3273100</v>
      </c>
      <c r="F63" s="55">
        <f>4109100-311000+85000-1240000+550000+80000</f>
        <v>3273100</v>
      </c>
      <c r="G63" s="55">
        <v>0</v>
      </c>
      <c r="H63" s="55">
        <v>0</v>
      </c>
      <c r="I63" s="55">
        <v>0</v>
      </c>
      <c r="J63" s="56">
        <f>L63+O63</f>
        <v>0</v>
      </c>
      <c r="K63" s="66">
        <v>0</v>
      </c>
      <c r="L63" s="55">
        <v>0</v>
      </c>
      <c r="M63" s="55">
        <v>0</v>
      </c>
      <c r="N63" s="55">
        <v>0</v>
      </c>
      <c r="O63" s="66">
        <v>0</v>
      </c>
      <c r="P63" s="58">
        <f>E63+J63</f>
        <v>3273100</v>
      </c>
      <c r="Q63" s="223"/>
      <c r="R63" s="96"/>
      <c r="S63" s="83"/>
      <c r="T63" s="83"/>
    </row>
    <row r="64" spans="1:20" s="59" customFormat="1" ht="37.5" customHeight="1">
      <c r="A64" s="52" t="s">
        <v>346</v>
      </c>
      <c r="B64" s="53" t="s">
        <v>348</v>
      </c>
      <c r="C64" s="52" t="s">
        <v>347</v>
      </c>
      <c r="D64" s="50" t="s">
        <v>349</v>
      </c>
      <c r="E64" s="54">
        <f t="shared" si="5"/>
        <v>43220</v>
      </c>
      <c r="F64" s="55">
        <v>43220</v>
      </c>
      <c r="G64" s="55">
        <v>0</v>
      </c>
      <c r="H64" s="55">
        <v>0</v>
      </c>
      <c r="I64" s="55">
        <v>0</v>
      </c>
      <c r="J64" s="56">
        <f t="shared" si="2"/>
        <v>0</v>
      </c>
      <c r="K64" s="66"/>
      <c r="L64" s="55">
        <v>0</v>
      </c>
      <c r="M64" s="55">
        <v>0</v>
      </c>
      <c r="N64" s="55">
        <v>0</v>
      </c>
      <c r="O64" s="66">
        <v>0</v>
      </c>
      <c r="P64" s="58">
        <f t="shared" si="1"/>
        <v>43220</v>
      </c>
      <c r="Q64" s="347">
        <f>P64+P65+P66+P67+P68+P69+P70+P71</f>
        <v>9689982.500000002</v>
      </c>
      <c r="R64" s="96"/>
      <c r="S64" s="83"/>
      <c r="T64" s="83"/>
    </row>
    <row r="65" spans="1:20" s="59" customFormat="1" ht="33" customHeight="1">
      <c r="A65" s="52" t="s">
        <v>350</v>
      </c>
      <c r="B65" s="53" t="s">
        <v>351</v>
      </c>
      <c r="C65" s="52" t="s">
        <v>347</v>
      </c>
      <c r="D65" s="50" t="s">
        <v>352</v>
      </c>
      <c r="E65" s="54">
        <f t="shared" si="5"/>
        <v>8440</v>
      </c>
      <c r="F65" s="55">
        <f>75000-75000+8440</f>
        <v>8440</v>
      </c>
      <c r="G65" s="55">
        <v>0</v>
      </c>
      <c r="H65" s="55">
        <v>0</v>
      </c>
      <c r="I65" s="55">
        <v>0</v>
      </c>
      <c r="J65" s="56">
        <f t="shared" si="2"/>
        <v>0</v>
      </c>
      <c r="K65" s="66"/>
      <c r="L65" s="55">
        <v>0</v>
      </c>
      <c r="M65" s="55">
        <v>0</v>
      </c>
      <c r="N65" s="55">
        <v>0</v>
      </c>
      <c r="O65" s="66">
        <v>0</v>
      </c>
      <c r="P65" s="58">
        <f t="shared" si="1"/>
        <v>8440</v>
      </c>
      <c r="Q65" s="223"/>
      <c r="R65" s="96"/>
      <c r="S65" s="83"/>
      <c r="T65" s="83"/>
    </row>
    <row r="66" spans="1:20" s="296" customFormat="1" ht="35.25" customHeight="1">
      <c r="A66" s="113" t="s">
        <v>353</v>
      </c>
      <c r="B66" s="114" t="s">
        <v>354</v>
      </c>
      <c r="C66" s="113" t="s">
        <v>347</v>
      </c>
      <c r="D66" s="292" t="s">
        <v>72</v>
      </c>
      <c r="E66" s="54">
        <f t="shared" si="5"/>
        <v>159995.82</v>
      </c>
      <c r="F66" s="57">
        <f>504300-504300+159995.82</f>
        <v>159995.82</v>
      </c>
      <c r="G66" s="57">
        <f>392900-392900+122337.67</f>
        <v>122337.67</v>
      </c>
      <c r="H66" s="57">
        <f>10200-10200+5323.72</f>
        <v>5323.72</v>
      </c>
      <c r="I66" s="57"/>
      <c r="J66" s="54">
        <f t="shared" si="2"/>
        <v>320000</v>
      </c>
      <c r="K66" s="57">
        <f>320000-320000+320000</f>
        <v>320000</v>
      </c>
      <c r="L66" s="57">
        <v>0</v>
      </c>
      <c r="M66" s="57">
        <v>0</v>
      </c>
      <c r="N66" s="57">
        <v>0</v>
      </c>
      <c r="O66" s="57">
        <f>320000-320000+320000</f>
        <v>320000</v>
      </c>
      <c r="P66" s="54">
        <f t="shared" si="1"/>
        <v>479995.82</v>
      </c>
      <c r="Q66" s="293"/>
      <c r="R66" s="294"/>
      <c r="S66" s="295"/>
      <c r="T66" s="295"/>
    </row>
    <row r="67" spans="1:20" s="59" customFormat="1" ht="36" customHeight="1">
      <c r="A67" s="52" t="s">
        <v>355</v>
      </c>
      <c r="B67" s="53" t="s">
        <v>356</v>
      </c>
      <c r="C67" s="52" t="s">
        <v>347</v>
      </c>
      <c r="D67" s="50" t="s">
        <v>73</v>
      </c>
      <c r="E67" s="54">
        <f t="shared" si="5"/>
        <v>34910</v>
      </c>
      <c r="F67" s="55">
        <v>34910</v>
      </c>
      <c r="G67" s="55"/>
      <c r="H67" s="55"/>
      <c r="I67" s="55"/>
      <c r="J67" s="56">
        <f t="shared" si="2"/>
        <v>0</v>
      </c>
      <c r="K67" s="66"/>
      <c r="L67" s="55">
        <v>0</v>
      </c>
      <c r="M67" s="55">
        <v>0</v>
      </c>
      <c r="N67" s="55">
        <v>0</v>
      </c>
      <c r="O67" s="66">
        <v>0</v>
      </c>
      <c r="P67" s="58">
        <f t="shared" si="1"/>
        <v>34910</v>
      </c>
      <c r="Q67" s="223"/>
      <c r="R67" s="96"/>
      <c r="S67" s="83"/>
      <c r="T67" s="83"/>
    </row>
    <row r="68" spans="1:20" s="296" customFormat="1" ht="31.5" customHeight="1">
      <c r="A68" s="113" t="s">
        <v>359</v>
      </c>
      <c r="B68" s="114" t="s">
        <v>360</v>
      </c>
      <c r="C68" s="113" t="s">
        <v>347</v>
      </c>
      <c r="D68" s="292" t="s">
        <v>361</v>
      </c>
      <c r="E68" s="54">
        <f t="shared" si="5"/>
        <v>7380841.36</v>
      </c>
      <c r="F68" s="57">
        <f>20999900+549800+45000-30546-21564154+7380841.36</f>
        <v>7380841.36</v>
      </c>
      <c r="G68" s="57">
        <f>15043300+440600-25038-15458862+4919881.36</f>
        <v>4919881.36</v>
      </c>
      <c r="H68" s="57">
        <f>2197700+12455-2210155+1295235.04</f>
        <v>1295235.04</v>
      </c>
      <c r="I68" s="57">
        <v>0</v>
      </c>
      <c r="J68" s="54">
        <f t="shared" si="2"/>
        <v>40000</v>
      </c>
      <c r="K68" s="57">
        <f>1000000+40000-1040000+40000</f>
        <v>40000</v>
      </c>
      <c r="L68" s="57"/>
      <c r="M68" s="57"/>
      <c r="N68" s="57"/>
      <c r="O68" s="57">
        <f>1040000-1040000+40000</f>
        <v>40000</v>
      </c>
      <c r="P68" s="54">
        <f t="shared" si="1"/>
        <v>7420841.36</v>
      </c>
      <c r="Q68" s="293"/>
      <c r="R68" s="294"/>
      <c r="S68" s="295"/>
      <c r="T68" s="295"/>
    </row>
    <row r="69" spans="1:20" s="59" customFormat="1" ht="38.25" customHeight="1">
      <c r="A69" s="52" t="s">
        <v>362</v>
      </c>
      <c r="B69" s="53" t="s">
        <v>363</v>
      </c>
      <c r="C69" s="52" t="s">
        <v>347</v>
      </c>
      <c r="D69" s="50" t="s">
        <v>364</v>
      </c>
      <c r="E69" s="54">
        <f t="shared" si="5"/>
        <v>862395.92</v>
      </c>
      <c r="F69" s="55">
        <v>862395.92</v>
      </c>
      <c r="G69" s="55"/>
      <c r="H69" s="55"/>
      <c r="I69" s="55">
        <v>0</v>
      </c>
      <c r="J69" s="56">
        <f t="shared" si="2"/>
        <v>0</v>
      </c>
      <c r="K69" s="66"/>
      <c r="L69" s="55">
        <v>0</v>
      </c>
      <c r="M69" s="55">
        <v>0</v>
      </c>
      <c r="N69" s="55">
        <v>0</v>
      </c>
      <c r="O69" s="66">
        <v>0</v>
      </c>
      <c r="P69" s="58">
        <f t="shared" si="1"/>
        <v>862395.92</v>
      </c>
      <c r="Q69" s="223"/>
      <c r="R69" s="96"/>
      <c r="S69" s="83"/>
      <c r="T69" s="83"/>
    </row>
    <row r="70" spans="1:20" s="59" customFormat="1" ht="46.5" customHeight="1">
      <c r="A70" s="52" t="s">
        <v>366</v>
      </c>
      <c r="B70" s="53" t="s">
        <v>367</v>
      </c>
      <c r="C70" s="52" t="s">
        <v>347</v>
      </c>
      <c r="D70" s="50" t="s">
        <v>368</v>
      </c>
      <c r="E70" s="54">
        <f t="shared" si="5"/>
        <v>474399.4</v>
      </c>
      <c r="F70" s="55">
        <f>1994600+81456-2076056+13400+460999.4</f>
        <v>474399.4</v>
      </c>
      <c r="G70" s="55">
        <f>374400+66768-441168+123515.46</f>
        <v>123515.46</v>
      </c>
      <c r="H70" s="55">
        <f>29400-29400+12613.44</f>
        <v>12613.44</v>
      </c>
      <c r="I70" s="55">
        <v>0</v>
      </c>
      <c r="J70" s="56">
        <f aca="true" t="shared" si="6" ref="J70:J130">L70+O70</f>
        <v>20000</v>
      </c>
      <c r="K70" s="66">
        <f>20000</f>
        <v>20000</v>
      </c>
      <c r="L70" s="55">
        <v>0</v>
      </c>
      <c r="M70" s="55">
        <v>0</v>
      </c>
      <c r="N70" s="55">
        <v>0</v>
      </c>
      <c r="O70" s="66">
        <f>20000</f>
        <v>20000</v>
      </c>
      <c r="P70" s="58">
        <f aca="true" t="shared" si="7" ref="P70:P128">E70+J70</f>
        <v>494399.4</v>
      </c>
      <c r="Q70" s="223"/>
      <c r="R70" s="96"/>
      <c r="S70" s="83"/>
      <c r="T70" s="83"/>
    </row>
    <row r="71" spans="1:20" s="59" customFormat="1" ht="33.75" customHeight="1">
      <c r="A71" s="52" t="s">
        <v>369</v>
      </c>
      <c r="B71" s="53" t="s">
        <v>370</v>
      </c>
      <c r="C71" s="52" t="s">
        <v>347</v>
      </c>
      <c r="D71" s="50" t="s">
        <v>371</v>
      </c>
      <c r="E71" s="54">
        <f t="shared" si="5"/>
        <v>345780</v>
      </c>
      <c r="F71" s="55">
        <f>1064900-1064900+345780</f>
        <v>345780</v>
      </c>
      <c r="G71" s="55">
        <v>0</v>
      </c>
      <c r="H71" s="55">
        <v>0</v>
      </c>
      <c r="I71" s="55">
        <v>0</v>
      </c>
      <c r="J71" s="56">
        <f t="shared" si="6"/>
        <v>0</v>
      </c>
      <c r="K71" s="66"/>
      <c r="L71" s="55">
        <v>0</v>
      </c>
      <c r="M71" s="55">
        <v>0</v>
      </c>
      <c r="N71" s="55">
        <v>0</v>
      </c>
      <c r="O71" s="66">
        <v>0</v>
      </c>
      <c r="P71" s="58">
        <f t="shared" si="7"/>
        <v>345780</v>
      </c>
      <c r="Q71" s="223"/>
      <c r="R71" s="96"/>
      <c r="S71" s="83"/>
      <c r="T71" s="83"/>
    </row>
    <row r="72" spans="1:20" s="85" customFormat="1" ht="22.5" customHeight="1">
      <c r="A72" s="52" t="s">
        <v>373</v>
      </c>
      <c r="B72" s="53" t="s">
        <v>374</v>
      </c>
      <c r="C72" s="52" t="s">
        <v>372</v>
      </c>
      <c r="D72" s="50" t="s">
        <v>375</v>
      </c>
      <c r="E72" s="54">
        <f t="shared" si="5"/>
        <v>0</v>
      </c>
      <c r="F72" s="55">
        <v>0</v>
      </c>
      <c r="G72" s="55">
        <v>0</v>
      </c>
      <c r="H72" s="55">
        <v>0</v>
      </c>
      <c r="I72" s="55">
        <v>0</v>
      </c>
      <c r="J72" s="56">
        <f>L72+O72</f>
        <v>1323914</v>
      </c>
      <c r="K72" s="66">
        <f>600000+1499914-420000-180000-176000</f>
        <v>1323914</v>
      </c>
      <c r="L72" s="55"/>
      <c r="M72" s="55"/>
      <c r="N72" s="55"/>
      <c r="O72" s="66">
        <f>600000+1499914-420000-180000-176000</f>
        <v>1323914</v>
      </c>
      <c r="P72" s="58">
        <f t="shared" si="7"/>
        <v>1323914</v>
      </c>
      <c r="Q72" s="223"/>
      <c r="R72" s="224"/>
      <c r="S72" s="84"/>
      <c r="T72" s="84"/>
    </row>
    <row r="73" spans="1:20" s="301" customFormat="1" ht="24" customHeight="1">
      <c r="A73" s="115" t="s">
        <v>165</v>
      </c>
      <c r="B73" s="297">
        <v>7340</v>
      </c>
      <c r="C73" s="115" t="s">
        <v>372</v>
      </c>
      <c r="D73" s="298" t="s">
        <v>166</v>
      </c>
      <c r="E73" s="54">
        <f t="shared" si="5"/>
        <v>190140</v>
      </c>
      <c r="F73" s="57">
        <f>220000-29860</f>
        <v>190140</v>
      </c>
      <c r="G73" s="57"/>
      <c r="H73" s="57"/>
      <c r="I73" s="57"/>
      <c r="J73" s="56">
        <f t="shared" si="6"/>
        <v>0</v>
      </c>
      <c r="K73" s="57"/>
      <c r="L73" s="57"/>
      <c r="M73" s="57"/>
      <c r="N73" s="57"/>
      <c r="O73" s="57"/>
      <c r="P73" s="56">
        <f>E73+J73</f>
        <v>190140</v>
      </c>
      <c r="Q73" s="293"/>
      <c r="R73" s="299"/>
      <c r="S73" s="300"/>
      <c r="T73" s="300"/>
    </row>
    <row r="74" spans="1:20" s="85" customFormat="1" ht="36" customHeight="1">
      <c r="A74" s="62" t="s">
        <v>133</v>
      </c>
      <c r="B74" s="63">
        <v>7363</v>
      </c>
      <c r="C74" s="62" t="s">
        <v>380</v>
      </c>
      <c r="D74" s="1" t="s">
        <v>132</v>
      </c>
      <c r="E74" s="54">
        <f t="shared" si="5"/>
        <v>0</v>
      </c>
      <c r="F74" s="55"/>
      <c r="G74" s="55"/>
      <c r="H74" s="55"/>
      <c r="I74" s="55"/>
      <c r="J74" s="56">
        <f t="shared" si="6"/>
        <v>306000</v>
      </c>
      <c r="K74" s="66">
        <f>0+206000+100000</f>
        <v>306000</v>
      </c>
      <c r="L74" s="55"/>
      <c r="M74" s="55"/>
      <c r="N74" s="55"/>
      <c r="O74" s="66">
        <f>0+206000+100000</f>
        <v>306000</v>
      </c>
      <c r="P74" s="58">
        <f>E74+J74</f>
        <v>306000</v>
      </c>
      <c r="Q74" s="223"/>
      <c r="R74" s="224"/>
      <c r="S74" s="84"/>
      <c r="T74" s="84"/>
    </row>
    <row r="75" spans="1:20" s="87" customFormat="1" ht="45.75" customHeight="1">
      <c r="A75" s="18"/>
      <c r="B75" s="19"/>
      <c r="C75" s="20"/>
      <c r="D75" s="21" t="s">
        <v>198</v>
      </c>
      <c r="E75" s="22">
        <f t="shared" si="5"/>
        <v>0</v>
      </c>
      <c r="F75" s="23"/>
      <c r="G75" s="23"/>
      <c r="H75" s="23"/>
      <c r="I75" s="23"/>
      <c r="J75" s="24">
        <f t="shared" si="6"/>
        <v>200000</v>
      </c>
      <c r="K75" s="48">
        <v>200000</v>
      </c>
      <c r="L75" s="23"/>
      <c r="M75" s="23"/>
      <c r="N75" s="23"/>
      <c r="O75" s="48">
        <f>0+200000</f>
        <v>200000</v>
      </c>
      <c r="P75" s="25">
        <f>E75+J75</f>
        <v>200000</v>
      </c>
      <c r="Q75" s="223"/>
      <c r="R75" s="264" t="s">
        <v>437</v>
      </c>
      <c r="S75" s="86"/>
      <c r="T75" s="86"/>
    </row>
    <row r="76" spans="1:20" s="87" customFormat="1" ht="41.25" customHeight="1">
      <c r="A76" s="18"/>
      <c r="B76" s="19"/>
      <c r="C76" s="20"/>
      <c r="D76" s="21" t="s">
        <v>199</v>
      </c>
      <c r="E76" s="22">
        <f t="shared" si="5"/>
        <v>0</v>
      </c>
      <c r="F76" s="23"/>
      <c r="G76" s="23"/>
      <c r="H76" s="23"/>
      <c r="I76" s="23"/>
      <c r="J76" s="24">
        <f t="shared" si="6"/>
        <v>100000</v>
      </c>
      <c r="K76" s="48">
        <v>100000</v>
      </c>
      <c r="L76" s="23"/>
      <c r="M76" s="23"/>
      <c r="N76" s="23"/>
      <c r="O76" s="48">
        <v>100000</v>
      </c>
      <c r="P76" s="25">
        <f>E76+J76</f>
        <v>100000</v>
      </c>
      <c r="Q76" s="223">
        <f>P76+P437</f>
        <v>200000</v>
      </c>
      <c r="R76" s="264" t="s">
        <v>442</v>
      </c>
      <c r="S76" s="86"/>
      <c r="T76" s="86"/>
    </row>
    <row r="77" spans="1:20" s="85" customFormat="1" ht="22.5" customHeight="1">
      <c r="A77" s="52" t="s">
        <v>379</v>
      </c>
      <c r="B77" s="53" t="s">
        <v>381</v>
      </c>
      <c r="C77" s="52" t="s">
        <v>380</v>
      </c>
      <c r="D77" s="50" t="s">
        <v>382</v>
      </c>
      <c r="E77" s="54">
        <f t="shared" si="5"/>
        <v>0</v>
      </c>
      <c r="F77" s="55">
        <v>0</v>
      </c>
      <c r="G77" s="55">
        <v>0</v>
      </c>
      <c r="H77" s="55">
        <v>0</v>
      </c>
      <c r="I77" s="55">
        <v>0</v>
      </c>
      <c r="J77" s="56">
        <f t="shared" si="6"/>
        <v>2572000</v>
      </c>
      <c r="K77" s="66">
        <f>3000000-165000+165000+165000-1000000+407000</f>
        <v>2572000</v>
      </c>
      <c r="L77" s="55">
        <v>0</v>
      </c>
      <c r="M77" s="55">
        <v>0</v>
      </c>
      <c r="N77" s="55">
        <v>0</v>
      </c>
      <c r="O77" s="66">
        <f>3000000-165000+165000+165000-1000000+407000</f>
        <v>2572000</v>
      </c>
      <c r="P77" s="58">
        <f t="shared" si="7"/>
        <v>2572000</v>
      </c>
      <c r="Q77" s="223"/>
      <c r="R77" s="224"/>
      <c r="S77" s="219">
        <f>P77+P357+P381+P395</f>
        <v>128362920.13</v>
      </c>
      <c r="T77" s="84"/>
    </row>
    <row r="78" spans="1:20" s="90" customFormat="1" ht="17.25" customHeight="1" hidden="1">
      <c r="A78" s="65" t="s">
        <v>214</v>
      </c>
      <c r="B78" s="53">
        <v>8340</v>
      </c>
      <c r="C78" s="65" t="s">
        <v>597</v>
      </c>
      <c r="D78" s="51" t="s">
        <v>599</v>
      </c>
      <c r="E78" s="54">
        <f t="shared" si="5"/>
        <v>0</v>
      </c>
      <c r="F78" s="55">
        <v>0</v>
      </c>
      <c r="G78" s="55">
        <v>0</v>
      </c>
      <c r="H78" s="55">
        <v>0</v>
      </c>
      <c r="I78" s="55">
        <v>0</v>
      </c>
      <c r="J78" s="108">
        <f t="shared" si="6"/>
        <v>0</v>
      </c>
      <c r="K78" s="66"/>
      <c r="L78" s="55">
        <v>0</v>
      </c>
      <c r="M78" s="55">
        <v>0</v>
      </c>
      <c r="N78" s="55">
        <v>0</v>
      </c>
      <c r="O78" s="66">
        <v>0</v>
      </c>
      <c r="P78" s="58">
        <f t="shared" si="7"/>
        <v>0</v>
      </c>
      <c r="Q78" s="223"/>
      <c r="R78" s="17"/>
      <c r="S78" s="89"/>
      <c r="T78" s="89"/>
    </row>
    <row r="79" spans="1:20" s="138" customFormat="1" ht="24.75" customHeight="1">
      <c r="A79" s="130" t="s">
        <v>383</v>
      </c>
      <c r="B79" s="134"/>
      <c r="C79" s="128"/>
      <c r="D79" s="135" t="s">
        <v>384</v>
      </c>
      <c r="E79" s="108">
        <f t="shared" si="5"/>
        <v>369453482.75000006</v>
      </c>
      <c r="F79" s="108">
        <f>F80</f>
        <v>369453482.75000006</v>
      </c>
      <c r="G79" s="108">
        <f>G80</f>
        <v>1281978</v>
      </c>
      <c r="H79" s="108">
        <f>H80</f>
        <v>88684</v>
      </c>
      <c r="I79" s="108">
        <f>I80</f>
        <v>0</v>
      </c>
      <c r="J79" s="108">
        <f t="shared" si="6"/>
        <v>23682843.189999998</v>
      </c>
      <c r="K79" s="108">
        <f>K80</f>
        <v>11062462</v>
      </c>
      <c r="L79" s="108">
        <f>L80</f>
        <v>12573481.19</v>
      </c>
      <c r="M79" s="108">
        <f>M80</f>
        <v>0</v>
      </c>
      <c r="N79" s="108">
        <f>N80</f>
        <v>0</v>
      </c>
      <c r="O79" s="108">
        <f>O80</f>
        <v>11109362</v>
      </c>
      <c r="P79" s="136">
        <f>E79+J79</f>
        <v>393136325.94000006</v>
      </c>
      <c r="Q79" s="223"/>
      <c r="R79" s="226"/>
      <c r="S79" s="137"/>
      <c r="T79" s="137"/>
    </row>
    <row r="80" spans="1:20" s="203" customFormat="1" ht="24" customHeight="1">
      <c r="A80" s="195" t="s">
        <v>385</v>
      </c>
      <c r="B80" s="196"/>
      <c r="C80" s="197"/>
      <c r="D80" s="204" t="s">
        <v>17</v>
      </c>
      <c r="E80" s="199">
        <f t="shared" si="5"/>
        <v>369453482.75000006</v>
      </c>
      <c r="F80" s="199">
        <f>F81+F82+F83+F84+F89+F93+F97+F101+F103+F106+F108+F111+F112+F113+F114</f>
        <v>369453482.75000006</v>
      </c>
      <c r="G80" s="199">
        <f>G81+G82+G83+G84+G89+G93+G97+G101+G103+G106+G108+G111+G112+G113+G114</f>
        <v>1281978</v>
      </c>
      <c r="H80" s="199">
        <f>H81+H82+H83+H84+H89+H93+H97+H101+H103+H106+H108+H111+H112+H113+H114</f>
        <v>88684</v>
      </c>
      <c r="I80" s="199">
        <f>I81+I82+I83+I84+I89+I93+I97+I101+I103+I106+I108+I111+I112+I113+I114</f>
        <v>0</v>
      </c>
      <c r="J80" s="200">
        <f>L80+O80</f>
        <v>23682843.189999998</v>
      </c>
      <c r="K80" s="200">
        <f>K81+K82+K83+K84+K89+K93+K97+K101+K103+K106+K108+K111+K112+K113</f>
        <v>11062462</v>
      </c>
      <c r="L80" s="200">
        <f>L81+L82+L83+L84+L89+L93+L97+L101+L103+L106+L108+L111+L112+L113</f>
        <v>12573481.19</v>
      </c>
      <c r="M80" s="200">
        <f>M81+M82+M83+M84+M89+M93+M97+M101+M103+M106+M108+M111+M112+M113</f>
        <v>0</v>
      </c>
      <c r="N80" s="200">
        <f>N81+N82+N83+N84+N89+N93+N97+N101+N103+N106+N108+N111+N112+N113</f>
        <v>0</v>
      </c>
      <c r="O80" s="200">
        <f>O81+O82+O83+O84+O89+O93+O97+O101+O103+O106+O108+O111+O112+O113</f>
        <v>11109362</v>
      </c>
      <c r="P80" s="201">
        <f>E80+J80</f>
        <v>393136325.94000006</v>
      </c>
      <c r="Q80" s="223"/>
      <c r="R80" s="227"/>
      <c r="S80" s="202"/>
      <c r="T80" s="202"/>
    </row>
    <row r="81" spans="1:20" s="59" customFormat="1" ht="39" customHeight="1">
      <c r="A81" s="52" t="s">
        <v>386</v>
      </c>
      <c r="B81" s="53" t="s">
        <v>296</v>
      </c>
      <c r="C81" s="52" t="s">
        <v>281</v>
      </c>
      <c r="D81" s="50" t="s">
        <v>297</v>
      </c>
      <c r="E81" s="54">
        <f t="shared" si="5"/>
        <v>1750313</v>
      </c>
      <c r="F81" s="55">
        <f>1633737+16576+100000</f>
        <v>1750313</v>
      </c>
      <c r="G81" s="55">
        <f>1200011+81967</f>
        <v>1281978</v>
      </c>
      <c r="H81" s="55">
        <f>56628+8350+7130+16576</f>
        <v>88684</v>
      </c>
      <c r="I81" s="55"/>
      <c r="J81" s="56">
        <f t="shared" si="6"/>
        <v>0</v>
      </c>
      <c r="K81" s="66"/>
      <c r="L81" s="55">
        <v>0</v>
      </c>
      <c r="M81" s="55">
        <v>0</v>
      </c>
      <c r="N81" s="55">
        <v>0</v>
      </c>
      <c r="O81" s="265">
        <v>0</v>
      </c>
      <c r="P81" s="58">
        <f t="shared" si="7"/>
        <v>1750313</v>
      </c>
      <c r="Q81" s="223"/>
      <c r="R81" s="96"/>
      <c r="S81" s="83"/>
      <c r="T81" s="83"/>
    </row>
    <row r="82" spans="1:20" s="59" customFormat="1" ht="33.75" customHeight="1">
      <c r="A82" s="65" t="s">
        <v>246</v>
      </c>
      <c r="B82" s="65" t="s">
        <v>646</v>
      </c>
      <c r="C82" s="65" t="s">
        <v>137</v>
      </c>
      <c r="D82" s="51" t="s">
        <v>138</v>
      </c>
      <c r="E82" s="54">
        <f aca="true" t="shared" si="8" ref="E82:E112">F82+I82</f>
        <v>4500</v>
      </c>
      <c r="F82" s="66">
        <v>4500</v>
      </c>
      <c r="G82" s="55"/>
      <c r="H82" s="55"/>
      <c r="I82" s="55"/>
      <c r="J82" s="56">
        <f t="shared" si="6"/>
        <v>0</v>
      </c>
      <c r="K82" s="66"/>
      <c r="L82" s="55"/>
      <c r="M82" s="55"/>
      <c r="N82" s="55"/>
      <c r="O82" s="66"/>
      <c r="P82" s="58">
        <f t="shared" si="7"/>
        <v>4500</v>
      </c>
      <c r="Q82" s="223"/>
      <c r="R82" s="96"/>
      <c r="S82" s="83"/>
      <c r="T82" s="83"/>
    </row>
    <row r="83" spans="1:20" s="59" customFormat="1" ht="25.5" customHeight="1">
      <c r="A83" s="52" t="s">
        <v>387</v>
      </c>
      <c r="B83" s="53" t="s">
        <v>286</v>
      </c>
      <c r="C83" s="52" t="s">
        <v>285</v>
      </c>
      <c r="D83" s="50" t="s">
        <v>287</v>
      </c>
      <c r="E83" s="54">
        <f t="shared" si="8"/>
        <v>248263</v>
      </c>
      <c r="F83" s="55">
        <f>230000+18263</f>
        <v>248263</v>
      </c>
      <c r="G83" s="55"/>
      <c r="H83" s="55"/>
      <c r="I83" s="55"/>
      <c r="J83" s="56">
        <f t="shared" si="6"/>
        <v>0</v>
      </c>
      <c r="K83" s="66"/>
      <c r="L83" s="55">
        <v>0</v>
      </c>
      <c r="M83" s="55">
        <v>0</v>
      </c>
      <c r="N83" s="55">
        <v>0</v>
      </c>
      <c r="O83" s="66">
        <v>0</v>
      </c>
      <c r="P83" s="58">
        <f t="shared" si="7"/>
        <v>248263</v>
      </c>
      <c r="Q83" s="223"/>
      <c r="R83" s="96"/>
      <c r="S83" s="83"/>
      <c r="T83" s="83"/>
    </row>
    <row r="84" spans="1:20" s="59" customFormat="1" ht="24.75" customHeight="1">
      <c r="A84" s="52" t="s">
        <v>388</v>
      </c>
      <c r="B84" s="53" t="s">
        <v>390</v>
      </c>
      <c r="C84" s="52" t="s">
        <v>389</v>
      </c>
      <c r="D84" s="50" t="s">
        <v>391</v>
      </c>
      <c r="E84" s="54">
        <f t="shared" si="8"/>
        <v>236138912.06000003</v>
      </c>
      <c r="F84" s="55">
        <f>234195037+144494+F86+85200+28352+100+112000+11000+20000+80406.46-350050+577400-214949+793653-1651743+99810+195000-150358+64000-732179+732179+387202+103398.02+17777+199000-10000+120000+10200-11410+11410+54394-1018393+208938+716080+149000+385289+18300+15000+132735+1536831+661682-995000-83000-135862-374014</f>
        <v>236138912.06000003</v>
      </c>
      <c r="G84" s="55">
        <v>0</v>
      </c>
      <c r="H84" s="55">
        <v>0</v>
      </c>
      <c r="I84" s="55">
        <v>0</v>
      </c>
      <c r="J84" s="56">
        <f>L84+O84</f>
        <v>8423373</v>
      </c>
      <c r="K84" s="66">
        <f>2000000+1450000+2500000+100000+69000+88000+54000-600000+207755+76880+199000-64000+90247-199000-1410-149000+619998+401177</f>
        <v>6842647</v>
      </c>
      <c r="L84" s="55">
        <f>1533826+336804.19-336804.19</f>
        <v>1533826</v>
      </c>
      <c r="M84" s="55"/>
      <c r="N84" s="55"/>
      <c r="O84" s="66">
        <f>46900+2000000+1450000+2500000+100000+69000+88000+54000-600000+207755+76880+199000-64000+90247-199000-1410-149000+619998+401177</f>
        <v>6889547</v>
      </c>
      <c r="P84" s="58">
        <f t="shared" si="7"/>
        <v>244562285.06000003</v>
      </c>
      <c r="Q84" s="223"/>
      <c r="R84" s="96"/>
      <c r="S84" s="83"/>
      <c r="T84" s="83"/>
    </row>
    <row r="85" spans="1:20" s="82" customFormat="1" ht="29.25" customHeight="1">
      <c r="A85" s="18"/>
      <c r="B85" s="19"/>
      <c r="C85" s="18"/>
      <c r="D85" s="3" t="s">
        <v>60</v>
      </c>
      <c r="E85" s="22">
        <f t="shared" si="8"/>
        <v>142535073</v>
      </c>
      <c r="F85" s="23">
        <f>141802794+793009+100-793009+732179</f>
        <v>142535073</v>
      </c>
      <c r="G85" s="23">
        <v>0</v>
      </c>
      <c r="H85" s="23">
        <v>0</v>
      </c>
      <c r="I85" s="23">
        <v>0</v>
      </c>
      <c r="J85" s="24">
        <f t="shared" si="6"/>
        <v>0</v>
      </c>
      <c r="K85" s="266"/>
      <c r="L85" s="23">
        <v>0</v>
      </c>
      <c r="M85" s="23">
        <v>0</v>
      </c>
      <c r="N85" s="23">
        <v>0</v>
      </c>
      <c r="O85" s="48">
        <v>0</v>
      </c>
      <c r="P85" s="25">
        <f t="shared" si="7"/>
        <v>142535073</v>
      </c>
      <c r="Q85" s="228">
        <f>P90+P85+P94+P98+P109</f>
        <v>178063800</v>
      </c>
      <c r="R85" s="264" t="s">
        <v>441</v>
      </c>
      <c r="S85" s="81"/>
      <c r="T85" s="81"/>
    </row>
    <row r="86" spans="1:20" s="82" customFormat="1" ht="42" customHeight="1">
      <c r="A86" s="18"/>
      <c r="B86" s="19"/>
      <c r="C86" s="18"/>
      <c r="D86" s="82" t="s">
        <v>200</v>
      </c>
      <c r="E86" s="22">
        <f t="shared" si="8"/>
        <v>2.58</v>
      </c>
      <c r="F86" s="23">
        <v>2.58</v>
      </c>
      <c r="G86" s="23">
        <v>0</v>
      </c>
      <c r="H86" s="23">
        <v>0</v>
      </c>
      <c r="I86" s="23">
        <v>0</v>
      </c>
      <c r="J86" s="24">
        <f t="shared" si="6"/>
        <v>0</v>
      </c>
      <c r="K86" s="48"/>
      <c r="L86" s="23"/>
      <c r="M86" s="23"/>
      <c r="N86" s="23"/>
      <c r="O86" s="48"/>
      <c r="P86" s="25">
        <f t="shared" si="7"/>
        <v>2.58</v>
      </c>
      <c r="Q86" s="228"/>
      <c r="R86" s="264" t="s">
        <v>437</v>
      </c>
      <c r="S86" s="81"/>
      <c r="T86" s="81"/>
    </row>
    <row r="87" spans="1:20" s="82" customFormat="1" ht="45" customHeight="1">
      <c r="A87" s="18"/>
      <c r="B87" s="19"/>
      <c r="C87" s="18"/>
      <c r="D87" s="5" t="s">
        <v>201</v>
      </c>
      <c r="E87" s="22">
        <f t="shared" si="8"/>
        <v>2247626</v>
      </c>
      <c r="F87" s="23">
        <f>793009-214949+132735+1536831</f>
        <v>2247626</v>
      </c>
      <c r="G87" s="23">
        <v>0</v>
      </c>
      <c r="H87" s="23">
        <v>0</v>
      </c>
      <c r="I87" s="23">
        <v>0</v>
      </c>
      <c r="J87" s="24">
        <f t="shared" si="6"/>
        <v>0</v>
      </c>
      <c r="K87" s="48"/>
      <c r="L87" s="23"/>
      <c r="M87" s="23"/>
      <c r="N87" s="23"/>
      <c r="O87" s="48"/>
      <c r="P87" s="25">
        <f t="shared" si="7"/>
        <v>2247626</v>
      </c>
      <c r="Q87" s="228" t="e">
        <f>P87+P91+#REF!+#REF!+F104+#REF!</f>
        <v>#REF!</v>
      </c>
      <c r="R87" s="264" t="s">
        <v>449</v>
      </c>
      <c r="S87" s="81"/>
      <c r="T87" s="81"/>
    </row>
    <row r="88" spans="1:20" s="82" customFormat="1" ht="45" customHeight="1">
      <c r="A88" s="18"/>
      <c r="B88" s="19"/>
      <c r="C88" s="18"/>
      <c r="D88" s="220" t="s">
        <v>211</v>
      </c>
      <c r="E88" s="22">
        <f t="shared" si="8"/>
        <v>5588155</v>
      </c>
      <c r="F88" s="23">
        <f>2134800+700000+2753355</f>
        <v>5588155</v>
      </c>
      <c r="G88" s="23">
        <v>0</v>
      </c>
      <c r="H88" s="23">
        <v>0</v>
      </c>
      <c r="I88" s="23">
        <v>0</v>
      </c>
      <c r="J88" s="24">
        <f t="shared" si="6"/>
        <v>0</v>
      </c>
      <c r="K88" s="48"/>
      <c r="L88" s="23"/>
      <c r="M88" s="23"/>
      <c r="N88" s="23"/>
      <c r="O88" s="48"/>
      <c r="P88" s="25">
        <f t="shared" si="7"/>
        <v>5588155</v>
      </c>
      <c r="Q88" s="228">
        <f>P88+P92+P95+P99+P102</f>
        <v>7700000</v>
      </c>
      <c r="R88" s="264" t="s">
        <v>453</v>
      </c>
      <c r="S88" s="81"/>
      <c r="T88" s="81"/>
    </row>
    <row r="89" spans="1:20" s="59" customFormat="1" ht="24.75" customHeight="1">
      <c r="A89" s="52" t="s">
        <v>392</v>
      </c>
      <c r="B89" s="53" t="s">
        <v>394</v>
      </c>
      <c r="C89" s="52" t="s">
        <v>393</v>
      </c>
      <c r="D89" s="50" t="s">
        <v>395</v>
      </c>
      <c r="E89" s="54">
        <f t="shared" si="8"/>
        <v>26051396.64</v>
      </c>
      <c r="F89" s="55">
        <f>34346966+260756+12986+22947-103852+131376-703445-1267821-732179-1300000-33521+33521-4616337.36</f>
        <v>26051396.64</v>
      </c>
      <c r="G89" s="55">
        <v>0</v>
      </c>
      <c r="H89" s="55">
        <v>0</v>
      </c>
      <c r="I89" s="55">
        <v>0</v>
      </c>
      <c r="J89" s="56">
        <f t="shared" si="6"/>
        <v>321382</v>
      </c>
      <c r="K89" s="66">
        <f>19488</f>
        <v>19488</v>
      </c>
      <c r="L89" s="55">
        <v>301894</v>
      </c>
      <c r="M89" s="55"/>
      <c r="N89" s="55"/>
      <c r="O89" s="66">
        <f>19488</f>
        <v>19488</v>
      </c>
      <c r="P89" s="58">
        <f t="shared" si="7"/>
        <v>26372778.64</v>
      </c>
      <c r="Q89" s="223"/>
      <c r="R89" s="96"/>
      <c r="S89" s="83"/>
      <c r="T89" s="83"/>
    </row>
    <row r="90" spans="1:20" s="82" customFormat="1" ht="30.75" customHeight="1">
      <c r="A90" s="18"/>
      <c r="B90" s="19"/>
      <c r="C90" s="18"/>
      <c r="D90" s="3" t="s">
        <v>60</v>
      </c>
      <c r="E90" s="22">
        <f t="shared" si="8"/>
        <v>20959952</v>
      </c>
      <c r="F90" s="23">
        <f>21692131+128852-128852-732179</f>
        <v>20959952</v>
      </c>
      <c r="G90" s="23">
        <v>0</v>
      </c>
      <c r="H90" s="23">
        <v>0</v>
      </c>
      <c r="I90" s="23">
        <v>0</v>
      </c>
      <c r="J90" s="24">
        <f t="shared" si="6"/>
        <v>0</v>
      </c>
      <c r="K90" s="48"/>
      <c r="L90" s="23"/>
      <c r="M90" s="23"/>
      <c r="N90" s="23"/>
      <c r="O90" s="48"/>
      <c r="P90" s="25">
        <f t="shared" si="7"/>
        <v>20959952</v>
      </c>
      <c r="Q90" s="228"/>
      <c r="R90" s="264" t="s">
        <v>441</v>
      </c>
      <c r="S90" s="81"/>
      <c r="T90" s="81"/>
    </row>
    <row r="91" spans="1:20" s="82" customFormat="1" ht="46.5" customHeight="1">
      <c r="A91" s="18"/>
      <c r="B91" s="19"/>
      <c r="C91" s="18"/>
      <c r="D91" s="5" t="s">
        <v>201</v>
      </c>
      <c r="E91" s="22">
        <f t="shared" si="8"/>
        <v>25000</v>
      </c>
      <c r="F91" s="23">
        <f>128852-103852</f>
        <v>25000</v>
      </c>
      <c r="G91" s="23">
        <v>0</v>
      </c>
      <c r="H91" s="23">
        <v>0</v>
      </c>
      <c r="I91" s="23">
        <v>0</v>
      </c>
      <c r="J91" s="24">
        <f t="shared" si="6"/>
        <v>0</v>
      </c>
      <c r="K91" s="48"/>
      <c r="L91" s="23"/>
      <c r="M91" s="23"/>
      <c r="N91" s="23"/>
      <c r="O91" s="48"/>
      <c r="P91" s="25">
        <f t="shared" si="7"/>
        <v>25000</v>
      </c>
      <c r="Q91" s="228"/>
      <c r="R91" s="264" t="s">
        <v>449</v>
      </c>
      <c r="S91" s="81"/>
      <c r="T91" s="81"/>
    </row>
    <row r="92" spans="1:20" s="82" customFormat="1" ht="36.75" customHeight="1">
      <c r="A92" s="18"/>
      <c r="B92" s="19"/>
      <c r="C92" s="18"/>
      <c r="D92" s="220" t="s">
        <v>211</v>
      </c>
      <c r="E92" s="22">
        <f t="shared" si="8"/>
        <v>785198</v>
      </c>
      <c r="F92" s="23">
        <f>426300+358898</f>
        <v>785198</v>
      </c>
      <c r="G92" s="23">
        <v>0</v>
      </c>
      <c r="H92" s="23">
        <v>0</v>
      </c>
      <c r="I92" s="23">
        <v>0</v>
      </c>
      <c r="J92" s="24">
        <f t="shared" si="6"/>
        <v>0</v>
      </c>
      <c r="K92" s="48"/>
      <c r="L92" s="23"/>
      <c r="M92" s="23"/>
      <c r="N92" s="23"/>
      <c r="O92" s="48"/>
      <c r="P92" s="25">
        <f t="shared" si="7"/>
        <v>785198</v>
      </c>
      <c r="Q92" s="228"/>
      <c r="R92" s="264" t="s">
        <v>453</v>
      </c>
      <c r="S92" s="81"/>
      <c r="T92" s="81"/>
    </row>
    <row r="93" spans="1:20" s="59" customFormat="1" ht="30">
      <c r="A93" s="52" t="s">
        <v>396</v>
      </c>
      <c r="B93" s="53" t="s">
        <v>398</v>
      </c>
      <c r="C93" s="52" t="s">
        <v>397</v>
      </c>
      <c r="D93" s="50" t="s">
        <v>66</v>
      </c>
      <c r="E93" s="54">
        <f t="shared" si="8"/>
        <v>11226921.36</v>
      </c>
      <c r="F93" s="55">
        <f>6804401+4000+20000-26591+59547-104183+20000+8027-33521+4616337.36+54327-60281-100000-33124-2018</f>
        <v>11226921.36</v>
      </c>
      <c r="G93" s="55">
        <v>0</v>
      </c>
      <c r="H93" s="55">
        <v>0</v>
      </c>
      <c r="I93" s="55">
        <v>0</v>
      </c>
      <c r="J93" s="43">
        <f t="shared" si="6"/>
        <v>817265</v>
      </c>
      <c r="K93" s="66">
        <v>167486</v>
      </c>
      <c r="L93" s="55">
        <v>649779</v>
      </c>
      <c r="M93" s="55"/>
      <c r="N93" s="55"/>
      <c r="O93" s="66">
        <v>167486</v>
      </c>
      <c r="P93" s="334">
        <f t="shared" si="7"/>
        <v>12044186.36</v>
      </c>
      <c r="Q93" s="223"/>
      <c r="R93" s="96"/>
      <c r="S93" s="83"/>
      <c r="T93" s="83"/>
    </row>
    <row r="94" spans="1:20" s="82" customFormat="1" ht="33" customHeight="1">
      <c r="A94" s="18"/>
      <c r="B94" s="19"/>
      <c r="C94" s="18"/>
      <c r="D94" s="3" t="s">
        <v>60</v>
      </c>
      <c r="E94" s="22">
        <f t="shared" si="8"/>
        <v>4641817</v>
      </c>
      <c r="F94" s="23">
        <f>4641817+26591-26591</f>
        <v>4641817</v>
      </c>
      <c r="G94" s="23">
        <v>0</v>
      </c>
      <c r="H94" s="23">
        <v>0</v>
      </c>
      <c r="I94" s="23">
        <v>0</v>
      </c>
      <c r="J94" s="24">
        <f t="shared" si="6"/>
        <v>0</v>
      </c>
      <c r="K94" s="48"/>
      <c r="L94" s="23"/>
      <c r="M94" s="23"/>
      <c r="N94" s="23"/>
      <c r="O94" s="48"/>
      <c r="P94" s="25">
        <f t="shared" si="7"/>
        <v>4641817</v>
      </c>
      <c r="Q94" s="228"/>
      <c r="R94" s="264" t="s">
        <v>441</v>
      </c>
      <c r="S94" s="81"/>
      <c r="T94" s="81"/>
    </row>
    <row r="95" spans="1:20" s="309" customFormat="1" ht="50.25" customHeight="1">
      <c r="A95" s="302"/>
      <c r="B95" s="303"/>
      <c r="C95" s="302"/>
      <c r="D95" s="304" t="s">
        <v>211</v>
      </c>
      <c r="E95" s="22">
        <f t="shared" si="8"/>
        <v>800</v>
      </c>
      <c r="F95" s="305">
        <v>800</v>
      </c>
      <c r="G95" s="305">
        <v>0</v>
      </c>
      <c r="H95" s="305">
        <v>0</v>
      </c>
      <c r="I95" s="305">
        <v>0</v>
      </c>
      <c r="J95" s="22">
        <f t="shared" si="6"/>
        <v>0</v>
      </c>
      <c r="K95" s="305"/>
      <c r="L95" s="305"/>
      <c r="M95" s="305"/>
      <c r="N95" s="305"/>
      <c r="O95" s="305"/>
      <c r="P95" s="22">
        <f t="shared" si="7"/>
        <v>800</v>
      </c>
      <c r="Q95" s="306"/>
      <c r="R95" s="307" t="s">
        <v>453</v>
      </c>
      <c r="S95" s="308"/>
      <c r="T95" s="308"/>
    </row>
    <row r="96" spans="1:20" s="309" customFormat="1" ht="54" customHeight="1">
      <c r="A96" s="302"/>
      <c r="B96" s="303"/>
      <c r="C96" s="302"/>
      <c r="D96" s="5" t="s">
        <v>201</v>
      </c>
      <c r="E96" s="22">
        <f t="shared" si="8"/>
        <v>54327</v>
      </c>
      <c r="F96" s="305">
        <v>54327</v>
      </c>
      <c r="G96" s="305">
        <v>0</v>
      </c>
      <c r="H96" s="305">
        <v>0</v>
      </c>
      <c r="I96" s="305">
        <v>0</v>
      </c>
      <c r="J96" s="22">
        <f t="shared" si="6"/>
        <v>0</v>
      </c>
      <c r="K96" s="305"/>
      <c r="L96" s="305"/>
      <c r="M96" s="305"/>
      <c r="N96" s="305"/>
      <c r="O96" s="305"/>
      <c r="P96" s="22">
        <f t="shared" si="7"/>
        <v>54327</v>
      </c>
      <c r="Q96" s="306"/>
      <c r="R96" s="307"/>
      <c r="S96" s="308"/>
      <c r="T96" s="308"/>
    </row>
    <row r="97" spans="1:20" s="59" customFormat="1" ht="18.75" customHeight="1">
      <c r="A97" s="52" t="s">
        <v>399</v>
      </c>
      <c r="B97" s="53" t="s">
        <v>401</v>
      </c>
      <c r="C97" s="52" t="s">
        <v>400</v>
      </c>
      <c r="D97" s="50" t="s">
        <v>402</v>
      </c>
      <c r="E97" s="54">
        <f t="shared" si="8"/>
        <v>13125689</v>
      </c>
      <c r="F97" s="55">
        <f>12799774-45069+100629-40629+49947+38484+97848+188000-63295</f>
        <v>13125689</v>
      </c>
      <c r="G97" s="55">
        <v>0</v>
      </c>
      <c r="H97" s="55">
        <v>0</v>
      </c>
      <c r="I97" s="55">
        <v>0</v>
      </c>
      <c r="J97" s="43">
        <f t="shared" si="6"/>
        <v>9751178</v>
      </c>
      <c r="K97" s="66"/>
      <c r="L97" s="55">
        <v>9751178</v>
      </c>
      <c r="M97" s="55"/>
      <c r="N97" s="55"/>
      <c r="O97" s="66"/>
      <c r="P97" s="58">
        <f t="shared" si="7"/>
        <v>22876867</v>
      </c>
      <c r="Q97" s="223"/>
      <c r="R97" s="96"/>
      <c r="S97" s="83"/>
      <c r="T97" s="83"/>
    </row>
    <row r="98" spans="1:20" s="82" customFormat="1" ht="33" customHeight="1">
      <c r="A98" s="18"/>
      <c r="B98" s="19"/>
      <c r="C98" s="18"/>
      <c r="D98" s="3" t="s">
        <v>60</v>
      </c>
      <c r="E98" s="22">
        <f t="shared" si="8"/>
        <v>8158759</v>
      </c>
      <c r="F98" s="23">
        <f>8158759+45069-45069</f>
        <v>8158759</v>
      </c>
      <c r="G98" s="23">
        <v>0</v>
      </c>
      <c r="H98" s="23">
        <v>0</v>
      </c>
      <c r="I98" s="23">
        <v>0</v>
      </c>
      <c r="J98" s="24">
        <f t="shared" si="6"/>
        <v>0</v>
      </c>
      <c r="K98" s="48"/>
      <c r="L98" s="23">
        <v>0</v>
      </c>
      <c r="M98" s="23">
        <v>0</v>
      </c>
      <c r="N98" s="23">
        <v>0</v>
      </c>
      <c r="O98" s="48">
        <v>0</v>
      </c>
      <c r="P98" s="25">
        <f t="shared" si="7"/>
        <v>8158759</v>
      </c>
      <c r="Q98" s="228"/>
      <c r="R98" s="264" t="s">
        <v>441</v>
      </c>
      <c r="S98" s="81"/>
      <c r="T98" s="81"/>
    </row>
    <row r="99" spans="1:20" s="309" customFormat="1" ht="43.5" customHeight="1">
      <c r="A99" s="302"/>
      <c r="B99" s="303"/>
      <c r="C99" s="302"/>
      <c r="D99" s="304" t="s">
        <v>211</v>
      </c>
      <c r="E99" s="22">
        <f t="shared" si="8"/>
        <v>191947</v>
      </c>
      <c r="F99" s="305">
        <f>104200+87747</f>
        <v>191947</v>
      </c>
      <c r="G99" s="305"/>
      <c r="H99" s="305"/>
      <c r="I99" s="305"/>
      <c r="J99" s="24">
        <f t="shared" si="6"/>
        <v>0</v>
      </c>
      <c r="K99" s="305"/>
      <c r="L99" s="305"/>
      <c r="M99" s="305"/>
      <c r="N99" s="305"/>
      <c r="O99" s="305"/>
      <c r="P99" s="24">
        <f t="shared" si="7"/>
        <v>191947</v>
      </c>
      <c r="Q99" s="306"/>
      <c r="R99" s="307" t="s">
        <v>453</v>
      </c>
      <c r="S99" s="308"/>
      <c r="T99" s="308"/>
    </row>
    <row r="100" spans="1:20" s="309" customFormat="1" ht="48" customHeight="1">
      <c r="A100" s="302"/>
      <c r="B100" s="303"/>
      <c r="C100" s="302"/>
      <c r="D100" s="5" t="s">
        <v>201</v>
      </c>
      <c r="E100" s="22">
        <f t="shared" si="8"/>
        <v>97848</v>
      </c>
      <c r="F100" s="305">
        <v>97848</v>
      </c>
      <c r="G100" s="305">
        <v>0</v>
      </c>
      <c r="H100" s="305">
        <v>0</v>
      </c>
      <c r="I100" s="305">
        <v>0</v>
      </c>
      <c r="J100" s="24">
        <f t="shared" si="6"/>
        <v>0</v>
      </c>
      <c r="K100" s="305"/>
      <c r="L100" s="305"/>
      <c r="M100" s="305"/>
      <c r="N100" s="305"/>
      <c r="O100" s="305"/>
      <c r="P100" s="24">
        <f t="shared" si="7"/>
        <v>97848</v>
      </c>
      <c r="Q100" s="306"/>
      <c r="R100" s="307"/>
      <c r="S100" s="308"/>
      <c r="T100" s="308"/>
    </row>
    <row r="101" spans="1:20" s="59" customFormat="1" ht="37.5" customHeight="1">
      <c r="A101" s="52" t="s">
        <v>403</v>
      </c>
      <c r="B101" s="53" t="s">
        <v>404</v>
      </c>
      <c r="C101" s="52" t="s">
        <v>67</v>
      </c>
      <c r="D101" s="50" t="s">
        <v>405</v>
      </c>
      <c r="E101" s="54">
        <f t="shared" si="8"/>
        <v>47502625.6</v>
      </c>
      <c r="F101" s="55">
        <f>31415393+300000-260756-240000+5166+137000-52627+25000-5166+302202+2688.6+327189+148119+2500000+5599+1730200+60000+667869+2031080+198900+3769273+1820673+516976+1768528+20000+196261+70357+242701-200000</f>
        <v>47502625.6</v>
      </c>
      <c r="G101" s="55">
        <v>0</v>
      </c>
      <c r="H101" s="55">
        <v>0</v>
      </c>
      <c r="I101" s="55">
        <v>0</v>
      </c>
      <c r="J101" s="43">
        <f t="shared" si="6"/>
        <v>2449540</v>
      </c>
      <c r="K101" s="66">
        <f>240000+1420000+50000+40000+50000-40000+199900+650000-20340+198900-198900-140020</f>
        <v>2449540</v>
      </c>
      <c r="L101" s="55"/>
      <c r="M101" s="55"/>
      <c r="N101" s="55"/>
      <c r="O101" s="66">
        <f>240000+1420000+50000+40000+50000-40000+199900+650000-20340+198900-198900-140020</f>
        <v>2449540</v>
      </c>
      <c r="P101" s="334">
        <f t="shared" si="7"/>
        <v>49952165.6</v>
      </c>
      <c r="Q101" s="223"/>
      <c r="R101" s="96"/>
      <c r="S101" s="83"/>
      <c r="T101" s="83"/>
    </row>
    <row r="102" spans="1:20" s="314" customFormat="1" ht="40.5" customHeight="1">
      <c r="A102" s="310"/>
      <c r="B102" s="311"/>
      <c r="C102" s="310"/>
      <c r="D102" s="304" t="s">
        <v>211</v>
      </c>
      <c r="E102" s="22">
        <f t="shared" si="8"/>
        <v>1133900</v>
      </c>
      <c r="F102" s="312">
        <v>1133900</v>
      </c>
      <c r="G102" s="312">
        <v>0</v>
      </c>
      <c r="H102" s="312">
        <v>0</v>
      </c>
      <c r="I102" s="312">
        <v>0</v>
      </c>
      <c r="J102" s="22">
        <f t="shared" si="6"/>
        <v>0</v>
      </c>
      <c r="K102" s="312"/>
      <c r="L102" s="312"/>
      <c r="M102" s="312"/>
      <c r="N102" s="312"/>
      <c r="O102" s="312"/>
      <c r="P102" s="22">
        <f t="shared" si="7"/>
        <v>1133900</v>
      </c>
      <c r="Q102" s="306"/>
      <c r="R102" s="307" t="s">
        <v>453</v>
      </c>
      <c r="S102" s="313"/>
      <c r="T102" s="313"/>
    </row>
    <row r="103" spans="1:20" s="92" customFormat="1" ht="33" customHeight="1">
      <c r="A103" s="62" t="s">
        <v>162</v>
      </c>
      <c r="B103" s="67">
        <v>2144</v>
      </c>
      <c r="C103" s="62" t="s">
        <v>406</v>
      </c>
      <c r="D103" s="68" t="s">
        <v>163</v>
      </c>
      <c r="E103" s="54">
        <f>F103+I103</f>
        <v>8775011.83</v>
      </c>
      <c r="F103" s="66">
        <f>F104+F105+800000</f>
        <v>8775011.83</v>
      </c>
      <c r="G103" s="29">
        <v>0</v>
      </c>
      <c r="H103" s="29">
        <v>0</v>
      </c>
      <c r="I103" s="29">
        <v>0</v>
      </c>
      <c r="J103" s="56">
        <f t="shared" si="6"/>
        <v>0</v>
      </c>
      <c r="K103" s="66"/>
      <c r="L103" s="55">
        <v>0</v>
      </c>
      <c r="M103" s="55">
        <v>0</v>
      </c>
      <c r="N103" s="55">
        <v>0</v>
      </c>
      <c r="O103" s="66">
        <v>0</v>
      </c>
      <c r="P103" s="334">
        <f t="shared" si="7"/>
        <v>8775011.83</v>
      </c>
      <c r="Q103" s="223"/>
      <c r="R103" s="230"/>
      <c r="S103" s="91"/>
      <c r="T103" s="91"/>
    </row>
    <row r="104" spans="1:20" s="94" customFormat="1" ht="43.5" customHeight="1">
      <c r="A104" s="45"/>
      <c r="B104" s="64"/>
      <c r="C104" s="45"/>
      <c r="D104" s="5" t="s">
        <v>201</v>
      </c>
      <c r="E104" s="22">
        <f t="shared" si="8"/>
        <v>5697889</v>
      </c>
      <c r="F104" s="48">
        <f>5297889+400000</f>
        <v>5697889</v>
      </c>
      <c r="G104" s="23">
        <v>0</v>
      </c>
      <c r="H104" s="23">
        <v>0</v>
      </c>
      <c r="I104" s="23">
        <v>0</v>
      </c>
      <c r="J104" s="24">
        <f t="shared" si="6"/>
        <v>0</v>
      </c>
      <c r="K104" s="48"/>
      <c r="L104" s="23">
        <v>0</v>
      </c>
      <c r="M104" s="23">
        <v>0</v>
      </c>
      <c r="N104" s="23">
        <v>0</v>
      </c>
      <c r="O104" s="48">
        <v>0</v>
      </c>
      <c r="P104" s="25">
        <f t="shared" si="7"/>
        <v>5697889</v>
      </c>
      <c r="Q104" s="228"/>
      <c r="R104" s="264" t="s">
        <v>449</v>
      </c>
      <c r="S104" s="93"/>
      <c r="T104" s="93"/>
    </row>
    <row r="105" spans="1:20" s="309" customFormat="1" ht="65.25" customHeight="1">
      <c r="A105" s="315"/>
      <c r="B105" s="316"/>
      <c r="C105" s="315"/>
      <c r="D105" s="317" t="s">
        <v>202</v>
      </c>
      <c r="E105" s="22">
        <f t="shared" si="8"/>
        <v>2277122.83</v>
      </c>
      <c r="F105" s="305">
        <f>1248322.83+1028800</f>
        <v>2277122.83</v>
      </c>
      <c r="G105" s="305">
        <v>0</v>
      </c>
      <c r="H105" s="305">
        <v>0</v>
      </c>
      <c r="I105" s="305">
        <v>0</v>
      </c>
      <c r="J105" s="22">
        <f t="shared" si="6"/>
        <v>0</v>
      </c>
      <c r="K105" s="318"/>
      <c r="L105" s="305"/>
      <c r="M105" s="305"/>
      <c r="N105" s="305"/>
      <c r="O105" s="305"/>
      <c r="P105" s="22">
        <f t="shared" si="7"/>
        <v>2277122.83</v>
      </c>
      <c r="Q105" s="293"/>
      <c r="R105" s="307" t="s">
        <v>437</v>
      </c>
      <c r="S105" s="308"/>
      <c r="T105" s="308"/>
    </row>
    <row r="106" spans="1:20" s="90" customFormat="1" ht="36.75" customHeight="1">
      <c r="A106" s="65" t="s">
        <v>126</v>
      </c>
      <c r="B106" s="53">
        <v>2146</v>
      </c>
      <c r="C106" s="65" t="s">
        <v>406</v>
      </c>
      <c r="D106" s="51" t="s">
        <v>127</v>
      </c>
      <c r="E106" s="54">
        <f t="shared" si="8"/>
        <v>1844293</v>
      </c>
      <c r="F106" s="55">
        <f>F107</f>
        <v>1844293</v>
      </c>
      <c r="G106" s="55">
        <v>0</v>
      </c>
      <c r="H106" s="55">
        <v>0</v>
      </c>
      <c r="I106" s="55">
        <v>0</v>
      </c>
      <c r="J106" s="43">
        <f t="shared" si="6"/>
        <v>0</v>
      </c>
      <c r="K106" s="66"/>
      <c r="L106" s="55">
        <v>0</v>
      </c>
      <c r="M106" s="55">
        <v>0</v>
      </c>
      <c r="N106" s="55">
        <v>0</v>
      </c>
      <c r="O106" s="66">
        <v>0</v>
      </c>
      <c r="P106" s="334">
        <f t="shared" si="7"/>
        <v>1844293</v>
      </c>
      <c r="Q106" s="223"/>
      <c r="R106" s="95"/>
      <c r="S106" s="89"/>
      <c r="T106" s="89"/>
    </row>
    <row r="107" spans="1:20" s="82" customFormat="1" ht="57" customHeight="1">
      <c r="A107" s="34"/>
      <c r="B107" s="19"/>
      <c r="C107" s="34"/>
      <c r="D107" s="3" t="s">
        <v>203</v>
      </c>
      <c r="E107" s="22">
        <f t="shared" si="8"/>
        <v>1844293</v>
      </c>
      <c r="F107" s="23">
        <f>1724721+106000+13572</f>
        <v>1844293</v>
      </c>
      <c r="G107" s="23">
        <v>0</v>
      </c>
      <c r="H107" s="23">
        <v>0</v>
      </c>
      <c r="I107" s="23">
        <v>0</v>
      </c>
      <c r="J107" s="24">
        <f t="shared" si="6"/>
        <v>0</v>
      </c>
      <c r="K107" s="48"/>
      <c r="L107" s="23">
        <v>0</v>
      </c>
      <c r="M107" s="23">
        <v>0</v>
      </c>
      <c r="N107" s="23">
        <v>0</v>
      </c>
      <c r="O107" s="48">
        <v>0</v>
      </c>
      <c r="P107" s="25">
        <f t="shared" si="7"/>
        <v>1844293</v>
      </c>
      <c r="Q107" s="228">
        <f>P107</f>
        <v>1844293</v>
      </c>
      <c r="R107" s="264" t="s">
        <v>450</v>
      </c>
      <c r="S107" s="81"/>
      <c r="T107" s="81"/>
    </row>
    <row r="108" spans="1:20" s="296" customFormat="1" ht="38.25" customHeight="1">
      <c r="A108" s="113" t="s">
        <v>70</v>
      </c>
      <c r="B108" s="114">
        <v>2151</v>
      </c>
      <c r="C108" s="113" t="s">
        <v>406</v>
      </c>
      <c r="D108" s="319" t="s">
        <v>68</v>
      </c>
      <c r="E108" s="54">
        <f t="shared" si="8"/>
        <v>5428592.26</v>
      </c>
      <c r="F108" s="57">
        <f>5182582+10400+11848.26+52627+49371-9539+7134+90810+33359</f>
        <v>5428592.26</v>
      </c>
      <c r="G108" s="57">
        <v>0</v>
      </c>
      <c r="H108" s="57">
        <v>0</v>
      </c>
      <c r="I108" s="57">
        <v>0</v>
      </c>
      <c r="J108" s="54">
        <f t="shared" si="6"/>
        <v>0</v>
      </c>
      <c r="K108" s="57"/>
      <c r="L108" s="57">
        <v>0</v>
      </c>
      <c r="M108" s="57">
        <v>0</v>
      </c>
      <c r="N108" s="57">
        <v>0</v>
      </c>
      <c r="O108" s="57"/>
      <c r="P108" s="54">
        <f>E108+J108</f>
        <v>5428592.26</v>
      </c>
      <c r="Q108" s="293"/>
      <c r="R108" s="294"/>
      <c r="S108" s="295"/>
      <c r="T108" s="295"/>
    </row>
    <row r="109" spans="1:20" s="82" customFormat="1" ht="33" customHeight="1">
      <c r="A109" s="18"/>
      <c r="B109" s="19"/>
      <c r="C109" s="18"/>
      <c r="D109" s="3" t="s">
        <v>60</v>
      </c>
      <c r="E109" s="22">
        <f t="shared" si="8"/>
        <v>1768199</v>
      </c>
      <c r="F109" s="23">
        <f>1768199+9539-9539</f>
        <v>1768199</v>
      </c>
      <c r="G109" s="23">
        <v>0</v>
      </c>
      <c r="H109" s="23">
        <v>0</v>
      </c>
      <c r="I109" s="23">
        <v>0</v>
      </c>
      <c r="J109" s="24">
        <f t="shared" si="6"/>
        <v>0</v>
      </c>
      <c r="K109" s="48"/>
      <c r="L109" s="23">
        <v>0</v>
      </c>
      <c r="M109" s="23">
        <v>0</v>
      </c>
      <c r="N109" s="23">
        <v>0</v>
      </c>
      <c r="O109" s="48"/>
      <c r="P109" s="25">
        <f>E109+J109</f>
        <v>1768199</v>
      </c>
      <c r="Q109" s="228"/>
      <c r="R109" s="264" t="s">
        <v>441</v>
      </c>
      <c r="S109" s="81"/>
      <c r="T109" s="81"/>
    </row>
    <row r="110" spans="1:20" s="82" customFormat="1" ht="45.75" customHeight="1">
      <c r="A110" s="18"/>
      <c r="B110" s="19"/>
      <c r="C110" s="18"/>
      <c r="D110" s="5" t="s">
        <v>201</v>
      </c>
      <c r="E110" s="22">
        <f t="shared" si="8"/>
        <v>33359</v>
      </c>
      <c r="F110" s="23">
        <v>33359</v>
      </c>
      <c r="G110" s="23"/>
      <c r="H110" s="23"/>
      <c r="I110" s="23"/>
      <c r="J110" s="24">
        <f t="shared" si="6"/>
        <v>0</v>
      </c>
      <c r="K110" s="48"/>
      <c r="L110" s="23"/>
      <c r="M110" s="23"/>
      <c r="N110" s="23"/>
      <c r="O110" s="48"/>
      <c r="P110" s="25">
        <f>E110+J110</f>
        <v>33359</v>
      </c>
      <c r="Q110" s="228"/>
      <c r="R110" s="264"/>
      <c r="S110" s="81"/>
      <c r="T110" s="81"/>
    </row>
    <row r="111" spans="1:20" s="296" customFormat="1" ht="28.5" customHeight="1">
      <c r="A111" s="113" t="s">
        <v>71</v>
      </c>
      <c r="B111" s="114">
        <v>2152</v>
      </c>
      <c r="C111" s="113" t="s">
        <v>406</v>
      </c>
      <c r="D111" s="319" t="s">
        <v>69</v>
      </c>
      <c r="E111" s="54">
        <f t="shared" si="8"/>
        <v>17206965</v>
      </c>
      <c r="F111" s="57">
        <f>31180407-144494-4000-178338-150000-20000-322202-626857-1240458-543291-219282-312218-520673-4569273-571370-2081266-912341-70357-12590-1633745+173000-13687</f>
        <v>17206965</v>
      </c>
      <c r="G111" s="57">
        <v>0</v>
      </c>
      <c r="H111" s="57">
        <v>0</v>
      </c>
      <c r="I111" s="57">
        <v>0</v>
      </c>
      <c r="J111" s="54">
        <f t="shared" si="6"/>
        <v>1577621</v>
      </c>
      <c r="K111" s="57">
        <f>3000000-100000+705000-50000-50000-650000-199000-397900+312218-992697</f>
        <v>1577621</v>
      </c>
      <c r="L111" s="57">
        <v>0</v>
      </c>
      <c r="M111" s="57">
        <v>0</v>
      </c>
      <c r="N111" s="57">
        <v>0</v>
      </c>
      <c r="O111" s="57">
        <f>3000000-100000+705000-50000-50000-650000-199000-397900+312218-992697</f>
        <v>1577621</v>
      </c>
      <c r="P111" s="54">
        <f>E111+J111</f>
        <v>18784586</v>
      </c>
      <c r="Q111" s="293"/>
      <c r="R111" s="294"/>
      <c r="S111" s="295"/>
      <c r="T111" s="295"/>
    </row>
    <row r="112" spans="1:20" s="296" customFormat="1" ht="20.25" customHeight="1">
      <c r="A112" s="113" t="s">
        <v>407</v>
      </c>
      <c r="B112" s="114" t="s">
        <v>408</v>
      </c>
      <c r="C112" s="113" t="s">
        <v>372</v>
      </c>
      <c r="D112" s="292" t="s">
        <v>409</v>
      </c>
      <c r="E112" s="54">
        <f t="shared" si="8"/>
        <v>0</v>
      </c>
      <c r="F112" s="57">
        <v>0</v>
      </c>
      <c r="G112" s="57">
        <v>0</v>
      </c>
      <c r="H112" s="57">
        <v>0</v>
      </c>
      <c r="I112" s="57">
        <v>0</v>
      </c>
      <c r="J112" s="54">
        <f t="shared" si="6"/>
        <v>5680</v>
      </c>
      <c r="K112" s="57">
        <v>5680</v>
      </c>
      <c r="L112" s="57">
        <v>0</v>
      </c>
      <c r="M112" s="57">
        <v>0</v>
      </c>
      <c r="N112" s="57">
        <v>0</v>
      </c>
      <c r="O112" s="57">
        <v>5680</v>
      </c>
      <c r="P112" s="54">
        <f t="shared" si="7"/>
        <v>5680</v>
      </c>
      <c r="Q112" s="293"/>
      <c r="R112" s="294"/>
      <c r="S112" s="295"/>
      <c r="T112" s="295"/>
    </row>
    <row r="113" spans="1:20" s="296" customFormat="1" ht="96.75" customHeight="1">
      <c r="A113" s="115" t="s">
        <v>501</v>
      </c>
      <c r="B113" s="114">
        <v>7691</v>
      </c>
      <c r="C113" s="113" t="s">
        <v>380</v>
      </c>
      <c r="D113" s="319" t="s">
        <v>172</v>
      </c>
      <c r="E113" s="54">
        <f aca="true" t="shared" si="9" ref="E113:E119">F113+I113</f>
        <v>0</v>
      </c>
      <c r="F113" s="57"/>
      <c r="G113" s="57"/>
      <c r="H113" s="57"/>
      <c r="I113" s="57"/>
      <c r="J113" s="54">
        <f>L113+O113</f>
        <v>336804.19</v>
      </c>
      <c r="K113" s="57"/>
      <c r="L113" s="57">
        <f>0+336804.19</f>
        <v>336804.19</v>
      </c>
      <c r="M113" s="57"/>
      <c r="N113" s="57"/>
      <c r="O113" s="57"/>
      <c r="P113" s="54">
        <f>E113+J113</f>
        <v>336804.19</v>
      </c>
      <c r="Q113" s="293"/>
      <c r="R113" s="294"/>
      <c r="S113" s="295"/>
      <c r="T113" s="295"/>
    </row>
    <row r="114" spans="1:20" s="59" customFormat="1" ht="18" customHeight="1">
      <c r="A114" s="62" t="s">
        <v>234</v>
      </c>
      <c r="B114" s="67">
        <v>9770</v>
      </c>
      <c r="C114" s="52" t="s">
        <v>286</v>
      </c>
      <c r="D114" s="68" t="s">
        <v>554</v>
      </c>
      <c r="E114" s="54">
        <f t="shared" si="9"/>
        <v>150000</v>
      </c>
      <c r="F114" s="55">
        <v>150000</v>
      </c>
      <c r="G114" s="55"/>
      <c r="H114" s="55"/>
      <c r="I114" s="55"/>
      <c r="J114" s="56">
        <f>L114+O114</f>
        <v>0</v>
      </c>
      <c r="K114" s="66"/>
      <c r="L114" s="55"/>
      <c r="M114" s="55"/>
      <c r="N114" s="55"/>
      <c r="O114" s="66"/>
      <c r="P114" s="58">
        <f>E114+J114</f>
        <v>150000</v>
      </c>
      <c r="Q114" s="223"/>
      <c r="R114" s="96"/>
      <c r="S114" s="83"/>
      <c r="T114" s="83"/>
    </row>
    <row r="115" spans="1:20" s="82" customFormat="1" ht="69" customHeight="1">
      <c r="A115" s="45"/>
      <c r="B115" s="64"/>
      <c r="C115" s="18"/>
      <c r="D115" s="3" t="s">
        <v>204</v>
      </c>
      <c r="E115" s="22">
        <f t="shared" si="9"/>
        <v>150000</v>
      </c>
      <c r="F115" s="23">
        <v>150000</v>
      </c>
      <c r="G115" s="23"/>
      <c r="H115" s="23"/>
      <c r="I115" s="23"/>
      <c r="J115" s="24">
        <f>L115+O115</f>
        <v>0</v>
      </c>
      <c r="K115" s="48"/>
      <c r="L115" s="23"/>
      <c r="M115" s="23"/>
      <c r="N115" s="23"/>
      <c r="O115" s="48"/>
      <c r="P115" s="25">
        <f>E115+J115</f>
        <v>150000</v>
      </c>
      <c r="Q115" s="228"/>
      <c r="R115" s="17"/>
      <c r="S115" s="81"/>
      <c r="T115" s="81"/>
    </row>
    <row r="116" spans="1:20" s="138" customFormat="1" ht="21.75" customHeight="1">
      <c r="A116" s="130" t="s">
        <v>410</v>
      </c>
      <c r="B116" s="134"/>
      <c r="C116" s="128"/>
      <c r="D116" s="135" t="s">
        <v>411</v>
      </c>
      <c r="E116" s="108">
        <f t="shared" si="9"/>
        <v>512019448.28</v>
      </c>
      <c r="F116" s="108">
        <f aca="true" t="shared" si="10" ref="F116:O116">F117+F134+F182+F229+F277</f>
        <v>512019448.28</v>
      </c>
      <c r="G116" s="108">
        <f t="shared" si="10"/>
        <v>52014629</v>
      </c>
      <c r="H116" s="108">
        <f t="shared" si="10"/>
        <v>3814825</v>
      </c>
      <c r="I116" s="108">
        <f t="shared" si="10"/>
        <v>0</v>
      </c>
      <c r="J116" s="108">
        <f t="shared" si="10"/>
        <v>2831458</v>
      </c>
      <c r="K116" s="108">
        <f t="shared" si="10"/>
        <v>2538358</v>
      </c>
      <c r="L116" s="108">
        <f t="shared" si="10"/>
        <v>293100</v>
      </c>
      <c r="M116" s="108">
        <f t="shared" si="10"/>
        <v>157900</v>
      </c>
      <c r="N116" s="108">
        <f t="shared" si="10"/>
        <v>0</v>
      </c>
      <c r="O116" s="108">
        <f t="shared" si="10"/>
        <v>2538358</v>
      </c>
      <c r="P116" s="136">
        <f t="shared" si="7"/>
        <v>514850906.28</v>
      </c>
      <c r="Q116" s="223"/>
      <c r="R116" s="226"/>
      <c r="S116" s="137"/>
      <c r="T116" s="137"/>
    </row>
    <row r="117" spans="1:20" s="203" customFormat="1" ht="33" customHeight="1">
      <c r="A117" s="195" t="s">
        <v>412</v>
      </c>
      <c r="B117" s="196"/>
      <c r="C117" s="197"/>
      <c r="D117" s="198" t="s">
        <v>0</v>
      </c>
      <c r="E117" s="199">
        <f t="shared" si="9"/>
        <v>35994737</v>
      </c>
      <c r="F117" s="199">
        <f>F118+F120+F127+F128+F119+F121+F122+F123+F124+F125+F126+F129+F131+F132</f>
        <v>35994737</v>
      </c>
      <c r="G117" s="199">
        <f>G118+G120+G127+G128+G119+G121+G122+G123+G124+G125+G126+G129+G131+G132</f>
        <v>6345860</v>
      </c>
      <c r="H117" s="199">
        <f>H118+H120+H127+H128+H119+H121+H122+H123+H124+H125+H126+H129+H131+H132</f>
        <v>656427</v>
      </c>
      <c r="I117" s="199">
        <f>I118+I120+I127+I128+I119+I121+I122+I123+I124+I125+I126+I129+I131+I132</f>
        <v>0</v>
      </c>
      <c r="J117" s="200">
        <f t="shared" si="6"/>
        <v>145000</v>
      </c>
      <c r="K117" s="199">
        <f>K118+K120+K127+K128+K119+K121+K122+K123+K124+K125+K126+K129+K131+K132</f>
        <v>145000</v>
      </c>
      <c r="L117" s="199">
        <f>L118+L120+L127+L128+L119+L121+L122+L123+L124+L125+L126+L129+L131+L132</f>
        <v>0</v>
      </c>
      <c r="M117" s="199">
        <f>M118+M120+M127+M128+M119+M121+M122+M123+M124+M125+M126+M129+M131+M132</f>
        <v>0</v>
      </c>
      <c r="N117" s="199">
        <f>N118+N120+N127+N128+N119+N121+N122+N123+N124+N125+N126+N129+N131+N132</f>
        <v>0</v>
      </c>
      <c r="O117" s="199">
        <f>O118+O120+O127+O128+O119+O121+O122+O123+O124+O125+O126+O129+O131+O132</f>
        <v>145000</v>
      </c>
      <c r="P117" s="201">
        <f t="shared" si="7"/>
        <v>36139737</v>
      </c>
      <c r="Q117" s="223"/>
      <c r="R117" s="227"/>
      <c r="S117" s="202"/>
      <c r="T117" s="202"/>
    </row>
    <row r="118" spans="1:20" s="59" customFormat="1" ht="42.75" customHeight="1">
      <c r="A118" s="52" t="s">
        <v>413</v>
      </c>
      <c r="B118" s="53" t="s">
        <v>296</v>
      </c>
      <c r="C118" s="52" t="s">
        <v>281</v>
      </c>
      <c r="D118" s="50" t="s">
        <v>297</v>
      </c>
      <c r="E118" s="54">
        <f t="shared" si="9"/>
        <v>3610800</v>
      </c>
      <c r="F118" s="55">
        <f>4474360-863560</f>
        <v>3610800</v>
      </c>
      <c r="G118" s="55">
        <f>3409280-657180</f>
        <v>2752100</v>
      </c>
      <c r="H118" s="55">
        <f>211052-51300</f>
        <v>159752</v>
      </c>
      <c r="I118" s="55">
        <v>0</v>
      </c>
      <c r="J118" s="56">
        <f t="shared" si="6"/>
        <v>30000</v>
      </c>
      <c r="K118" s="66">
        <v>30000</v>
      </c>
      <c r="L118" s="55">
        <v>0</v>
      </c>
      <c r="M118" s="55">
        <v>0</v>
      </c>
      <c r="N118" s="55">
        <v>0</v>
      </c>
      <c r="O118" s="66">
        <v>30000</v>
      </c>
      <c r="P118" s="58">
        <f t="shared" si="7"/>
        <v>3640800</v>
      </c>
      <c r="Q118" s="223"/>
      <c r="R118" s="96"/>
      <c r="S118" s="83"/>
      <c r="T118" s="83"/>
    </row>
    <row r="119" spans="1:20" s="59" customFormat="1" ht="41.25" customHeight="1">
      <c r="A119" s="65" t="s">
        <v>223</v>
      </c>
      <c r="B119" s="65" t="s">
        <v>646</v>
      </c>
      <c r="C119" s="65" t="s">
        <v>137</v>
      </c>
      <c r="D119" s="51" t="s">
        <v>138</v>
      </c>
      <c r="E119" s="54">
        <f t="shared" si="9"/>
        <v>25000</v>
      </c>
      <c r="F119" s="66">
        <f>35000-10000</f>
        <v>25000</v>
      </c>
      <c r="G119" s="55"/>
      <c r="H119" s="55"/>
      <c r="I119" s="55"/>
      <c r="J119" s="56">
        <f>L119+O119</f>
        <v>0</v>
      </c>
      <c r="K119" s="66"/>
      <c r="L119" s="55"/>
      <c r="M119" s="55"/>
      <c r="N119" s="55"/>
      <c r="O119" s="66"/>
      <c r="P119" s="58">
        <f t="shared" si="7"/>
        <v>25000</v>
      </c>
      <c r="Q119" s="223"/>
      <c r="R119" s="96"/>
      <c r="S119" s="83"/>
      <c r="T119" s="83"/>
    </row>
    <row r="120" spans="1:20" s="59" customFormat="1" ht="27.75" customHeight="1">
      <c r="A120" s="52" t="s">
        <v>414</v>
      </c>
      <c r="B120" s="53" t="s">
        <v>286</v>
      </c>
      <c r="C120" s="52" t="s">
        <v>285</v>
      </c>
      <c r="D120" s="50" t="s">
        <v>287</v>
      </c>
      <c r="E120" s="54">
        <f aca="true" t="shared" si="11" ref="E120:E178">F120+I120</f>
        <v>247684</v>
      </c>
      <c r="F120" s="55">
        <f>232000-82000+66246+20000+11438</f>
        <v>247684</v>
      </c>
      <c r="G120" s="55"/>
      <c r="H120" s="55"/>
      <c r="I120" s="55">
        <v>0</v>
      </c>
      <c r="J120" s="56">
        <f t="shared" si="6"/>
        <v>0</v>
      </c>
      <c r="K120" s="66">
        <v>0</v>
      </c>
      <c r="L120" s="55">
        <v>0</v>
      </c>
      <c r="M120" s="55">
        <v>0</v>
      </c>
      <c r="N120" s="55">
        <v>0</v>
      </c>
      <c r="O120" s="66">
        <v>0</v>
      </c>
      <c r="P120" s="58">
        <f t="shared" si="7"/>
        <v>247684</v>
      </c>
      <c r="Q120" s="223"/>
      <c r="R120" s="96"/>
      <c r="S120" s="83"/>
      <c r="T120" s="83"/>
    </row>
    <row r="121" spans="1:20" s="296" customFormat="1" ht="37.5" customHeight="1">
      <c r="A121" s="113" t="s">
        <v>458</v>
      </c>
      <c r="B121" s="114" t="s">
        <v>459</v>
      </c>
      <c r="C121" s="113" t="s">
        <v>421</v>
      </c>
      <c r="D121" s="292" t="s">
        <v>460</v>
      </c>
      <c r="E121" s="54">
        <f t="shared" si="11"/>
        <v>0</v>
      </c>
      <c r="F121" s="57">
        <v>0</v>
      </c>
      <c r="G121" s="57">
        <v>0</v>
      </c>
      <c r="H121" s="57">
        <v>0</v>
      </c>
      <c r="I121" s="57">
        <v>0</v>
      </c>
      <c r="J121" s="54">
        <f t="shared" si="6"/>
        <v>115000</v>
      </c>
      <c r="K121" s="57">
        <v>115000</v>
      </c>
      <c r="L121" s="57">
        <v>0</v>
      </c>
      <c r="M121" s="57">
        <v>0</v>
      </c>
      <c r="N121" s="57">
        <v>0</v>
      </c>
      <c r="O121" s="57">
        <v>115000</v>
      </c>
      <c r="P121" s="54">
        <f t="shared" si="7"/>
        <v>115000</v>
      </c>
      <c r="Q121" s="293"/>
      <c r="R121" s="294"/>
      <c r="S121" s="295"/>
      <c r="T121" s="295"/>
    </row>
    <row r="122" spans="1:20" s="296" customFormat="1" ht="36.75" customHeight="1">
      <c r="A122" s="113" t="s">
        <v>461</v>
      </c>
      <c r="B122" s="114" t="s">
        <v>463</v>
      </c>
      <c r="C122" s="113" t="s">
        <v>462</v>
      </c>
      <c r="D122" s="292" t="s">
        <v>464</v>
      </c>
      <c r="E122" s="54">
        <f t="shared" si="11"/>
        <v>1074000</v>
      </c>
      <c r="F122" s="57">
        <v>1074000</v>
      </c>
      <c r="G122" s="57">
        <v>0</v>
      </c>
      <c r="H122" s="57">
        <v>0</v>
      </c>
      <c r="I122" s="57">
        <v>0</v>
      </c>
      <c r="J122" s="54">
        <f t="shared" si="6"/>
        <v>0</v>
      </c>
      <c r="K122" s="57"/>
      <c r="L122" s="57">
        <v>0</v>
      </c>
      <c r="M122" s="57">
        <v>0</v>
      </c>
      <c r="N122" s="57">
        <v>0</v>
      </c>
      <c r="O122" s="57">
        <v>0</v>
      </c>
      <c r="P122" s="54">
        <f t="shared" si="7"/>
        <v>1074000</v>
      </c>
      <c r="Q122" s="293"/>
      <c r="R122" s="294"/>
      <c r="S122" s="295"/>
      <c r="T122" s="295"/>
    </row>
    <row r="123" spans="1:20" s="296" customFormat="1" ht="35.25" customHeight="1">
      <c r="A123" s="113" t="s">
        <v>465</v>
      </c>
      <c r="B123" s="114" t="s">
        <v>466</v>
      </c>
      <c r="C123" s="113" t="s">
        <v>462</v>
      </c>
      <c r="D123" s="292" t="s">
        <v>467</v>
      </c>
      <c r="E123" s="54">
        <f t="shared" si="11"/>
        <v>561100</v>
      </c>
      <c r="F123" s="57">
        <f>1031100-100000-370000</f>
        <v>561100</v>
      </c>
      <c r="G123" s="57">
        <v>0</v>
      </c>
      <c r="H123" s="57">
        <v>0</v>
      </c>
      <c r="I123" s="57">
        <v>0</v>
      </c>
      <c r="J123" s="54">
        <f t="shared" si="6"/>
        <v>0</v>
      </c>
      <c r="K123" s="57"/>
      <c r="L123" s="57">
        <v>0</v>
      </c>
      <c r="M123" s="57">
        <v>0</v>
      </c>
      <c r="N123" s="57">
        <v>0</v>
      </c>
      <c r="O123" s="57">
        <v>0</v>
      </c>
      <c r="P123" s="54">
        <f t="shared" si="7"/>
        <v>561100</v>
      </c>
      <c r="Q123" s="293"/>
      <c r="R123" s="294"/>
      <c r="S123" s="295"/>
      <c r="T123" s="295"/>
    </row>
    <row r="124" spans="1:20" s="296" customFormat="1" ht="36.75" customHeight="1">
      <c r="A124" s="113" t="s">
        <v>468</v>
      </c>
      <c r="B124" s="114" t="s">
        <v>469</v>
      </c>
      <c r="C124" s="113" t="s">
        <v>462</v>
      </c>
      <c r="D124" s="292" t="s">
        <v>470</v>
      </c>
      <c r="E124" s="54">
        <f t="shared" si="11"/>
        <v>5522000</v>
      </c>
      <c r="F124" s="57">
        <f>3222000+2000000+300000</f>
        <v>5522000</v>
      </c>
      <c r="G124" s="57">
        <v>0</v>
      </c>
      <c r="H124" s="57">
        <v>0</v>
      </c>
      <c r="I124" s="57">
        <v>0</v>
      </c>
      <c r="J124" s="54">
        <f t="shared" si="6"/>
        <v>0</v>
      </c>
      <c r="K124" s="57"/>
      <c r="L124" s="57">
        <v>0</v>
      </c>
      <c r="M124" s="57">
        <v>0</v>
      </c>
      <c r="N124" s="57">
        <v>0</v>
      </c>
      <c r="O124" s="57">
        <v>0</v>
      </c>
      <c r="P124" s="54">
        <f t="shared" si="7"/>
        <v>5522000</v>
      </c>
      <c r="Q124" s="293"/>
      <c r="R124" s="294"/>
      <c r="S124" s="295"/>
      <c r="T124" s="295"/>
    </row>
    <row r="125" spans="1:20" s="296" customFormat="1" ht="39" customHeight="1">
      <c r="A125" s="113" t="s">
        <v>492</v>
      </c>
      <c r="B125" s="114" t="s">
        <v>493</v>
      </c>
      <c r="C125" s="113" t="s">
        <v>315</v>
      </c>
      <c r="D125" s="292" t="s">
        <v>494</v>
      </c>
      <c r="E125" s="54">
        <f t="shared" si="11"/>
        <v>2508000</v>
      </c>
      <c r="F125" s="57">
        <v>2508000</v>
      </c>
      <c r="G125" s="57">
        <f>1930000-6800</f>
        <v>1923200</v>
      </c>
      <c r="H125" s="57">
        <f>86300+555</f>
        <v>86855</v>
      </c>
      <c r="I125" s="57">
        <v>0</v>
      </c>
      <c r="J125" s="54">
        <f t="shared" si="6"/>
        <v>0</v>
      </c>
      <c r="K125" s="57"/>
      <c r="L125" s="57">
        <v>0</v>
      </c>
      <c r="M125" s="57">
        <v>0</v>
      </c>
      <c r="N125" s="57">
        <v>0</v>
      </c>
      <c r="O125" s="57">
        <v>0</v>
      </c>
      <c r="P125" s="54">
        <f t="shared" si="7"/>
        <v>2508000</v>
      </c>
      <c r="Q125" s="293"/>
      <c r="R125" s="294"/>
      <c r="S125" s="295"/>
      <c r="T125" s="295"/>
    </row>
    <row r="126" spans="1:20" s="296" customFormat="1" ht="21" customHeight="1">
      <c r="A126" s="113" t="s">
        <v>495</v>
      </c>
      <c r="B126" s="114" t="s">
        <v>496</v>
      </c>
      <c r="C126" s="113" t="s">
        <v>315</v>
      </c>
      <c r="D126" s="292" t="s">
        <v>497</v>
      </c>
      <c r="E126" s="54">
        <f t="shared" si="11"/>
        <v>192550</v>
      </c>
      <c r="F126" s="57">
        <f>177550+15000</f>
        <v>192550</v>
      </c>
      <c r="G126" s="57"/>
      <c r="H126" s="57"/>
      <c r="I126" s="57">
        <v>0</v>
      </c>
      <c r="J126" s="54">
        <f t="shared" si="6"/>
        <v>0</v>
      </c>
      <c r="K126" s="57"/>
      <c r="L126" s="57">
        <v>0</v>
      </c>
      <c r="M126" s="57">
        <v>0</v>
      </c>
      <c r="N126" s="57">
        <v>0</v>
      </c>
      <c r="O126" s="57">
        <v>0</v>
      </c>
      <c r="P126" s="54">
        <f t="shared" si="7"/>
        <v>192550</v>
      </c>
      <c r="Q126" s="293"/>
      <c r="R126" s="294"/>
      <c r="S126" s="295"/>
      <c r="T126" s="295"/>
    </row>
    <row r="127" spans="1:20" s="59" customFormat="1" ht="69.75" customHeight="1">
      <c r="A127" s="52" t="s">
        <v>498</v>
      </c>
      <c r="B127" s="53" t="s">
        <v>332</v>
      </c>
      <c r="C127" s="52" t="s">
        <v>315</v>
      </c>
      <c r="D127" s="50" t="s">
        <v>334</v>
      </c>
      <c r="E127" s="54">
        <f t="shared" si="11"/>
        <v>1503600</v>
      </c>
      <c r="F127" s="55">
        <v>1503600</v>
      </c>
      <c r="G127" s="55"/>
      <c r="H127" s="55"/>
      <c r="I127" s="55">
        <v>0</v>
      </c>
      <c r="J127" s="56">
        <f t="shared" si="6"/>
        <v>0</v>
      </c>
      <c r="K127" s="66"/>
      <c r="L127" s="55">
        <v>0</v>
      </c>
      <c r="M127" s="55">
        <v>0</v>
      </c>
      <c r="N127" s="55">
        <v>0</v>
      </c>
      <c r="O127" s="66">
        <v>0</v>
      </c>
      <c r="P127" s="58">
        <f t="shared" si="7"/>
        <v>1503600</v>
      </c>
      <c r="Q127" s="223"/>
      <c r="R127" s="96"/>
      <c r="S127" s="83"/>
      <c r="T127" s="83"/>
    </row>
    <row r="128" spans="1:20" s="59" customFormat="1" ht="72.75" customHeight="1">
      <c r="A128" s="52" t="s">
        <v>503</v>
      </c>
      <c r="B128" s="53" t="s">
        <v>504</v>
      </c>
      <c r="C128" s="52" t="s">
        <v>415</v>
      </c>
      <c r="D128" s="50" t="s">
        <v>502</v>
      </c>
      <c r="E128" s="54">
        <f t="shared" si="11"/>
        <v>30000</v>
      </c>
      <c r="F128" s="55">
        <v>30000</v>
      </c>
      <c r="G128" s="55"/>
      <c r="H128" s="55"/>
      <c r="I128" s="55">
        <v>0</v>
      </c>
      <c r="J128" s="56">
        <f t="shared" si="6"/>
        <v>0</v>
      </c>
      <c r="K128" s="66"/>
      <c r="L128" s="55">
        <v>0</v>
      </c>
      <c r="M128" s="55">
        <v>0</v>
      </c>
      <c r="N128" s="55">
        <v>0</v>
      </c>
      <c r="O128" s="66">
        <v>0</v>
      </c>
      <c r="P128" s="58">
        <f t="shared" si="7"/>
        <v>30000</v>
      </c>
      <c r="Q128" s="223"/>
      <c r="R128" s="96"/>
      <c r="S128" s="83"/>
      <c r="T128" s="83"/>
    </row>
    <row r="129" spans="1:20" s="296" customFormat="1" ht="43.5" customHeight="1">
      <c r="A129" s="115" t="s">
        <v>82</v>
      </c>
      <c r="B129" s="297">
        <v>3192</v>
      </c>
      <c r="C129" s="115">
        <v>1030</v>
      </c>
      <c r="D129" s="116" t="s">
        <v>83</v>
      </c>
      <c r="E129" s="54">
        <f t="shared" si="11"/>
        <v>788015</v>
      </c>
      <c r="F129" s="57">
        <f>556100+70515+10000+12000+109400+30000</f>
        <v>788015</v>
      </c>
      <c r="G129" s="57">
        <v>0</v>
      </c>
      <c r="H129" s="57">
        <v>0</v>
      </c>
      <c r="I129" s="57">
        <v>0</v>
      </c>
      <c r="J129" s="54">
        <f t="shared" si="6"/>
        <v>0</v>
      </c>
      <c r="K129" s="57"/>
      <c r="L129" s="57">
        <v>0</v>
      </c>
      <c r="M129" s="57">
        <v>0</v>
      </c>
      <c r="N129" s="57">
        <v>0</v>
      </c>
      <c r="O129" s="57">
        <v>0</v>
      </c>
      <c r="P129" s="54">
        <f aca="true" t="shared" si="12" ref="P129:P184">E129+J129</f>
        <v>788015</v>
      </c>
      <c r="Q129" s="293"/>
      <c r="R129" s="294"/>
      <c r="S129" s="295"/>
      <c r="T129" s="295"/>
    </row>
    <row r="130" spans="1:20" s="82" customFormat="1" ht="32.25" customHeight="1">
      <c r="A130" s="34"/>
      <c r="B130" s="44"/>
      <c r="C130" s="34"/>
      <c r="D130" s="3" t="s">
        <v>226</v>
      </c>
      <c r="E130" s="22">
        <f t="shared" si="11"/>
        <v>40000</v>
      </c>
      <c r="F130" s="23">
        <f>10000+30000</f>
        <v>40000</v>
      </c>
      <c r="G130" s="23"/>
      <c r="H130" s="23"/>
      <c r="I130" s="23"/>
      <c r="J130" s="28">
        <f t="shared" si="6"/>
        <v>0</v>
      </c>
      <c r="K130" s="48"/>
      <c r="L130" s="23"/>
      <c r="M130" s="23"/>
      <c r="N130" s="23"/>
      <c r="O130" s="48"/>
      <c r="P130" s="25">
        <f t="shared" si="12"/>
        <v>40000</v>
      </c>
      <c r="Q130" s="228"/>
      <c r="R130" s="264" t="s">
        <v>439</v>
      </c>
      <c r="S130" s="81"/>
      <c r="T130" s="81"/>
    </row>
    <row r="131" spans="1:20" s="296" customFormat="1" ht="39" customHeight="1">
      <c r="A131" s="115" t="s">
        <v>84</v>
      </c>
      <c r="B131" s="297">
        <v>3241</v>
      </c>
      <c r="C131" s="115">
        <v>1090</v>
      </c>
      <c r="D131" s="319" t="s">
        <v>85</v>
      </c>
      <c r="E131" s="54">
        <f t="shared" si="11"/>
        <v>2668470</v>
      </c>
      <c r="F131" s="320">
        <f>2638470+30000</f>
        <v>2668470</v>
      </c>
      <c r="G131" s="57">
        <f>1593770+24590+52200</f>
        <v>1670560</v>
      </c>
      <c r="H131" s="57">
        <f>458020+1800-50000</f>
        <v>409820</v>
      </c>
      <c r="I131" s="57"/>
      <c r="J131" s="54">
        <f aca="true" t="shared" si="13" ref="J131:J186">L131+O131</f>
        <v>0</v>
      </c>
      <c r="K131" s="57"/>
      <c r="L131" s="57"/>
      <c r="M131" s="57"/>
      <c r="N131" s="57"/>
      <c r="O131" s="57"/>
      <c r="P131" s="54">
        <f t="shared" si="12"/>
        <v>2668470</v>
      </c>
      <c r="Q131" s="293"/>
      <c r="R131" s="294"/>
      <c r="S131" s="295"/>
      <c r="T131" s="295"/>
    </row>
    <row r="132" spans="1:20" s="296" customFormat="1" ht="26.25" customHeight="1">
      <c r="A132" s="115" t="s">
        <v>86</v>
      </c>
      <c r="B132" s="115" t="s">
        <v>87</v>
      </c>
      <c r="C132" s="113">
        <v>1090</v>
      </c>
      <c r="D132" s="319" t="s">
        <v>80</v>
      </c>
      <c r="E132" s="54">
        <f t="shared" si="11"/>
        <v>17263518</v>
      </c>
      <c r="F132" s="321">
        <f>11464800+550000+100000+607500+12000+192000+59000+1576700+8000+13000+80000+470200+110597+13500+30000+3000+312828+5000+11500+34000+19000+409317+6000+34000+90000+29000+326634+93000+261365+206946+202000+11000+150000+50000+254690-635000+7500+4000-18000+16000+259893+100000-15000-314470+18000+201218-73700+100000-91140-20690-71670</f>
        <v>17263518</v>
      </c>
      <c r="G132" s="57"/>
      <c r="H132" s="57"/>
      <c r="I132" s="57"/>
      <c r="J132" s="54">
        <f t="shared" si="13"/>
        <v>0</v>
      </c>
      <c r="K132" s="57"/>
      <c r="L132" s="57"/>
      <c r="M132" s="57"/>
      <c r="N132" s="57"/>
      <c r="O132" s="57"/>
      <c r="P132" s="54">
        <f t="shared" si="12"/>
        <v>17263518</v>
      </c>
      <c r="Q132" s="293"/>
      <c r="R132" s="294"/>
      <c r="S132" s="295"/>
      <c r="T132" s="295"/>
    </row>
    <row r="133" spans="1:20" s="94" customFormat="1" ht="36.75" customHeight="1">
      <c r="A133" s="45"/>
      <c r="B133" s="45"/>
      <c r="C133" s="46"/>
      <c r="D133" s="3" t="s">
        <v>226</v>
      </c>
      <c r="E133" s="22">
        <f t="shared" si="11"/>
        <v>1850500</v>
      </c>
      <c r="F133" s="47">
        <f>550000+12000+192000+59000+8000+13000+80000+13500+30000+3000+5000+11500+34000+19000+6000+34000+29000+93000+202000+11000+150000+50000+7500+4000+16000+100000+18000+100000</f>
        <v>1850500</v>
      </c>
      <c r="G133" s="48"/>
      <c r="H133" s="48"/>
      <c r="I133" s="48"/>
      <c r="J133" s="24">
        <f t="shared" si="13"/>
        <v>0</v>
      </c>
      <c r="K133" s="48"/>
      <c r="L133" s="48"/>
      <c r="M133" s="48"/>
      <c r="N133" s="48"/>
      <c r="O133" s="48"/>
      <c r="P133" s="49">
        <f t="shared" si="12"/>
        <v>1850500</v>
      </c>
      <c r="Q133" s="228"/>
      <c r="R133" s="264" t="s">
        <v>439</v>
      </c>
      <c r="S133" s="93"/>
      <c r="T133" s="93"/>
    </row>
    <row r="134" spans="1:20" s="206" customFormat="1" ht="35.25" customHeight="1">
      <c r="A134" s="195" t="s">
        <v>412</v>
      </c>
      <c r="B134" s="196"/>
      <c r="C134" s="197"/>
      <c r="D134" s="198" t="s">
        <v>1</v>
      </c>
      <c r="E134" s="199">
        <f t="shared" si="11"/>
        <v>164849364.35</v>
      </c>
      <c r="F134" s="199">
        <f>F135+F136+F137+F177+F178+F139+F141+F143+F145+F147+F148+F150+F152+F154+F156+F158+F160+F162+F164+F166+F168+F170+F172+F174+F176+F179</f>
        <v>164849364.35</v>
      </c>
      <c r="G134" s="199">
        <f>G135+G136+G137+G177+G178+G139+G141+G143+G145+G147+G148+G150+G152+G154+G156+G158+G160+G162+G164+G166+G168+G170+G172+G174+G176+G179</f>
        <v>14638236</v>
      </c>
      <c r="H134" s="199">
        <f>H135+H136+H137+H177+H178+H139+H141+H143+H145+H147+H148+H150+H152+H154+H156+H158+H160+H162+H164+H166+H168+H170+H172+H174+H176+H179</f>
        <v>1605339</v>
      </c>
      <c r="I134" s="199">
        <f>I135+I136+I137+I177+I178+I139+I141+I143+I145+I147+I148+I150+I152+I154+I156+I158+I160+I162+I164+I166+I168+I170+I172+I174+I176+I179</f>
        <v>0</v>
      </c>
      <c r="J134" s="200">
        <f t="shared" si="13"/>
        <v>2397358</v>
      </c>
      <c r="K134" s="199">
        <f>K135+K136+K137+K177+K178+K139+K141+K143+K145+K147+K148+K150+K152+K154+K156+K158+K160+K162+K164+K166+K168+K170+K172+K174+K176+K179+K180</f>
        <v>2283358</v>
      </c>
      <c r="L134" s="199">
        <f>L135+L136+L137+L177+L178+L139+L141+L143+L145+L147+L148+L150+L152+L154+L156+L158+L160+L162+L164+L166+L168+L170+L172+L174+L176+L179+L180</f>
        <v>114000</v>
      </c>
      <c r="M134" s="199">
        <f>M135+M136+M137+M177+M178+M139+M141+M143+M145+M147+M148+M150+M152+M154+M156+M158+M160+M162+M164+M166+M168+M170+M172+M174+M176+M179+M180</f>
        <v>30000</v>
      </c>
      <c r="N134" s="199">
        <f>N135+N136+N137+N177+N178+N139+N141+N143+N145+N147+N148+N150+N152+N154+N156+N158+N160+N162+N164+N166+N168+N170+N172+N174+N176+N179+N180</f>
        <v>0</v>
      </c>
      <c r="O134" s="199">
        <f>O135+O136+O137+O177+O178+O139+O141+O143+O145+O147+O148+O150+O152+O154+O156+O158+O160+O162+O164+O166+O168+O170+O172+O174+O176+O179+O180</f>
        <v>2283358</v>
      </c>
      <c r="P134" s="201">
        <f>E134+J134</f>
        <v>167246722.35</v>
      </c>
      <c r="Q134" s="223"/>
      <c r="R134" s="232"/>
      <c r="S134" s="205"/>
      <c r="T134" s="205"/>
    </row>
    <row r="135" spans="1:20" s="59" customFormat="1" ht="36.75" customHeight="1">
      <c r="A135" s="52" t="s">
        <v>413</v>
      </c>
      <c r="B135" s="53" t="s">
        <v>296</v>
      </c>
      <c r="C135" s="52" t="s">
        <v>281</v>
      </c>
      <c r="D135" s="50" t="s">
        <v>297</v>
      </c>
      <c r="E135" s="54">
        <f t="shared" si="11"/>
        <v>12404170</v>
      </c>
      <c r="F135" s="55">
        <f>12069170+199500+135500</f>
        <v>12404170</v>
      </c>
      <c r="G135" s="55">
        <f>9525004-32560</f>
        <v>9492444</v>
      </c>
      <c r="H135" s="55">
        <f>273281+135500</f>
        <v>408781</v>
      </c>
      <c r="I135" s="55">
        <v>0</v>
      </c>
      <c r="J135" s="56">
        <f t="shared" si="13"/>
        <v>40000</v>
      </c>
      <c r="K135" s="66">
        <f>15000+25000</f>
        <v>40000</v>
      </c>
      <c r="L135" s="55">
        <v>0</v>
      </c>
      <c r="M135" s="55">
        <v>0</v>
      </c>
      <c r="N135" s="55">
        <v>0</v>
      </c>
      <c r="O135" s="66">
        <f>15000+25000</f>
        <v>40000</v>
      </c>
      <c r="P135" s="58">
        <f t="shared" si="12"/>
        <v>12444170</v>
      </c>
      <c r="Q135" s="223"/>
      <c r="R135" s="96"/>
      <c r="S135" s="83"/>
      <c r="T135" s="83"/>
    </row>
    <row r="136" spans="1:20" s="59" customFormat="1" ht="27" customHeight="1">
      <c r="A136" s="52" t="s">
        <v>414</v>
      </c>
      <c r="B136" s="53" t="s">
        <v>286</v>
      </c>
      <c r="C136" s="52" t="s">
        <v>285</v>
      </c>
      <c r="D136" s="50" t="s">
        <v>287</v>
      </c>
      <c r="E136" s="54">
        <f t="shared" si="11"/>
        <v>240805</v>
      </c>
      <c r="F136" s="55">
        <f>182000+58805</f>
        <v>240805</v>
      </c>
      <c r="G136" s="55">
        <v>0</v>
      </c>
      <c r="H136" s="55">
        <v>0</v>
      </c>
      <c r="I136" s="55">
        <v>0</v>
      </c>
      <c r="J136" s="56">
        <f t="shared" si="13"/>
        <v>0</v>
      </c>
      <c r="K136" s="66"/>
      <c r="L136" s="55">
        <v>0</v>
      </c>
      <c r="M136" s="55">
        <v>0</v>
      </c>
      <c r="N136" s="55">
        <v>0</v>
      </c>
      <c r="O136" s="66">
        <v>0</v>
      </c>
      <c r="P136" s="58">
        <f t="shared" si="12"/>
        <v>240805</v>
      </c>
      <c r="Q136" s="223"/>
      <c r="R136" s="96"/>
      <c r="S136" s="83"/>
      <c r="T136" s="83"/>
    </row>
    <row r="137" spans="1:20" s="59" customFormat="1" ht="139.5" customHeight="1">
      <c r="A137" s="52" t="s">
        <v>143</v>
      </c>
      <c r="B137" s="53">
        <v>3230</v>
      </c>
      <c r="C137" s="65" t="s">
        <v>315</v>
      </c>
      <c r="D137" s="59" t="s">
        <v>231</v>
      </c>
      <c r="E137" s="54">
        <f t="shared" si="11"/>
        <v>5511850</v>
      </c>
      <c r="F137" s="55">
        <f>F138</f>
        <v>5511850</v>
      </c>
      <c r="G137" s="55">
        <f>G138</f>
        <v>0</v>
      </c>
      <c r="H137" s="55">
        <f>H138</f>
        <v>0</v>
      </c>
      <c r="I137" s="55">
        <f>I138</f>
        <v>0</v>
      </c>
      <c r="J137" s="56">
        <f t="shared" si="13"/>
        <v>0</v>
      </c>
      <c r="K137" s="66"/>
      <c r="L137" s="55">
        <f>L138</f>
        <v>0</v>
      </c>
      <c r="M137" s="55">
        <f>M138</f>
        <v>0</v>
      </c>
      <c r="N137" s="55">
        <f>N138</f>
        <v>0</v>
      </c>
      <c r="O137" s="66">
        <f>O138</f>
        <v>0</v>
      </c>
      <c r="P137" s="58">
        <f t="shared" si="12"/>
        <v>5511850</v>
      </c>
      <c r="Q137" s="223"/>
      <c r="R137" s="96"/>
      <c r="S137" s="83"/>
      <c r="T137" s="83"/>
    </row>
    <row r="138" spans="1:20" s="82" customFormat="1" ht="128.25" customHeight="1">
      <c r="A138" s="18"/>
      <c r="B138" s="19"/>
      <c r="C138" s="18"/>
      <c r="D138" s="3" t="s">
        <v>232</v>
      </c>
      <c r="E138" s="22">
        <f t="shared" si="11"/>
        <v>5511850</v>
      </c>
      <c r="F138" s="23">
        <f>5611850-100000</f>
        <v>5511850</v>
      </c>
      <c r="G138" s="23"/>
      <c r="H138" s="23"/>
      <c r="I138" s="23"/>
      <c r="J138" s="24">
        <f t="shared" si="13"/>
        <v>0</v>
      </c>
      <c r="K138" s="48"/>
      <c r="L138" s="23"/>
      <c r="M138" s="23"/>
      <c r="N138" s="23"/>
      <c r="O138" s="48"/>
      <c r="P138" s="25">
        <f t="shared" si="12"/>
        <v>5511850</v>
      </c>
      <c r="Q138" s="228"/>
      <c r="R138" s="17"/>
      <c r="S138" s="81"/>
      <c r="T138" s="81"/>
    </row>
    <row r="139" spans="1:20" s="296" customFormat="1" ht="43.5" customHeight="1">
      <c r="A139" s="113" t="s">
        <v>420</v>
      </c>
      <c r="B139" s="114" t="s">
        <v>422</v>
      </c>
      <c r="C139" s="113" t="s">
        <v>421</v>
      </c>
      <c r="D139" s="292" t="s">
        <v>423</v>
      </c>
      <c r="E139" s="54">
        <f t="shared" si="11"/>
        <v>13493051.259999998</v>
      </c>
      <c r="F139" s="57">
        <f>F140</f>
        <v>13493051.259999998</v>
      </c>
      <c r="G139" s="57">
        <f>G140</f>
        <v>0</v>
      </c>
      <c r="H139" s="57">
        <f>H140</f>
        <v>0</v>
      </c>
      <c r="I139" s="57">
        <f>I140</f>
        <v>0</v>
      </c>
      <c r="J139" s="54">
        <f t="shared" si="13"/>
        <v>0</v>
      </c>
      <c r="K139" s="57"/>
      <c r="L139" s="57">
        <f>L140</f>
        <v>0</v>
      </c>
      <c r="M139" s="57">
        <f>M140</f>
        <v>0</v>
      </c>
      <c r="N139" s="57">
        <f>N140</f>
        <v>0</v>
      </c>
      <c r="O139" s="57">
        <f>O140</f>
        <v>0</v>
      </c>
      <c r="P139" s="54">
        <f t="shared" si="12"/>
        <v>13493051.259999998</v>
      </c>
      <c r="Q139" s="293"/>
      <c r="R139" s="294"/>
      <c r="S139" s="295"/>
      <c r="T139" s="295"/>
    </row>
    <row r="140" spans="1:20" s="82" customFormat="1" ht="165.75" customHeight="1">
      <c r="A140" s="18"/>
      <c r="B140" s="19"/>
      <c r="C140" s="18"/>
      <c r="D140" s="3" t="s">
        <v>237</v>
      </c>
      <c r="E140" s="22">
        <f t="shared" si="11"/>
        <v>13493051.259999998</v>
      </c>
      <c r="F140" s="23">
        <f>13000000-500000-308213.3-414590.96+847172.52+868683</f>
        <v>13493051.259999998</v>
      </c>
      <c r="G140" s="23"/>
      <c r="H140" s="23"/>
      <c r="I140" s="23"/>
      <c r="J140" s="24">
        <f t="shared" si="13"/>
        <v>0</v>
      </c>
      <c r="K140" s="48"/>
      <c r="L140" s="23"/>
      <c r="M140" s="23"/>
      <c r="N140" s="23"/>
      <c r="O140" s="48"/>
      <c r="P140" s="25">
        <f t="shared" si="12"/>
        <v>13493051.259999998</v>
      </c>
      <c r="Q140" s="228"/>
      <c r="R140" s="17"/>
      <c r="S140" s="81"/>
      <c r="T140" s="81"/>
    </row>
    <row r="141" spans="1:20" s="296" customFormat="1" ht="39" customHeight="1">
      <c r="A141" s="113" t="s">
        <v>424</v>
      </c>
      <c r="B141" s="114" t="s">
        <v>425</v>
      </c>
      <c r="C141" s="113" t="s">
        <v>415</v>
      </c>
      <c r="D141" s="292" t="s">
        <v>426</v>
      </c>
      <c r="E141" s="54">
        <f t="shared" si="11"/>
        <v>30900895.81</v>
      </c>
      <c r="F141" s="57">
        <f>F142</f>
        <v>30900895.81</v>
      </c>
      <c r="G141" s="57">
        <f>G142</f>
        <v>0</v>
      </c>
      <c r="H141" s="57">
        <f>H142</f>
        <v>0</v>
      </c>
      <c r="I141" s="57">
        <f>I142</f>
        <v>0</v>
      </c>
      <c r="J141" s="54">
        <f t="shared" si="13"/>
        <v>0</v>
      </c>
      <c r="K141" s="57"/>
      <c r="L141" s="57">
        <f>L142</f>
        <v>0</v>
      </c>
      <c r="M141" s="57">
        <f>M142</f>
        <v>0</v>
      </c>
      <c r="N141" s="57">
        <f>N142</f>
        <v>0</v>
      </c>
      <c r="O141" s="57">
        <f>O142</f>
        <v>0</v>
      </c>
      <c r="P141" s="54">
        <f t="shared" si="12"/>
        <v>30900895.81</v>
      </c>
      <c r="Q141" s="293"/>
      <c r="R141" s="294"/>
      <c r="S141" s="295"/>
      <c r="T141" s="295"/>
    </row>
    <row r="142" spans="1:20" s="82" customFormat="1" ht="170.25" customHeight="1">
      <c r="A142" s="18"/>
      <c r="B142" s="19"/>
      <c r="C142" s="18"/>
      <c r="D142" s="3" t="s">
        <v>237</v>
      </c>
      <c r="E142" s="22">
        <f t="shared" si="11"/>
        <v>30900895.81</v>
      </c>
      <c r="F142" s="23">
        <f>60000000-29100000+895.81</f>
        <v>30900895.81</v>
      </c>
      <c r="G142" s="23"/>
      <c r="H142" s="23"/>
      <c r="I142" s="23"/>
      <c r="J142" s="24">
        <f t="shared" si="13"/>
        <v>0</v>
      </c>
      <c r="K142" s="48"/>
      <c r="L142" s="23"/>
      <c r="M142" s="23"/>
      <c r="N142" s="23"/>
      <c r="O142" s="48"/>
      <c r="P142" s="25">
        <f t="shared" si="12"/>
        <v>30900895.81</v>
      </c>
      <c r="Q142" s="228"/>
      <c r="R142" s="17"/>
      <c r="S142" s="81"/>
      <c r="T142" s="81"/>
    </row>
    <row r="143" spans="1:20" s="296" customFormat="1" ht="54" customHeight="1">
      <c r="A143" s="113" t="s">
        <v>427</v>
      </c>
      <c r="B143" s="114" t="s">
        <v>428</v>
      </c>
      <c r="C143" s="113" t="s">
        <v>421</v>
      </c>
      <c r="D143" s="292" t="s">
        <v>429</v>
      </c>
      <c r="E143" s="54">
        <f t="shared" si="11"/>
        <v>33596.46</v>
      </c>
      <c r="F143" s="57">
        <f>F144</f>
        <v>33596.46</v>
      </c>
      <c r="G143" s="57">
        <f>G144</f>
        <v>0</v>
      </c>
      <c r="H143" s="57">
        <f>H144</f>
        <v>0</v>
      </c>
      <c r="I143" s="57">
        <f>I144</f>
        <v>0</v>
      </c>
      <c r="J143" s="54">
        <f t="shared" si="13"/>
        <v>0</v>
      </c>
      <c r="K143" s="57"/>
      <c r="L143" s="57">
        <f>L144</f>
        <v>0</v>
      </c>
      <c r="M143" s="57">
        <f>M144</f>
        <v>0</v>
      </c>
      <c r="N143" s="57">
        <f>N144</f>
        <v>0</v>
      </c>
      <c r="O143" s="57">
        <f>O144</f>
        <v>0</v>
      </c>
      <c r="P143" s="54">
        <f t="shared" si="12"/>
        <v>33596.46</v>
      </c>
      <c r="Q143" s="293"/>
      <c r="R143" s="294"/>
      <c r="S143" s="295"/>
      <c r="T143" s="295"/>
    </row>
    <row r="144" spans="1:20" s="82" customFormat="1" ht="57" customHeight="1">
      <c r="A144" s="18"/>
      <c r="B144" s="19"/>
      <c r="C144" s="18"/>
      <c r="D144" s="4" t="s">
        <v>6</v>
      </c>
      <c r="E144" s="22">
        <f t="shared" si="11"/>
        <v>33596.46</v>
      </c>
      <c r="F144" s="23">
        <f>24600+8996.46</f>
        <v>33596.46</v>
      </c>
      <c r="G144" s="23"/>
      <c r="H144" s="23"/>
      <c r="I144" s="23"/>
      <c r="J144" s="24">
        <f t="shared" si="13"/>
        <v>0</v>
      </c>
      <c r="K144" s="48"/>
      <c r="L144" s="23"/>
      <c r="M144" s="23"/>
      <c r="N144" s="23"/>
      <c r="O144" s="48"/>
      <c r="P144" s="25">
        <f t="shared" si="12"/>
        <v>33596.46</v>
      </c>
      <c r="Q144" s="228"/>
      <c r="R144" s="17"/>
      <c r="S144" s="81"/>
      <c r="T144" s="81"/>
    </row>
    <row r="145" spans="1:20" s="296" customFormat="1" ht="47.25" customHeight="1">
      <c r="A145" s="113" t="s">
        <v>430</v>
      </c>
      <c r="B145" s="114" t="s">
        <v>431</v>
      </c>
      <c r="C145" s="113" t="s">
        <v>415</v>
      </c>
      <c r="D145" s="292" t="s">
        <v>432</v>
      </c>
      <c r="E145" s="54">
        <f t="shared" si="11"/>
        <v>105503.54000000001</v>
      </c>
      <c r="F145" s="57">
        <f>F146</f>
        <v>105503.54000000001</v>
      </c>
      <c r="G145" s="57">
        <f>G146</f>
        <v>0</v>
      </c>
      <c r="H145" s="57">
        <f>H146</f>
        <v>0</v>
      </c>
      <c r="I145" s="57">
        <f>I146</f>
        <v>0</v>
      </c>
      <c r="J145" s="54">
        <f t="shared" si="13"/>
        <v>0</v>
      </c>
      <c r="K145" s="57"/>
      <c r="L145" s="57">
        <f>L146</f>
        <v>0</v>
      </c>
      <c r="M145" s="57">
        <f>M146</f>
        <v>0</v>
      </c>
      <c r="N145" s="57">
        <f>N146</f>
        <v>0</v>
      </c>
      <c r="O145" s="57">
        <f>O146</f>
        <v>0</v>
      </c>
      <c r="P145" s="54">
        <f t="shared" si="12"/>
        <v>105503.54000000001</v>
      </c>
      <c r="Q145" s="293"/>
      <c r="R145" s="294"/>
      <c r="S145" s="295"/>
      <c r="T145" s="295"/>
    </row>
    <row r="146" spans="1:20" s="82" customFormat="1" ht="58.5" customHeight="1">
      <c r="A146" s="18"/>
      <c r="B146" s="19"/>
      <c r="C146" s="18"/>
      <c r="D146" s="4" t="s">
        <v>6</v>
      </c>
      <c r="E146" s="22">
        <f>F146</f>
        <v>105503.54000000001</v>
      </c>
      <c r="F146" s="23">
        <f>114500-8996.46</f>
        <v>105503.54000000001</v>
      </c>
      <c r="G146" s="23"/>
      <c r="H146" s="23"/>
      <c r="I146" s="23"/>
      <c r="J146" s="24">
        <f t="shared" si="13"/>
        <v>0</v>
      </c>
      <c r="K146" s="48"/>
      <c r="L146" s="23"/>
      <c r="M146" s="23"/>
      <c r="N146" s="23"/>
      <c r="O146" s="48"/>
      <c r="P146" s="25">
        <f t="shared" si="12"/>
        <v>105503.54000000001</v>
      </c>
      <c r="Q146" s="228"/>
      <c r="R146" s="17"/>
      <c r="S146" s="81"/>
      <c r="T146" s="81"/>
    </row>
    <row r="147" spans="1:20" s="296" customFormat="1" ht="32.25" customHeight="1">
      <c r="A147" s="113" t="s">
        <v>130</v>
      </c>
      <c r="B147" s="114">
        <v>3032</v>
      </c>
      <c r="C147" s="115" t="s">
        <v>462</v>
      </c>
      <c r="D147" s="116" t="s">
        <v>131</v>
      </c>
      <c r="E147" s="54">
        <f t="shared" si="11"/>
        <v>4431.82</v>
      </c>
      <c r="F147" s="57">
        <v>4431.82</v>
      </c>
      <c r="G147" s="57"/>
      <c r="H147" s="57"/>
      <c r="I147" s="57"/>
      <c r="J147" s="54">
        <f t="shared" si="13"/>
        <v>0</v>
      </c>
      <c r="K147" s="57"/>
      <c r="L147" s="57"/>
      <c r="M147" s="57"/>
      <c r="N147" s="57"/>
      <c r="O147" s="57"/>
      <c r="P147" s="54">
        <f t="shared" si="12"/>
        <v>4431.82</v>
      </c>
      <c r="Q147" s="293"/>
      <c r="R147" s="294"/>
      <c r="S147" s="295"/>
      <c r="T147" s="295"/>
    </row>
    <row r="148" spans="1:20" s="296" customFormat="1" ht="23.25" customHeight="1">
      <c r="A148" s="113" t="s">
        <v>471</v>
      </c>
      <c r="B148" s="114" t="s">
        <v>472</v>
      </c>
      <c r="C148" s="113" t="s">
        <v>315</v>
      </c>
      <c r="D148" s="292" t="s">
        <v>473</v>
      </c>
      <c r="E148" s="54">
        <f t="shared" si="11"/>
        <v>778100</v>
      </c>
      <c r="F148" s="57">
        <f>F149</f>
        <v>778100</v>
      </c>
      <c r="G148" s="57">
        <v>0</v>
      </c>
      <c r="H148" s="57">
        <v>0</v>
      </c>
      <c r="I148" s="57">
        <v>0</v>
      </c>
      <c r="J148" s="54">
        <f t="shared" si="13"/>
        <v>0</v>
      </c>
      <c r="K148" s="57"/>
      <c r="L148" s="57">
        <v>0</v>
      </c>
      <c r="M148" s="57">
        <v>0</v>
      </c>
      <c r="N148" s="57">
        <v>0</v>
      </c>
      <c r="O148" s="57">
        <v>0</v>
      </c>
      <c r="P148" s="54">
        <f t="shared" si="12"/>
        <v>778100</v>
      </c>
      <c r="Q148" s="293"/>
      <c r="R148" s="293">
        <f>F148+F150+F152+F154+F156+F158+F160+F162+F164+F166+F170+F174+F168+F172</f>
        <v>92563420</v>
      </c>
      <c r="S148" s="295"/>
      <c r="T148" s="295"/>
    </row>
    <row r="149" spans="1:20" s="82" customFormat="1" ht="153" customHeight="1">
      <c r="A149" s="18"/>
      <c r="B149" s="19"/>
      <c r="C149" s="18"/>
      <c r="D149" s="82" t="s">
        <v>116</v>
      </c>
      <c r="E149" s="22">
        <f t="shared" si="11"/>
        <v>778100</v>
      </c>
      <c r="F149" s="23">
        <v>778100</v>
      </c>
      <c r="G149" s="23"/>
      <c r="H149" s="23"/>
      <c r="I149" s="23"/>
      <c r="J149" s="24">
        <f t="shared" si="13"/>
        <v>0</v>
      </c>
      <c r="K149" s="48"/>
      <c r="L149" s="23"/>
      <c r="M149" s="23"/>
      <c r="N149" s="23"/>
      <c r="O149" s="48"/>
      <c r="P149" s="25">
        <f t="shared" si="12"/>
        <v>778100</v>
      </c>
      <c r="Q149" s="228"/>
      <c r="R149" s="17"/>
      <c r="S149" s="81"/>
      <c r="T149" s="81"/>
    </row>
    <row r="150" spans="1:20" s="296" customFormat="1" ht="28.5" customHeight="1">
      <c r="A150" s="115" t="s">
        <v>88</v>
      </c>
      <c r="B150" s="114">
        <v>3042</v>
      </c>
      <c r="C150" s="113">
        <v>1040</v>
      </c>
      <c r="D150" s="116" t="s">
        <v>489</v>
      </c>
      <c r="E150" s="54">
        <f>F150+I150</f>
        <v>185700</v>
      </c>
      <c r="F150" s="57">
        <f>F151</f>
        <v>185700</v>
      </c>
      <c r="G150" s="57">
        <f>G151</f>
        <v>0</v>
      </c>
      <c r="H150" s="57">
        <f>H151</f>
        <v>0</v>
      </c>
      <c r="I150" s="57">
        <f>I151</f>
        <v>0</v>
      </c>
      <c r="J150" s="54">
        <f t="shared" si="13"/>
        <v>0</v>
      </c>
      <c r="K150" s="57"/>
      <c r="L150" s="57">
        <f>L151</f>
        <v>0</v>
      </c>
      <c r="M150" s="57">
        <f>M151</f>
        <v>0</v>
      </c>
      <c r="N150" s="57">
        <f>N151</f>
        <v>0</v>
      </c>
      <c r="O150" s="57">
        <f>O151</f>
        <v>0</v>
      </c>
      <c r="P150" s="54">
        <f t="shared" si="12"/>
        <v>185700</v>
      </c>
      <c r="Q150" s="293"/>
      <c r="R150" s="294"/>
      <c r="S150" s="295"/>
      <c r="T150" s="295"/>
    </row>
    <row r="151" spans="1:20" s="82" customFormat="1" ht="158.25" customHeight="1">
      <c r="A151" s="18"/>
      <c r="B151" s="19"/>
      <c r="C151" s="18"/>
      <c r="D151" s="82" t="s">
        <v>116</v>
      </c>
      <c r="E151" s="22">
        <f>F151+I151</f>
        <v>185700</v>
      </c>
      <c r="F151" s="23">
        <v>185700</v>
      </c>
      <c r="G151" s="23"/>
      <c r="H151" s="23"/>
      <c r="I151" s="23"/>
      <c r="J151" s="24">
        <f t="shared" si="13"/>
        <v>0</v>
      </c>
      <c r="K151" s="48"/>
      <c r="L151" s="23"/>
      <c r="M151" s="23"/>
      <c r="N151" s="23"/>
      <c r="O151" s="48"/>
      <c r="P151" s="25">
        <f t="shared" si="12"/>
        <v>185700</v>
      </c>
      <c r="Q151" s="228"/>
      <c r="R151" s="17"/>
      <c r="S151" s="81"/>
      <c r="T151" s="81"/>
    </row>
    <row r="152" spans="1:20" s="296" customFormat="1" ht="25.5" customHeight="1">
      <c r="A152" s="113" t="s">
        <v>474</v>
      </c>
      <c r="B152" s="114" t="s">
        <v>475</v>
      </c>
      <c r="C152" s="113" t="s">
        <v>315</v>
      </c>
      <c r="D152" s="292" t="s">
        <v>476</v>
      </c>
      <c r="E152" s="54">
        <f t="shared" si="11"/>
        <v>26171900</v>
      </c>
      <c r="F152" s="57">
        <f>F153</f>
        <v>26171900</v>
      </c>
      <c r="G152" s="57">
        <f>G153</f>
        <v>0</v>
      </c>
      <c r="H152" s="57">
        <f>H153</f>
        <v>0</v>
      </c>
      <c r="I152" s="57">
        <f>I153</f>
        <v>0</v>
      </c>
      <c r="J152" s="54">
        <f t="shared" si="13"/>
        <v>0</v>
      </c>
      <c r="K152" s="57"/>
      <c r="L152" s="57">
        <v>0</v>
      </c>
      <c r="M152" s="57">
        <v>0</v>
      </c>
      <c r="N152" s="57">
        <v>0</v>
      </c>
      <c r="O152" s="57">
        <v>0</v>
      </c>
      <c r="P152" s="54">
        <f t="shared" si="12"/>
        <v>26171900</v>
      </c>
      <c r="Q152" s="293"/>
      <c r="R152" s="294"/>
      <c r="S152" s="295"/>
      <c r="T152" s="295"/>
    </row>
    <row r="153" spans="1:20" s="82" customFormat="1" ht="159" customHeight="1">
      <c r="A153" s="18"/>
      <c r="B153" s="19"/>
      <c r="C153" s="18"/>
      <c r="D153" s="82" t="s">
        <v>116</v>
      </c>
      <c r="E153" s="22">
        <f t="shared" si="11"/>
        <v>26171900</v>
      </c>
      <c r="F153" s="23">
        <f>30449100-4277200</f>
        <v>26171900</v>
      </c>
      <c r="G153" s="23"/>
      <c r="H153" s="23"/>
      <c r="I153" s="23"/>
      <c r="J153" s="24">
        <f t="shared" si="13"/>
        <v>0</v>
      </c>
      <c r="K153" s="48"/>
      <c r="L153" s="23"/>
      <c r="M153" s="23"/>
      <c r="N153" s="23"/>
      <c r="O153" s="48"/>
      <c r="P153" s="25">
        <f t="shared" si="12"/>
        <v>26171900</v>
      </c>
      <c r="Q153" s="228"/>
      <c r="R153" s="17"/>
      <c r="S153" s="81"/>
      <c r="T153" s="81"/>
    </row>
    <row r="154" spans="1:20" s="296" customFormat="1" ht="41.25" customHeight="1">
      <c r="A154" s="113" t="s">
        <v>477</v>
      </c>
      <c r="B154" s="114" t="s">
        <v>478</v>
      </c>
      <c r="C154" s="113" t="s">
        <v>315</v>
      </c>
      <c r="D154" s="292" t="s">
        <v>479</v>
      </c>
      <c r="E154" s="54">
        <f t="shared" si="11"/>
        <v>4940300</v>
      </c>
      <c r="F154" s="57">
        <f>F155</f>
        <v>4940300</v>
      </c>
      <c r="G154" s="57">
        <v>0</v>
      </c>
      <c r="H154" s="57">
        <v>0</v>
      </c>
      <c r="I154" s="57">
        <v>0</v>
      </c>
      <c r="J154" s="54">
        <f t="shared" si="13"/>
        <v>0</v>
      </c>
      <c r="K154" s="57"/>
      <c r="L154" s="57">
        <v>0</v>
      </c>
      <c r="M154" s="57">
        <v>0</v>
      </c>
      <c r="N154" s="57">
        <v>0</v>
      </c>
      <c r="O154" s="57">
        <v>0</v>
      </c>
      <c r="P154" s="54">
        <f t="shared" si="12"/>
        <v>4940300</v>
      </c>
      <c r="Q154" s="293"/>
      <c r="R154" s="294"/>
      <c r="S154" s="295"/>
      <c r="T154" s="295"/>
    </row>
    <row r="155" spans="1:20" s="82" customFormat="1" ht="156" customHeight="1">
      <c r="A155" s="18"/>
      <c r="B155" s="19"/>
      <c r="C155" s="18"/>
      <c r="D155" s="82" t="s">
        <v>116</v>
      </c>
      <c r="E155" s="22">
        <f t="shared" si="11"/>
        <v>4940300</v>
      </c>
      <c r="F155" s="23">
        <v>4940300</v>
      </c>
      <c r="G155" s="23"/>
      <c r="H155" s="23"/>
      <c r="I155" s="23"/>
      <c r="J155" s="24">
        <f t="shared" si="13"/>
        <v>0</v>
      </c>
      <c r="K155" s="48"/>
      <c r="L155" s="23"/>
      <c r="M155" s="23"/>
      <c r="N155" s="23"/>
      <c r="O155" s="48"/>
      <c r="P155" s="25">
        <f t="shared" si="12"/>
        <v>4940300</v>
      </c>
      <c r="Q155" s="228"/>
      <c r="R155" s="17"/>
      <c r="S155" s="81"/>
      <c r="T155" s="81"/>
    </row>
    <row r="156" spans="1:20" s="296" customFormat="1" ht="24.75" customHeight="1">
      <c r="A156" s="113" t="s">
        <v>480</v>
      </c>
      <c r="B156" s="114" t="s">
        <v>481</v>
      </c>
      <c r="C156" s="113" t="s">
        <v>315</v>
      </c>
      <c r="D156" s="292" t="s">
        <v>482</v>
      </c>
      <c r="E156" s="54">
        <f t="shared" si="11"/>
        <v>15930000</v>
      </c>
      <c r="F156" s="57">
        <f>F157</f>
        <v>15930000</v>
      </c>
      <c r="G156" s="57">
        <f>G157</f>
        <v>0</v>
      </c>
      <c r="H156" s="57">
        <f>H157</f>
        <v>0</v>
      </c>
      <c r="I156" s="57">
        <f>I157</f>
        <v>0</v>
      </c>
      <c r="J156" s="54">
        <f t="shared" si="13"/>
        <v>0</v>
      </c>
      <c r="K156" s="57"/>
      <c r="L156" s="57">
        <v>0</v>
      </c>
      <c r="M156" s="57">
        <v>0</v>
      </c>
      <c r="N156" s="57">
        <v>0</v>
      </c>
      <c r="O156" s="57">
        <v>0</v>
      </c>
      <c r="P156" s="54">
        <f t="shared" si="12"/>
        <v>15930000</v>
      </c>
      <c r="Q156" s="293"/>
      <c r="R156" s="294"/>
      <c r="S156" s="295"/>
      <c r="T156" s="295"/>
    </row>
    <row r="157" spans="1:20" s="82" customFormat="1" ht="154.5" customHeight="1">
      <c r="A157" s="18"/>
      <c r="B157" s="19"/>
      <c r="C157" s="18"/>
      <c r="D157" s="82" t="s">
        <v>116</v>
      </c>
      <c r="E157" s="22">
        <f t="shared" si="11"/>
        <v>15930000</v>
      </c>
      <c r="F157" s="23">
        <v>15930000</v>
      </c>
      <c r="G157" s="23"/>
      <c r="H157" s="23"/>
      <c r="I157" s="23"/>
      <c r="J157" s="24">
        <f t="shared" si="13"/>
        <v>0</v>
      </c>
      <c r="K157" s="48"/>
      <c r="L157" s="23"/>
      <c r="M157" s="23"/>
      <c r="N157" s="23"/>
      <c r="O157" s="48"/>
      <c r="P157" s="25">
        <f t="shared" si="12"/>
        <v>15930000</v>
      </c>
      <c r="Q157" s="228"/>
      <c r="R157" s="17"/>
      <c r="S157" s="81"/>
      <c r="T157" s="81"/>
    </row>
    <row r="158" spans="1:20" s="296" customFormat="1" ht="28.5" customHeight="1">
      <c r="A158" s="113" t="s">
        <v>483</v>
      </c>
      <c r="B158" s="114" t="s">
        <v>484</v>
      </c>
      <c r="C158" s="113" t="s">
        <v>315</v>
      </c>
      <c r="D158" s="292" t="s">
        <v>486</v>
      </c>
      <c r="E158" s="54">
        <f t="shared" si="11"/>
        <v>249500</v>
      </c>
      <c r="F158" s="57">
        <f>F159</f>
        <v>249500</v>
      </c>
      <c r="G158" s="57">
        <v>0</v>
      </c>
      <c r="H158" s="57">
        <v>0</v>
      </c>
      <c r="I158" s="57">
        <v>0</v>
      </c>
      <c r="J158" s="54">
        <f t="shared" si="13"/>
        <v>0</v>
      </c>
      <c r="K158" s="57"/>
      <c r="L158" s="57">
        <v>0</v>
      </c>
      <c r="M158" s="57">
        <v>0</v>
      </c>
      <c r="N158" s="57">
        <v>0</v>
      </c>
      <c r="O158" s="57">
        <v>0</v>
      </c>
      <c r="P158" s="54">
        <f t="shared" si="12"/>
        <v>249500</v>
      </c>
      <c r="Q158" s="293"/>
      <c r="R158" s="294"/>
      <c r="S158" s="295"/>
      <c r="T158" s="295"/>
    </row>
    <row r="159" spans="1:20" s="82" customFormat="1" ht="156.75" customHeight="1">
      <c r="A159" s="18"/>
      <c r="B159" s="19"/>
      <c r="C159" s="18"/>
      <c r="D159" s="82" t="s">
        <v>116</v>
      </c>
      <c r="E159" s="22">
        <f t="shared" si="11"/>
        <v>249500</v>
      </c>
      <c r="F159" s="23">
        <v>249500</v>
      </c>
      <c r="G159" s="23"/>
      <c r="H159" s="23"/>
      <c r="I159" s="23"/>
      <c r="J159" s="24">
        <f t="shared" si="13"/>
        <v>0</v>
      </c>
      <c r="K159" s="48"/>
      <c r="L159" s="23"/>
      <c r="M159" s="23"/>
      <c r="N159" s="23"/>
      <c r="O159" s="48"/>
      <c r="P159" s="25">
        <f t="shared" si="12"/>
        <v>249500</v>
      </c>
      <c r="Q159" s="228"/>
      <c r="R159" s="17"/>
      <c r="S159" s="81"/>
      <c r="T159" s="81"/>
    </row>
    <row r="160" spans="1:20" s="296" customFormat="1" ht="29.25" customHeight="1">
      <c r="A160" s="113" t="s">
        <v>487</v>
      </c>
      <c r="B160" s="114" t="s">
        <v>488</v>
      </c>
      <c r="C160" s="113" t="s">
        <v>315</v>
      </c>
      <c r="D160" s="292" t="s">
        <v>89</v>
      </c>
      <c r="E160" s="54">
        <f t="shared" si="11"/>
        <v>15468800</v>
      </c>
      <c r="F160" s="57">
        <f>F161</f>
        <v>15468800</v>
      </c>
      <c r="G160" s="57">
        <v>0</v>
      </c>
      <c r="H160" s="57">
        <v>0</v>
      </c>
      <c r="I160" s="57">
        <v>0</v>
      </c>
      <c r="J160" s="54">
        <f t="shared" si="13"/>
        <v>0</v>
      </c>
      <c r="K160" s="57"/>
      <c r="L160" s="57">
        <v>0</v>
      </c>
      <c r="M160" s="57">
        <v>0</v>
      </c>
      <c r="N160" s="57">
        <v>0</v>
      </c>
      <c r="O160" s="57">
        <v>0</v>
      </c>
      <c r="P160" s="54">
        <f t="shared" si="12"/>
        <v>15468800</v>
      </c>
      <c r="Q160" s="293"/>
      <c r="R160" s="294"/>
      <c r="S160" s="295"/>
      <c r="T160" s="295"/>
    </row>
    <row r="161" spans="1:20" s="82" customFormat="1" ht="151.5" customHeight="1">
      <c r="A161" s="117"/>
      <c r="B161" s="118"/>
      <c r="C161" s="117"/>
      <c r="D161" s="82" t="s">
        <v>116</v>
      </c>
      <c r="E161" s="119">
        <f t="shared" si="11"/>
        <v>15468800</v>
      </c>
      <c r="F161" s="120">
        <f>15745400-276600</f>
        <v>15468800</v>
      </c>
      <c r="G161" s="120"/>
      <c r="H161" s="120"/>
      <c r="I161" s="120"/>
      <c r="J161" s="24">
        <f t="shared" si="13"/>
        <v>0</v>
      </c>
      <c r="K161" s="149"/>
      <c r="L161" s="120"/>
      <c r="M161" s="120"/>
      <c r="N161" s="120"/>
      <c r="O161" s="149"/>
      <c r="P161" s="121">
        <f t="shared" si="12"/>
        <v>15468800</v>
      </c>
      <c r="Q161" s="228"/>
      <c r="R161" s="17"/>
      <c r="S161" s="81"/>
      <c r="T161" s="81"/>
    </row>
    <row r="162" spans="1:21" s="116" customFormat="1" ht="48" customHeight="1">
      <c r="A162" s="113" t="s">
        <v>93</v>
      </c>
      <c r="B162" s="114">
        <v>3081</v>
      </c>
      <c r="C162" s="115" t="s">
        <v>307</v>
      </c>
      <c r="D162" s="116" t="s">
        <v>94</v>
      </c>
      <c r="E162" s="54">
        <f t="shared" si="11"/>
        <v>15562700</v>
      </c>
      <c r="F162" s="57">
        <f>F163</f>
        <v>15562700</v>
      </c>
      <c r="G162" s="57">
        <f>G163</f>
        <v>0</v>
      </c>
      <c r="H162" s="57">
        <f>H163</f>
        <v>0</v>
      </c>
      <c r="I162" s="57">
        <f>I163</f>
        <v>0</v>
      </c>
      <c r="J162" s="54">
        <f t="shared" si="13"/>
        <v>0</v>
      </c>
      <c r="K162" s="57"/>
      <c r="L162" s="57">
        <f>L163</f>
        <v>0</v>
      </c>
      <c r="M162" s="57">
        <f>M163</f>
        <v>0</v>
      </c>
      <c r="N162" s="57">
        <f>N163</f>
        <v>0</v>
      </c>
      <c r="O162" s="57">
        <f>O163</f>
        <v>0</v>
      </c>
      <c r="P162" s="54">
        <f aca="true" t="shared" si="14" ref="P162:P175">J162+E162</f>
        <v>15562700</v>
      </c>
      <c r="Q162" s="293"/>
      <c r="R162" s="294"/>
      <c r="S162" s="295"/>
      <c r="T162" s="295"/>
      <c r="U162" s="322"/>
    </row>
    <row r="163" spans="1:20" s="82" customFormat="1" ht="149.25" customHeight="1">
      <c r="A163" s="122"/>
      <c r="B163" s="123"/>
      <c r="C163" s="122"/>
      <c r="D163" s="82" t="s">
        <v>116</v>
      </c>
      <c r="E163" s="22">
        <f t="shared" si="11"/>
        <v>15562700</v>
      </c>
      <c r="F163" s="124">
        <v>15562700</v>
      </c>
      <c r="G163" s="124"/>
      <c r="H163" s="124"/>
      <c r="I163" s="124"/>
      <c r="J163" s="24">
        <f t="shared" si="13"/>
        <v>0</v>
      </c>
      <c r="K163" s="267"/>
      <c r="L163" s="124"/>
      <c r="M163" s="124"/>
      <c r="N163" s="124"/>
      <c r="O163" s="267"/>
      <c r="P163" s="25">
        <f t="shared" si="14"/>
        <v>15562700</v>
      </c>
      <c r="Q163" s="228"/>
      <c r="R163" s="17"/>
      <c r="S163" s="81"/>
      <c r="T163" s="81"/>
    </row>
    <row r="164" spans="1:21" s="116" customFormat="1" ht="54.75" customHeight="1">
      <c r="A164" s="113" t="s">
        <v>95</v>
      </c>
      <c r="B164" s="114">
        <v>3082</v>
      </c>
      <c r="C164" s="115" t="s">
        <v>307</v>
      </c>
      <c r="D164" s="116" t="s">
        <v>104</v>
      </c>
      <c r="E164" s="54">
        <f t="shared" si="11"/>
        <v>4059400</v>
      </c>
      <c r="F164" s="57">
        <f>F165</f>
        <v>4059400</v>
      </c>
      <c r="G164" s="57">
        <f>G165</f>
        <v>0</v>
      </c>
      <c r="H164" s="57">
        <f>H165</f>
        <v>0</v>
      </c>
      <c r="I164" s="57">
        <f>I165</f>
        <v>0</v>
      </c>
      <c r="J164" s="54">
        <f t="shared" si="13"/>
        <v>0</v>
      </c>
      <c r="K164" s="57"/>
      <c r="L164" s="57">
        <f>L165</f>
        <v>0</v>
      </c>
      <c r="M164" s="57">
        <f>M165</f>
        <v>0</v>
      </c>
      <c r="N164" s="57">
        <f>N165</f>
        <v>0</v>
      </c>
      <c r="O164" s="57">
        <f>O165</f>
        <v>0</v>
      </c>
      <c r="P164" s="54">
        <f t="shared" si="14"/>
        <v>4059400</v>
      </c>
      <c r="Q164" s="293"/>
      <c r="R164" s="294"/>
      <c r="S164" s="295"/>
      <c r="T164" s="295"/>
      <c r="U164" s="322"/>
    </row>
    <row r="165" spans="1:20" s="82" customFormat="1" ht="160.5" customHeight="1">
      <c r="A165" s="122"/>
      <c r="B165" s="123"/>
      <c r="C165" s="122"/>
      <c r="D165" s="82" t="s">
        <v>116</v>
      </c>
      <c r="E165" s="22">
        <f t="shared" si="11"/>
        <v>4059400</v>
      </c>
      <c r="F165" s="124">
        <v>4059400</v>
      </c>
      <c r="G165" s="124"/>
      <c r="H165" s="124"/>
      <c r="I165" s="124"/>
      <c r="J165" s="24">
        <f t="shared" si="13"/>
        <v>0</v>
      </c>
      <c r="K165" s="267"/>
      <c r="L165" s="124"/>
      <c r="M165" s="124"/>
      <c r="N165" s="124"/>
      <c r="O165" s="267"/>
      <c r="P165" s="125">
        <f t="shared" si="14"/>
        <v>4059400</v>
      </c>
      <c r="Q165" s="228"/>
      <c r="R165" s="17"/>
      <c r="S165" s="81"/>
      <c r="T165" s="81"/>
    </row>
    <row r="166" spans="1:21" s="116" customFormat="1" ht="37.5" customHeight="1">
      <c r="A166" s="113" t="s">
        <v>105</v>
      </c>
      <c r="B166" s="114">
        <v>3083</v>
      </c>
      <c r="C166" s="115" t="s">
        <v>307</v>
      </c>
      <c r="D166" s="116" t="s">
        <v>106</v>
      </c>
      <c r="E166" s="54">
        <f t="shared" si="11"/>
        <v>4343200</v>
      </c>
      <c r="F166" s="57">
        <f>F167</f>
        <v>4343200</v>
      </c>
      <c r="G166" s="57">
        <f>G167</f>
        <v>0</v>
      </c>
      <c r="H166" s="57">
        <f>H167</f>
        <v>0</v>
      </c>
      <c r="I166" s="57">
        <f>I167</f>
        <v>0</v>
      </c>
      <c r="J166" s="54">
        <f t="shared" si="13"/>
        <v>0</v>
      </c>
      <c r="K166" s="57"/>
      <c r="L166" s="57">
        <f>L167</f>
        <v>0</v>
      </c>
      <c r="M166" s="57">
        <f>M167</f>
        <v>0</v>
      </c>
      <c r="N166" s="57">
        <f>N167</f>
        <v>0</v>
      </c>
      <c r="O166" s="57">
        <f>O167</f>
        <v>0</v>
      </c>
      <c r="P166" s="54">
        <f t="shared" si="14"/>
        <v>4343200</v>
      </c>
      <c r="Q166" s="293"/>
      <c r="R166" s="294"/>
      <c r="S166" s="295"/>
      <c r="T166" s="295"/>
      <c r="U166" s="322"/>
    </row>
    <row r="167" spans="1:20" s="82" customFormat="1" ht="148.5" customHeight="1">
      <c r="A167" s="122"/>
      <c r="B167" s="123"/>
      <c r="C167" s="122"/>
      <c r="D167" s="82" t="s">
        <v>116</v>
      </c>
      <c r="E167" s="22">
        <f t="shared" si="11"/>
        <v>4343200</v>
      </c>
      <c r="F167" s="124">
        <v>4343200</v>
      </c>
      <c r="G167" s="124"/>
      <c r="H167" s="124"/>
      <c r="I167" s="124"/>
      <c r="J167" s="24">
        <f t="shared" si="13"/>
        <v>0</v>
      </c>
      <c r="K167" s="267"/>
      <c r="L167" s="124"/>
      <c r="M167" s="124"/>
      <c r="N167" s="124"/>
      <c r="O167" s="267"/>
      <c r="P167" s="126">
        <f t="shared" si="14"/>
        <v>4343200</v>
      </c>
      <c r="Q167" s="228"/>
      <c r="R167" s="17"/>
      <c r="S167" s="81"/>
      <c r="T167" s="81"/>
    </row>
    <row r="168" spans="1:21" s="116" customFormat="1" ht="52.5" customHeight="1">
      <c r="A168" s="113" t="s">
        <v>107</v>
      </c>
      <c r="B168" s="114">
        <v>3084</v>
      </c>
      <c r="C168" s="115" t="s">
        <v>315</v>
      </c>
      <c r="D168" s="116" t="s">
        <v>108</v>
      </c>
      <c r="E168" s="54">
        <f t="shared" si="11"/>
        <v>309800</v>
      </c>
      <c r="F168" s="57">
        <f>F169</f>
        <v>309800</v>
      </c>
      <c r="G168" s="57">
        <f>G169</f>
        <v>0</v>
      </c>
      <c r="H168" s="57">
        <f>H169</f>
        <v>0</v>
      </c>
      <c r="I168" s="57">
        <f>I169</f>
        <v>0</v>
      </c>
      <c r="J168" s="54">
        <f t="shared" si="13"/>
        <v>0</v>
      </c>
      <c r="K168" s="57"/>
      <c r="L168" s="57">
        <f>L169</f>
        <v>0</v>
      </c>
      <c r="M168" s="57">
        <f>M169</f>
        <v>0</v>
      </c>
      <c r="N168" s="57">
        <f>N169</f>
        <v>0</v>
      </c>
      <c r="O168" s="57">
        <f>O169</f>
        <v>0</v>
      </c>
      <c r="P168" s="54">
        <f t="shared" si="14"/>
        <v>309800</v>
      </c>
      <c r="Q168" s="293"/>
      <c r="R168" s="294"/>
      <c r="S168" s="295"/>
      <c r="T168" s="295"/>
      <c r="U168" s="322"/>
    </row>
    <row r="169" spans="1:20" s="82" customFormat="1" ht="148.5" customHeight="1">
      <c r="A169" s="122"/>
      <c r="B169" s="123"/>
      <c r="C169" s="122"/>
      <c r="D169" s="82" t="s">
        <v>116</v>
      </c>
      <c r="E169" s="22">
        <f t="shared" si="11"/>
        <v>309800</v>
      </c>
      <c r="F169" s="124">
        <v>309800</v>
      </c>
      <c r="G169" s="124"/>
      <c r="H169" s="124"/>
      <c r="I169" s="124"/>
      <c r="J169" s="24">
        <f t="shared" si="13"/>
        <v>0</v>
      </c>
      <c r="K169" s="267"/>
      <c r="L169" s="124"/>
      <c r="M169" s="124"/>
      <c r="N169" s="124"/>
      <c r="O169" s="267"/>
      <c r="P169" s="126">
        <f t="shared" si="14"/>
        <v>309800</v>
      </c>
      <c r="Q169" s="228"/>
      <c r="R169" s="17"/>
      <c r="S169" s="81"/>
      <c r="T169" s="81"/>
    </row>
    <row r="170" spans="1:21" s="116" customFormat="1" ht="63" customHeight="1">
      <c r="A170" s="113" t="s">
        <v>109</v>
      </c>
      <c r="B170" s="114">
        <v>3085</v>
      </c>
      <c r="C170" s="115" t="s">
        <v>307</v>
      </c>
      <c r="D170" s="116" t="s">
        <v>110</v>
      </c>
      <c r="E170" s="54">
        <f t="shared" si="11"/>
        <v>10220</v>
      </c>
      <c r="F170" s="57">
        <f>F171</f>
        <v>10220</v>
      </c>
      <c r="G170" s="57">
        <f>G175</f>
        <v>0</v>
      </c>
      <c r="H170" s="57">
        <f>H175</f>
        <v>0</v>
      </c>
      <c r="I170" s="57">
        <f>I175</f>
        <v>0</v>
      </c>
      <c r="J170" s="54">
        <f t="shared" si="13"/>
        <v>0</v>
      </c>
      <c r="K170" s="57"/>
      <c r="L170" s="57">
        <f>L175</f>
        <v>0</v>
      </c>
      <c r="M170" s="57">
        <f>M175</f>
        <v>0</v>
      </c>
      <c r="N170" s="57">
        <f>N175</f>
        <v>0</v>
      </c>
      <c r="O170" s="57">
        <f>O175</f>
        <v>0</v>
      </c>
      <c r="P170" s="54">
        <f t="shared" si="14"/>
        <v>10220</v>
      </c>
      <c r="Q170" s="293"/>
      <c r="R170" s="294"/>
      <c r="S170" s="295"/>
      <c r="T170" s="295"/>
      <c r="U170" s="322"/>
    </row>
    <row r="171" spans="1:21" s="148" customFormat="1" ht="159" customHeight="1">
      <c r="A171" s="117"/>
      <c r="B171" s="118"/>
      <c r="C171" s="146"/>
      <c r="D171" s="8" t="s">
        <v>116</v>
      </c>
      <c r="E171" s="22">
        <f t="shared" si="11"/>
        <v>10220</v>
      </c>
      <c r="F171" s="120">
        <v>10220</v>
      </c>
      <c r="G171" s="120"/>
      <c r="H171" s="120"/>
      <c r="I171" s="120"/>
      <c r="J171" s="24">
        <f t="shared" si="13"/>
        <v>0</v>
      </c>
      <c r="K171" s="149"/>
      <c r="L171" s="120"/>
      <c r="M171" s="120"/>
      <c r="N171" s="120"/>
      <c r="O171" s="149"/>
      <c r="P171" s="25">
        <f t="shared" si="14"/>
        <v>10220</v>
      </c>
      <c r="Q171" s="228"/>
      <c r="R171" s="17"/>
      <c r="S171" s="81"/>
      <c r="T171" s="81"/>
      <c r="U171" s="147"/>
    </row>
    <row r="172" spans="1:21" s="329" customFormat="1" ht="131.25" customHeight="1">
      <c r="A172" s="323" t="s">
        <v>38</v>
      </c>
      <c r="B172" s="324">
        <v>3086</v>
      </c>
      <c r="C172" s="325" t="s">
        <v>315</v>
      </c>
      <c r="D172" s="326" t="s">
        <v>42</v>
      </c>
      <c r="E172" s="54">
        <f>F172+I172</f>
        <v>176600</v>
      </c>
      <c r="F172" s="327">
        <f>F173</f>
        <v>176600</v>
      </c>
      <c r="G172" s="327"/>
      <c r="H172" s="327"/>
      <c r="I172" s="327"/>
      <c r="J172" s="54">
        <f>L172+O172</f>
        <v>0</v>
      </c>
      <c r="K172" s="327"/>
      <c r="L172" s="327"/>
      <c r="M172" s="327"/>
      <c r="N172" s="327"/>
      <c r="O172" s="327"/>
      <c r="P172" s="54">
        <f>J172+E172</f>
        <v>176600</v>
      </c>
      <c r="Q172" s="293"/>
      <c r="R172" s="294"/>
      <c r="S172" s="295"/>
      <c r="T172" s="295"/>
      <c r="U172" s="328"/>
    </row>
    <row r="173" spans="1:21" s="148" customFormat="1" ht="165" customHeight="1">
      <c r="A173" s="117"/>
      <c r="B173" s="118"/>
      <c r="C173" s="117"/>
      <c r="D173" s="8" t="s">
        <v>116</v>
      </c>
      <c r="E173" s="119">
        <f>F173+I173</f>
        <v>176600</v>
      </c>
      <c r="F173" s="120">
        <f>276600-100000</f>
        <v>176600</v>
      </c>
      <c r="G173" s="120"/>
      <c r="H173" s="120"/>
      <c r="I173" s="120"/>
      <c r="J173" s="24">
        <f>L173+O173</f>
        <v>0</v>
      </c>
      <c r="K173" s="149"/>
      <c r="L173" s="120"/>
      <c r="M173" s="120"/>
      <c r="N173" s="120"/>
      <c r="O173" s="149"/>
      <c r="P173" s="121">
        <f>J173+E173</f>
        <v>176600</v>
      </c>
      <c r="Q173" s="228"/>
      <c r="R173" s="17"/>
      <c r="S173" s="81"/>
      <c r="T173" s="81"/>
      <c r="U173" s="147"/>
    </row>
    <row r="174" spans="1:21" s="329" customFormat="1" ht="33.75" customHeight="1">
      <c r="A174" s="323" t="s">
        <v>357</v>
      </c>
      <c r="B174" s="324">
        <v>3087</v>
      </c>
      <c r="C174" s="325" t="s">
        <v>315</v>
      </c>
      <c r="D174" s="326" t="s">
        <v>358</v>
      </c>
      <c r="E174" s="54">
        <f t="shared" si="11"/>
        <v>4377200</v>
      </c>
      <c r="F174" s="327">
        <f>F175</f>
        <v>4377200</v>
      </c>
      <c r="G174" s="327"/>
      <c r="H174" s="327"/>
      <c r="I174" s="327"/>
      <c r="J174" s="54">
        <f t="shared" si="13"/>
        <v>0</v>
      </c>
      <c r="K174" s="327"/>
      <c r="L174" s="327"/>
      <c r="M174" s="327"/>
      <c r="N174" s="327"/>
      <c r="O174" s="327"/>
      <c r="P174" s="54">
        <f t="shared" si="14"/>
        <v>4377200</v>
      </c>
      <c r="Q174" s="293"/>
      <c r="R174" s="294"/>
      <c r="S174" s="295"/>
      <c r="T174" s="295"/>
      <c r="U174" s="328"/>
    </row>
    <row r="175" spans="1:21" s="148" customFormat="1" ht="154.5" customHeight="1">
      <c r="A175" s="117"/>
      <c r="B175" s="118"/>
      <c r="C175" s="117"/>
      <c r="D175" s="8" t="s">
        <v>116</v>
      </c>
      <c r="E175" s="119">
        <f t="shared" si="11"/>
        <v>4377200</v>
      </c>
      <c r="F175" s="120">
        <f>4277200+100000</f>
        <v>4377200</v>
      </c>
      <c r="G175" s="120"/>
      <c r="H175" s="120"/>
      <c r="I175" s="120"/>
      <c r="J175" s="24">
        <f t="shared" si="13"/>
        <v>0</v>
      </c>
      <c r="K175" s="149"/>
      <c r="L175" s="120"/>
      <c r="M175" s="120"/>
      <c r="N175" s="120"/>
      <c r="O175" s="149"/>
      <c r="P175" s="121">
        <f t="shared" si="14"/>
        <v>4377200</v>
      </c>
      <c r="Q175" s="228"/>
      <c r="R175" s="17"/>
      <c r="S175" s="81"/>
      <c r="T175" s="81"/>
      <c r="U175" s="147"/>
    </row>
    <row r="176" spans="1:21" s="116" customFormat="1" ht="52.5" customHeight="1">
      <c r="A176" s="113" t="s">
        <v>490</v>
      </c>
      <c r="B176" s="114" t="s">
        <v>491</v>
      </c>
      <c r="C176" s="113" t="s">
        <v>311</v>
      </c>
      <c r="D176" s="116" t="s">
        <v>111</v>
      </c>
      <c r="E176" s="56">
        <f t="shared" si="11"/>
        <v>8295822.28</v>
      </c>
      <c r="F176" s="57">
        <f>7941130+20077+6480+196275+8835.2+20000+40000+17125.08+25000+3900+17000</f>
        <v>8295822.28</v>
      </c>
      <c r="G176" s="57">
        <f>5087370+58422</f>
        <v>5145792</v>
      </c>
      <c r="H176" s="57">
        <f>1188730+828+7000</f>
        <v>1196558</v>
      </c>
      <c r="I176" s="57"/>
      <c r="J176" s="54">
        <f t="shared" si="13"/>
        <v>131558</v>
      </c>
      <c r="K176" s="57">
        <v>17558</v>
      </c>
      <c r="L176" s="57">
        <v>114000</v>
      </c>
      <c r="M176" s="57">
        <v>30000</v>
      </c>
      <c r="N176" s="57">
        <v>0</v>
      </c>
      <c r="O176" s="57">
        <v>17558</v>
      </c>
      <c r="P176" s="54">
        <f t="shared" si="12"/>
        <v>8427380.280000001</v>
      </c>
      <c r="Q176" s="293"/>
      <c r="R176" s="294"/>
      <c r="S176" s="295"/>
      <c r="T176" s="295"/>
      <c r="U176" s="322"/>
    </row>
    <row r="177" spans="1:21" s="103" customFormat="1" ht="64.5" customHeight="1">
      <c r="A177" s="113" t="s">
        <v>499</v>
      </c>
      <c r="B177" s="114" t="s">
        <v>500</v>
      </c>
      <c r="C177" s="115" t="s">
        <v>307</v>
      </c>
      <c r="D177" s="116" t="s">
        <v>112</v>
      </c>
      <c r="E177" s="56">
        <f t="shared" si="11"/>
        <v>620150</v>
      </c>
      <c r="F177" s="57">
        <v>620150</v>
      </c>
      <c r="G177" s="57">
        <v>0</v>
      </c>
      <c r="H177" s="57">
        <v>0</v>
      </c>
      <c r="I177" s="57">
        <v>0</v>
      </c>
      <c r="J177" s="56">
        <f t="shared" si="13"/>
        <v>0</v>
      </c>
      <c r="K177" s="66"/>
      <c r="L177" s="57">
        <v>0</v>
      </c>
      <c r="M177" s="57">
        <v>0</v>
      </c>
      <c r="N177" s="57">
        <v>0</v>
      </c>
      <c r="O177" s="66">
        <v>0</v>
      </c>
      <c r="P177" s="105">
        <f t="shared" si="12"/>
        <v>620150</v>
      </c>
      <c r="Q177" s="223"/>
      <c r="R177" s="229"/>
      <c r="S177" s="102"/>
      <c r="T177" s="102"/>
      <c r="U177" s="112"/>
    </row>
    <row r="178" spans="1:21" s="104" customFormat="1" ht="63" customHeight="1">
      <c r="A178" s="52" t="s">
        <v>503</v>
      </c>
      <c r="B178" s="53" t="s">
        <v>504</v>
      </c>
      <c r="C178" s="52" t="s">
        <v>415</v>
      </c>
      <c r="D178" s="104" t="s">
        <v>113</v>
      </c>
      <c r="E178" s="54">
        <f t="shared" si="11"/>
        <v>333768.18</v>
      </c>
      <c r="F178" s="55">
        <f>385200-4431.82-20000-10000-17000</f>
        <v>333768.18</v>
      </c>
      <c r="G178" s="55">
        <v>0</v>
      </c>
      <c r="H178" s="55">
        <v>0</v>
      </c>
      <c r="I178" s="55">
        <v>0</v>
      </c>
      <c r="J178" s="56">
        <f t="shared" si="13"/>
        <v>0</v>
      </c>
      <c r="K178" s="66"/>
      <c r="L178" s="55">
        <v>0</v>
      </c>
      <c r="M178" s="55">
        <v>0</v>
      </c>
      <c r="N178" s="55">
        <v>0</v>
      </c>
      <c r="O178" s="66">
        <v>0</v>
      </c>
      <c r="P178" s="58">
        <f t="shared" si="12"/>
        <v>333768.18</v>
      </c>
      <c r="Q178" s="223"/>
      <c r="R178" s="96"/>
      <c r="S178" s="83"/>
      <c r="T178" s="83"/>
      <c r="U178" s="111"/>
    </row>
    <row r="179" spans="1:20" s="296" customFormat="1" ht="30" customHeight="1">
      <c r="A179" s="113" t="s">
        <v>86</v>
      </c>
      <c r="B179" s="114" t="s">
        <v>87</v>
      </c>
      <c r="C179" s="113" t="s">
        <v>319</v>
      </c>
      <c r="D179" s="296" t="s">
        <v>80</v>
      </c>
      <c r="E179" s="54">
        <f aca="true" t="shared" si="15" ref="E179:E231">F179+I179</f>
        <v>341900</v>
      </c>
      <c r="F179" s="57">
        <f>321900-4431.82+4431.82+20000</f>
        <v>341900</v>
      </c>
      <c r="G179" s="57">
        <v>0</v>
      </c>
      <c r="H179" s="57">
        <v>0</v>
      </c>
      <c r="I179" s="57">
        <v>0</v>
      </c>
      <c r="J179" s="54">
        <f t="shared" si="13"/>
        <v>0</v>
      </c>
      <c r="K179" s="57"/>
      <c r="L179" s="57">
        <v>0</v>
      </c>
      <c r="M179" s="57">
        <v>0</v>
      </c>
      <c r="N179" s="57">
        <v>0</v>
      </c>
      <c r="O179" s="57">
        <v>0</v>
      </c>
      <c r="P179" s="54">
        <f t="shared" si="12"/>
        <v>341900</v>
      </c>
      <c r="Q179" s="293"/>
      <c r="R179" s="294"/>
      <c r="S179" s="295"/>
      <c r="T179" s="295"/>
    </row>
    <row r="180" spans="1:20" s="107" customFormat="1" ht="67.5" customHeight="1">
      <c r="A180" s="62" t="s">
        <v>434</v>
      </c>
      <c r="B180" s="67">
        <v>6083</v>
      </c>
      <c r="C180" s="62" t="s">
        <v>534</v>
      </c>
      <c r="D180" s="257" t="s">
        <v>435</v>
      </c>
      <c r="E180" s="54">
        <f t="shared" si="15"/>
        <v>0</v>
      </c>
      <c r="F180" s="66"/>
      <c r="G180" s="66"/>
      <c r="H180" s="66"/>
      <c r="I180" s="66"/>
      <c r="J180" s="54">
        <f t="shared" si="13"/>
        <v>2225800</v>
      </c>
      <c r="K180" s="66">
        <f>K181</f>
        <v>2225800</v>
      </c>
      <c r="L180" s="66"/>
      <c r="M180" s="66"/>
      <c r="N180" s="66"/>
      <c r="O180" s="66">
        <f>O181</f>
        <v>2225800</v>
      </c>
      <c r="P180" s="105">
        <f t="shared" si="12"/>
        <v>2225800</v>
      </c>
      <c r="Q180" s="233"/>
      <c r="R180" s="231"/>
      <c r="S180" s="106"/>
      <c r="T180" s="106"/>
    </row>
    <row r="181" spans="1:20" s="92" customFormat="1" ht="115.5" customHeight="1">
      <c r="A181" s="258"/>
      <c r="B181" s="259"/>
      <c r="C181" s="258"/>
      <c r="D181" s="260" t="s">
        <v>436</v>
      </c>
      <c r="E181" s="28">
        <f t="shared" si="15"/>
        <v>0</v>
      </c>
      <c r="F181" s="31"/>
      <c r="G181" s="31"/>
      <c r="H181" s="31"/>
      <c r="I181" s="31"/>
      <c r="J181" s="28">
        <f t="shared" si="13"/>
        <v>2225800</v>
      </c>
      <c r="K181" s="31">
        <f>445160+1780640</f>
        <v>2225800</v>
      </c>
      <c r="L181" s="31"/>
      <c r="M181" s="31"/>
      <c r="N181" s="31"/>
      <c r="O181" s="31">
        <f>445160+1780640</f>
        <v>2225800</v>
      </c>
      <c r="P181" s="263">
        <f t="shared" si="12"/>
        <v>2225800</v>
      </c>
      <c r="Q181" s="228">
        <f>P181</f>
        <v>2225800</v>
      </c>
      <c r="R181" s="264" t="s">
        <v>228</v>
      </c>
      <c r="S181" s="91"/>
      <c r="T181" s="91"/>
    </row>
    <row r="182" spans="1:20" s="206" customFormat="1" ht="40.5" customHeight="1">
      <c r="A182" s="195" t="s">
        <v>412</v>
      </c>
      <c r="B182" s="196"/>
      <c r="C182" s="197"/>
      <c r="D182" s="198" t="s">
        <v>7</v>
      </c>
      <c r="E182" s="199">
        <f t="shared" si="15"/>
        <v>153822892.43</v>
      </c>
      <c r="F182" s="199">
        <f>F183+F184+F185+F226+F227+F193+F187+F189+F191+F194+F196+F198+F200+F204+F206+F208+F202+F210+F212+F214+F216+F218+F220+F222+F224+F228</f>
        <v>153822892.43</v>
      </c>
      <c r="G182" s="199">
        <f>G183+G184+G185+G226+G227+G193+G187+G189+G191+G194+G196+G198+G200+G204+G206+G208+G202+G210+G212+G214+G216+G218+G220+G222+G224+G228</f>
        <v>15156573</v>
      </c>
      <c r="H182" s="199">
        <f>H183+H184+H185+H226+H227+H193+H187+H189+H191+H194+H196+H198+H200+H204+H206+H208+H202+H210+H212+H214+H216+H218+H220+H222+H224+H228</f>
        <v>883594</v>
      </c>
      <c r="I182" s="199">
        <f>I183+I184+I185+I226+I227+I193+I187+I189+I191+I194+I196+I198+I200+I204+I206+I208+I202+I210+I212+I214+I216+I218+I220+I222+I224+I228</f>
        <v>0</v>
      </c>
      <c r="J182" s="200">
        <f t="shared" si="13"/>
        <v>146100</v>
      </c>
      <c r="K182" s="199">
        <f>K183+K184+K185+K226+K227+K193+K187+K189+K191+K194+K196+K198+K200+K204+K206+K208+K202+K210+K212+K214+K216+K218+K220+K222+K224+K228</f>
        <v>40000</v>
      </c>
      <c r="L182" s="199">
        <f>L183+L184+L185+L226+L227+L193+L187+L189+L191+L194+L196+L198+L200+L204+L206+L208+L202+L210+L212+L214+L216+L218+L220+L222+L224+L228</f>
        <v>106100</v>
      </c>
      <c r="M182" s="199">
        <f>M183+M184+M185+M226+M227+M193+M187+M189+M191+M194+M196+M198+M200+M204+M206+M208+M202+M210+M212+M214+M216+M218+M220+M222+M224+M228</f>
        <v>77900</v>
      </c>
      <c r="N182" s="199">
        <f>N183+N184+N185+N226+N227+N193+N187+N189+N191+N194+N196+N198+N200+N204+N206+N208+N202+N210+N212+N214+N216+N218+N220+N222+N224+N228</f>
        <v>0</v>
      </c>
      <c r="O182" s="199">
        <f>O183+O184+O185+O226+O227+O193+O187+O189+O191+O194+O196+O198+O200+O204+O206+O208+O202+O210+O212+O214+O216+O218+O220+O222+O224+O228</f>
        <v>40000</v>
      </c>
      <c r="P182" s="201">
        <f>E182+J182</f>
        <v>153968992.43</v>
      </c>
      <c r="Q182" s="223"/>
      <c r="R182" s="232"/>
      <c r="S182" s="205"/>
      <c r="T182" s="205"/>
    </row>
    <row r="183" spans="1:20" s="59" customFormat="1" ht="45" customHeight="1">
      <c r="A183" s="52" t="s">
        <v>413</v>
      </c>
      <c r="B183" s="53" t="s">
        <v>296</v>
      </c>
      <c r="C183" s="52" t="s">
        <v>281</v>
      </c>
      <c r="D183" s="50" t="s">
        <v>297</v>
      </c>
      <c r="E183" s="54">
        <f t="shared" si="15"/>
        <v>13182427</v>
      </c>
      <c r="F183" s="55">
        <f>13115572+43706+50000-26851</f>
        <v>13182427</v>
      </c>
      <c r="G183" s="55">
        <v>10242981</v>
      </c>
      <c r="H183" s="55">
        <f>478336+5982+43706+4400-26851</f>
        <v>505573</v>
      </c>
      <c r="I183" s="55">
        <v>0</v>
      </c>
      <c r="J183" s="56">
        <f t="shared" si="13"/>
        <v>40000</v>
      </c>
      <c r="K183" s="66">
        <f>15000+25000</f>
        <v>40000</v>
      </c>
      <c r="L183" s="55">
        <v>0</v>
      </c>
      <c r="M183" s="55">
        <v>0</v>
      </c>
      <c r="N183" s="55">
        <v>0</v>
      </c>
      <c r="O183" s="66">
        <f>15000+25000</f>
        <v>40000</v>
      </c>
      <c r="P183" s="58">
        <f t="shared" si="12"/>
        <v>13222427</v>
      </c>
      <c r="Q183" s="223"/>
      <c r="R183" s="96"/>
      <c r="S183" s="83"/>
      <c r="T183" s="83"/>
    </row>
    <row r="184" spans="1:20" s="59" customFormat="1" ht="27" customHeight="1">
      <c r="A184" s="52" t="s">
        <v>414</v>
      </c>
      <c r="B184" s="53" t="s">
        <v>286</v>
      </c>
      <c r="C184" s="52" t="s">
        <v>285</v>
      </c>
      <c r="D184" s="50" t="s">
        <v>287</v>
      </c>
      <c r="E184" s="54">
        <f t="shared" si="15"/>
        <v>242038</v>
      </c>
      <c r="F184" s="55">
        <f>155000+87038</f>
        <v>242038</v>
      </c>
      <c r="G184" s="55">
        <v>0</v>
      </c>
      <c r="H184" s="55">
        <v>0</v>
      </c>
      <c r="I184" s="55">
        <v>0</v>
      </c>
      <c r="J184" s="56">
        <f t="shared" si="13"/>
        <v>0</v>
      </c>
      <c r="K184" s="66"/>
      <c r="L184" s="55">
        <v>0</v>
      </c>
      <c r="M184" s="55">
        <v>0</v>
      </c>
      <c r="N184" s="55">
        <v>0</v>
      </c>
      <c r="O184" s="66">
        <v>0</v>
      </c>
      <c r="P184" s="58">
        <f t="shared" si="12"/>
        <v>242038</v>
      </c>
      <c r="Q184" s="223"/>
      <c r="R184" s="96"/>
      <c r="S184" s="83"/>
      <c r="T184" s="83"/>
    </row>
    <row r="185" spans="1:20" s="59" customFormat="1" ht="147.75" customHeight="1">
      <c r="A185" s="52" t="s">
        <v>143</v>
      </c>
      <c r="B185" s="53">
        <v>3230</v>
      </c>
      <c r="C185" s="65" t="s">
        <v>315</v>
      </c>
      <c r="D185" s="59" t="s">
        <v>231</v>
      </c>
      <c r="E185" s="54">
        <f t="shared" si="15"/>
        <v>1758312</v>
      </c>
      <c r="F185" s="55">
        <f>F186</f>
        <v>1758312</v>
      </c>
      <c r="G185" s="55">
        <f>G186</f>
        <v>0</v>
      </c>
      <c r="H185" s="55">
        <f>H186</f>
        <v>0</v>
      </c>
      <c r="I185" s="55">
        <f>I186</f>
        <v>0</v>
      </c>
      <c r="J185" s="56">
        <f t="shared" si="13"/>
        <v>0</v>
      </c>
      <c r="K185" s="66"/>
      <c r="L185" s="55">
        <f>L186</f>
        <v>0</v>
      </c>
      <c r="M185" s="55">
        <f>M186</f>
        <v>0</v>
      </c>
      <c r="N185" s="55">
        <f>N186</f>
        <v>0</v>
      </c>
      <c r="O185" s="66">
        <f>O186</f>
        <v>0</v>
      </c>
      <c r="P185" s="58">
        <f aca="true" t="shared" si="16" ref="P185:P240">E185+J185</f>
        <v>1758312</v>
      </c>
      <c r="Q185" s="223"/>
      <c r="R185" s="96"/>
      <c r="S185" s="83"/>
      <c r="T185" s="83"/>
    </row>
    <row r="186" spans="1:20" s="82" customFormat="1" ht="140.25" customHeight="1">
      <c r="A186" s="18"/>
      <c r="B186" s="19"/>
      <c r="C186" s="18"/>
      <c r="D186" s="3" t="s">
        <v>232</v>
      </c>
      <c r="E186" s="22">
        <f t="shared" si="15"/>
        <v>1758312</v>
      </c>
      <c r="F186" s="23">
        <f>2183450-425138</f>
        <v>1758312</v>
      </c>
      <c r="G186" s="23"/>
      <c r="H186" s="23"/>
      <c r="I186" s="23"/>
      <c r="J186" s="24">
        <f t="shared" si="13"/>
        <v>0</v>
      </c>
      <c r="K186" s="48"/>
      <c r="L186" s="23"/>
      <c r="M186" s="23"/>
      <c r="N186" s="23"/>
      <c r="O186" s="48"/>
      <c r="P186" s="25">
        <f t="shared" si="16"/>
        <v>1758312</v>
      </c>
      <c r="Q186" s="228"/>
      <c r="R186" s="17"/>
      <c r="S186" s="81"/>
      <c r="T186" s="81"/>
    </row>
    <row r="187" spans="1:20" s="296" customFormat="1" ht="30">
      <c r="A187" s="113" t="s">
        <v>420</v>
      </c>
      <c r="B187" s="114" t="s">
        <v>422</v>
      </c>
      <c r="C187" s="113" t="s">
        <v>421</v>
      </c>
      <c r="D187" s="292" t="s">
        <v>423</v>
      </c>
      <c r="E187" s="54">
        <f t="shared" si="15"/>
        <v>14833675.21</v>
      </c>
      <c r="F187" s="57">
        <f>F188</f>
        <v>14833675.21</v>
      </c>
      <c r="G187" s="57">
        <f>G188</f>
        <v>0</v>
      </c>
      <c r="H187" s="57">
        <f>H188</f>
        <v>0</v>
      </c>
      <c r="I187" s="57">
        <f>I188</f>
        <v>0</v>
      </c>
      <c r="J187" s="54">
        <f aca="true" t="shared" si="17" ref="J187:J242">L187+O187</f>
        <v>0</v>
      </c>
      <c r="K187" s="57"/>
      <c r="L187" s="57">
        <f>L188</f>
        <v>0</v>
      </c>
      <c r="M187" s="57">
        <f>M188</f>
        <v>0</v>
      </c>
      <c r="N187" s="57">
        <f>N188</f>
        <v>0</v>
      </c>
      <c r="O187" s="57">
        <f>O188</f>
        <v>0</v>
      </c>
      <c r="P187" s="54">
        <f t="shared" si="16"/>
        <v>14833675.21</v>
      </c>
      <c r="Q187" s="293"/>
      <c r="R187" s="294"/>
      <c r="S187" s="295"/>
      <c r="T187" s="295"/>
    </row>
    <row r="188" spans="1:20" s="82" customFormat="1" ht="166.5" customHeight="1">
      <c r="A188" s="18"/>
      <c r="B188" s="19"/>
      <c r="C188" s="18"/>
      <c r="D188" s="3" t="s">
        <v>237</v>
      </c>
      <c r="E188" s="22">
        <f t="shared" si="15"/>
        <v>14833675.21</v>
      </c>
      <c r="F188" s="23">
        <f>12500000+585904.75-91656.79+970744.25+868683</f>
        <v>14833675.21</v>
      </c>
      <c r="G188" s="23"/>
      <c r="H188" s="23"/>
      <c r="I188" s="23"/>
      <c r="J188" s="24">
        <f t="shared" si="17"/>
        <v>0</v>
      </c>
      <c r="K188" s="48"/>
      <c r="L188" s="23"/>
      <c r="M188" s="23"/>
      <c r="N188" s="23"/>
      <c r="O188" s="48"/>
      <c r="P188" s="25">
        <f t="shared" si="16"/>
        <v>14833675.21</v>
      </c>
      <c r="Q188" s="228"/>
      <c r="R188" s="17"/>
      <c r="S188" s="81"/>
      <c r="T188" s="81"/>
    </row>
    <row r="189" spans="1:20" s="296" customFormat="1" ht="30">
      <c r="A189" s="113" t="s">
        <v>424</v>
      </c>
      <c r="B189" s="114" t="s">
        <v>425</v>
      </c>
      <c r="C189" s="113" t="s">
        <v>415</v>
      </c>
      <c r="D189" s="292" t="s">
        <v>426</v>
      </c>
      <c r="E189" s="54">
        <f t="shared" si="15"/>
        <v>21908422.099999998</v>
      </c>
      <c r="F189" s="57">
        <f>F190</f>
        <v>21908422.099999998</v>
      </c>
      <c r="G189" s="57">
        <f>G190</f>
        <v>0</v>
      </c>
      <c r="H189" s="57">
        <f>H190</f>
        <v>0</v>
      </c>
      <c r="I189" s="57">
        <f>I190</f>
        <v>0</v>
      </c>
      <c r="J189" s="54">
        <f t="shared" si="17"/>
        <v>0</v>
      </c>
      <c r="K189" s="57"/>
      <c r="L189" s="57">
        <f>L190</f>
        <v>0</v>
      </c>
      <c r="M189" s="57">
        <f>M190</f>
        <v>0</v>
      </c>
      <c r="N189" s="57">
        <f>N190</f>
        <v>0</v>
      </c>
      <c r="O189" s="57">
        <f>O190</f>
        <v>0</v>
      </c>
      <c r="P189" s="54">
        <f t="shared" si="16"/>
        <v>21908422.099999998</v>
      </c>
      <c r="Q189" s="293"/>
      <c r="R189" s="294"/>
      <c r="S189" s="295"/>
      <c r="T189" s="295"/>
    </row>
    <row r="190" spans="1:20" s="82" customFormat="1" ht="163.5" customHeight="1">
      <c r="A190" s="18"/>
      <c r="B190" s="19"/>
      <c r="C190" s="18"/>
      <c r="D190" s="3" t="s">
        <v>237</v>
      </c>
      <c r="E190" s="22">
        <f t="shared" si="15"/>
        <v>21908422.099999998</v>
      </c>
      <c r="F190" s="23">
        <f>47563000-25860000-152307.17+357729.27</f>
        <v>21908422.099999998</v>
      </c>
      <c r="G190" s="23"/>
      <c r="H190" s="23"/>
      <c r="I190" s="23"/>
      <c r="J190" s="24">
        <f t="shared" si="17"/>
        <v>0</v>
      </c>
      <c r="K190" s="48"/>
      <c r="L190" s="23"/>
      <c r="M190" s="23"/>
      <c r="N190" s="23"/>
      <c r="O190" s="48"/>
      <c r="P190" s="25">
        <f t="shared" si="16"/>
        <v>21908422.099999998</v>
      </c>
      <c r="Q190" s="228"/>
      <c r="R190" s="17"/>
      <c r="S190" s="81"/>
      <c r="T190" s="81"/>
    </row>
    <row r="191" spans="1:20" s="296" customFormat="1" ht="43.5" customHeight="1">
      <c r="A191" s="113" t="s">
        <v>430</v>
      </c>
      <c r="B191" s="114" t="s">
        <v>431</v>
      </c>
      <c r="C191" s="113" t="s">
        <v>415</v>
      </c>
      <c r="D191" s="292" t="s">
        <v>432</v>
      </c>
      <c r="E191" s="54">
        <f t="shared" si="15"/>
        <v>46600</v>
      </c>
      <c r="F191" s="57">
        <f>F192</f>
        <v>46600</v>
      </c>
      <c r="G191" s="57">
        <f>G192</f>
        <v>0</v>
      </c>
      <c r="H191" s="57">
        <f>H192</f>
        <v>0</v>
      </c>
      <c r="I191" s="57">
        <f>I192</f>
        <v>0</v>
      </c>
      <c r="J191" s="54">
        <f t="shared" si="17"/>
        <v>0</v>
      </c>
      <c r="K191" s="57"/>
      <c r="L191" s="57">
        <f>L192</f>
        <v>0</v>
      </c>
      <c r="M191" s="57">
        <f>M192</f>
        <v>0</v>
      </c>
      <c r="N191" s="57">
        <f>N192</f>
        <v>0</v>
      </c>
      <c r="O191" s="57">
        <f>O192</f>
        <v>0</v>
      </c>
      <c r="P191" s="54">
        <f t="shared" si="16"/>
        <v>46600</v>
      </c>
      <c r="Q191" s="293"/>
      <c r="R191" s="294"/>
      <c r="S191" s="295"/>
      <c r="T191" s="295"/>
    </row>
    <row r="192" spans="1:20" s="82" customFormat="1" ht="62.25" customHeight="1">
      <c r="A192" s="18"/>
      <c r="B192" s="19"/>
      <c r="C192" s="18"/>
      <c r="D192" s="4" t="s">
        <v>6</v>
      </c>
      <c r="E192" s="22">
        <f t="shared" si="15"/>
        <v>46600</v>
      </c>
      <c r="F192" s="23">
        <f>46600</f>
        <v>46600</v>
      </c>
      <c r="G192" s="23"/>
      <c r="H192" s="23"/>
      <c r="I192" s="23"/>
      <c r="J192" s="24">
        <f t="shared" si="17"/>
        <v>0</v>
      </c>
      <c r="K192" s="48"/>
      <c r="L192" s="23"/>
      <c r="M192" s="23"/>
      <c r="N192" s="23"/>
      <c r="O192" s="48"/>
      <c r="P192" s="25">
        <f t="shared" si="16"/>
        <v>46600</v>
      </c>
      <c r="Q192" s="228"/>
      <c r="R192" s="17"/>
      <c r="S192" s="81"/>
      <c r="T192" s="81"/>
    </row>
    <row r="193" spans="1:20" s="296" customFormat="1" ht="62.25" customHeight="1">
      <c r="A193" s="113" t="s">
        <v>130</v>
      </c>
      <c r="B193" s="114">
        <v>3032</v>
      </c>
      <c r="C193" s="115" t="s">
        <v>462</v>
      </c>
      <c r="D193" s="116" t="s">
        <v>131</v>
      </c>
      <c r="E193" s="54">
        <f t="shared" si="15"/>
        <v>120222.90000000001</v>
      </c>
      <c r="F193" s="57">
        <f>103030.21+12300+4892.69</f>
        <v>120222.90000000001</v>
      </c>
      <c r="G193" s="57"/>
      <c r="H193" s="57"/>
      <c r="I193" s="57"/>
      <c r="J193" s="54">
        <f t="shared" si="17"/>
        <v>0</v>
      </c>
      <c r="K193" s="57"/>
      <c r="L193" s="57"/>
      <c r="M193" s="57"/>
      <c r="N193" s="57"/>
      <c r="O193" s="57"/>
      <c r="P193" s="54">
        <f t="shared" si="16"/>
        <v>120222.90000000001</v>
      </c>
      <c r="Q193" s="293"/>
      <c r="R193" s="294"/>
      <c r="S193" s="295"/>
      <c r="T193" s="295"/>
    </row>
    <row r="194" spans="1:20" s="296" customFormat="1" ht="24.75" customHeight="1">
      <c r="A194" s="113" t="s">
        <v>471</v>
      </c>
      <c r="B194" s="114" t="s">
        <v>472</v>
      </c>
      <c r="C194" s="113" t="s">
        <v>315</v>
      </c>
      <c r="D194" s="292" t="s">
        <v>473</v>
      </c>
      <c r="E194" s="54">
        <f t="shared" si="15"/>
        <v>800050</v>
      </c>
      <c r="F194" s="57">
        <f>F195</f>
        <v>800050</v>
      </c>
      <c r="G194" s="57">
        <v>0</v>
      </c>
      <c r="H194" s="57">
        <v>0</v>
      </c>
      <c r="I194" s="57">
        <v>0</v>
      </c>
      <c r="J194" s="54">
        <f t="shared" si="17"/>
        <v>0</v>
      </c>
      <c r="K194" s="57"/>
      <c r="L194" s="57">
        <v>0</v>
      </c>
      <c r="M194" s="57">
        <v>0</v>
      </c>
      <c r="N194" s="57">
        <v>0</v>
      </c>
      <c r="O194" s="57">
        <v>0</v>
      </c>
      <c r="P194" s="54">
        <f t="shared" si="16"/>
        <v>800050</v>
      </c>
      <c r="Q194" s="293"/>
      <c r="R194" s="293">
        <f>F194+F196+F198+F200+F202+F204+F206+F210+F212+F214+F216+F218+F222+F220+F208</f>
        <v>93671970</v>
      </c>
      <c r="S194" s="295"/>
      <c r="T194" s="295"/>
    </row>
    <row r="195" spans="1:20" s="82" customFormat="1" ht="156.75" customHeight="1">
      <c r="A195" s="18"/>
      <c r="B195" s="19"/>
      <c r="C195" s="18"/>
      <c r="D195" s="82" t="s">
        <v>116</v>
      </c>
      <c r="E195" s="22">
        <f t="shared" si="15"/>
        <v>800050</v>
      </c>
      <c r="F195" s="23">
        <v>800050</v>
      </c>
      <c r="G195" s="23"/>
      <c r="H195" s="23"/>
      <c r="I195" s="23"/>
      <c r="J195" s="24">
        <f t="shared" si="17"/>
        <v>0</v>
      </c>
      <c r="K195" s="48"/>
      <c r="L195" s="23"/>
      <c r="M195" s="23"/>
      <c r="N195" s="23"/>
      <c r="O195" s="48"/>
      <c r="P195" s="25">
        <f t="shared" si="16"/>
        <v>800050</v>
      </c>
      <c r="Q195" s="228"/>
      <c r="R195" s="17"/>
      <c r="S195" s="81"/>
      <c r="T195" s="81"/>
    </row>
    <row r="196" spans="1:20" s="296" customFormat="1" ht="23.25" customHeight="1">
      <c r="A196" s="113" t="s">
        <v>88</v>
      </c>
      <c r="B196" s="114" t="s">
        <v>114</v>
      </c>
      <c r="C196" s="113" t="s">
        <v>315</v>
      </c>
      <c r="D196" s="116" t="s">
        <v>489</v>
      </c>
      <c r="E196" s="54">
        <f>F196+I196</f>
        <v>108660</v>
      </c>
      <c r="F196" s="57">
        <f>F197</f>
        <v>108660</v>
      </c>
      <c r="G196" s="57">
        <f>G197</f>
        <v>0</v>
      </c>
      <c r="H196" s="57">
        <f>H197</f>
        <v>0</v>
      </c>
      <c r="I196" s="57">
        <f>I197</f>
        <v>0</v>
      </c>
      <c r="J196" s="54">
        <f t="shared" si="17"/>
        <v>0</v>
      </c>
      <c r="K196" s="57"/>
      <c r="L196" s="57">
        <f>L197</f>
        <v>0</v>
      </c>
      <c r="M196" s="57">
        <f>M197</f>
        <v>0</v>
      </c>
      <c r="N196" s="57">
        <f>N197</f>
        <v>0</v>
      </c>
      <c r="O196" s="57">
        <f>O197</f>
        <v>0</v>
      </c>
      <c r="P196" s="54">
        <f t="shared" si="16"/>
        <v>108660</v>
      </c>
      <c r="Q196" s="293"/>
      <c r="R196" s="294"/>
      <c r="S196" s="295"/>
      <c r="T196" s="295"/>
    </row>
    <row r="197" spans="1:20" s="82" customFormat="1" ht="153.75" customHeight="1">
      <c r="A197" s="18"/>
      <c r="B197" s="19"/>
      <c r="C197" s="18"/>
      <c r="D197" s="82" t="s">
        <v>116</v>
      </c>
      <c r="E197" s="22">
        <f>F197+I197</f>
        <v>108660</v>
      </c>
      <c r="F197" s="23">
        <f>61920+46740</f>
        <v>108660</v>
      </c>
      <c r="G197" s="23"/>
      <c r="H197" s="23"/>
      <c r="I197" s="23"/>
      <c r="J197" s="24">
        <f t="shared" si="17"/>
        <v>0</v>
      </c>
      <c r="K197" s="48"/>
      <c r="L197" s="23"/>
      <c r="M197" s="23"/>
      <c r="N197" s="23"/>
      <c r="O197" s="48"/>
      <c r="P197" s="25">
        <f t="shared" si="16"/>
        <v>108660</v>
      </c>
      <c r="Q197" s="228"/>
      <c r="R197" s="17"/>
      <c r="S197" s="81"/>
      <c r="T197" s="81"/>
    </row>
    <row r="198" spans="1:20" s="296" customFormat="1" ht="19.5" customHeight="1">
      <c r="A198" s="113" t="s">
        <v>474</v>
      </c>
      <c r="B198" s="114" t="s">
        <v>475</v>
      </c>
      <c r="C198" s="113" t="s">
        <v>315</v>
      </c>
      <c r="D198" s="292" t="s">
        <v>476</v>
      </c>
      <c r="E198" s="54">
        <f t="shared" si="15"/>
        <v>29154400</v>
      </c>
      <c r="F198" s="57">
        <f>F199</f>
        <v>29154400</v>
      </c>
      <c r="G198" s="57">
        <f>G199</f>
        <v>0</v>
      </c>
      <c r="H198" s="57">
        <f>H199</f>
        <v>0</v>
      </c>
      <c r="I198" s="57">
        <f>I199</f>
        <v>0</v>
      </c>
      <c r="J198" s="54">
        <f t="shared" si="17"/>
        <v>0</v>
      </c>
      <c r="K198" s="57"/>
      <c r="L198" s="57">
        <v>0</v>
      </c>
      <c r="M198" s="57">
        <v>0</v>
      </c>
      <c r="N198" s="57">
        <v>0</v>
      </c>
      <c r="O198" s="57">
        <v>0</v>
      </c>
      <c r="P198" s="54">
        <f t="shared" si="16"/>
        <v>29154400</v>
      </c>
      <c r="Q198" s="293"/>
      <c r="R198" s="294"/>
      <c r="S198" s="295"/>
      <c r="T198" s="295"/>
    </row>
    <row r="199" spans="1:20" s="82" customFormat="1" ht="159.75" customHeight="1">
      <c r="A199" s="18"/>
      <c r="B199" s="19"/>
      <c r="C199" s="18"/>
      <c r="D199" s="82" t="s">
        <v>116</v>
      </c>
      <c r="E199" s="22">
        <f t="shared" si="15"/>
        <v>29154400</v>
      </c>
      <c r="F199" s="23">
        <f>35151800-220000-5477400-300000</f>
        <v>29154400</v>
      </c>
      <c r="G199" s="23"/>
      <c r="H199" s="23"/>
      <c r="I199" s="23"/>
      <c r="J199" s="24">
        <f t="shared" si="17"/>
        <v>0</v>
      </c>
      <c r="K199" s="48"/>
      <c r="L199" s="23"/>
      <c r="M199" s="23"/>
      <c r="N199" s="23"/>
      <c r="O199" s="48"/>
      <c r="P199" s="25">
        <f t="shared" si="16"/>
        <v>29154400</v>
      </c>
      <c r="Q199" s="228"/>
      <c r="R199" s="17"/>
      <c r="S199" s="81"/>
      <c r="T199" s="81"/>
    </row>
    <row r="200" spans="1:20" s="296" customFormat="1" ht="37.5" customHeight="1">
      <c r="A200" s="113" t="s">
        <v>477</v>
      </c>
      <c r="B200" s="114" t="s">
        <v>478</v>
      </c>
      <c r="C200" s="113" t="s">
        <v>315</v>
      </c>
      <c r="D200" s="292" t="s">
        <v>479</v>
      </c>
      <c r="E200" s="54">
        <f t="shared" si="15"/>
        <v>5303300</v>
      </c>
      <c r="F200" s="57">
        <f>F201</f>
        <v>5303300</v>
      </c>
      <c r="G200" s="57">
        <v>0</v>
      </c>
      <c r="H200" s="57">
        <v>0</v>
      </c>
      <c r="I200" s="57">
        <v>0</v>
      </c>
      <c r="J200" s="54">
        <f t="shared" si="17"/>
        <v>0</v>
      </c>
      <c r="K200" s="57"/>
      <c r="L200" s="57">
        <v>0</v>
      </c>
      <c r="M200" s="57">
        <v>0</v>
      </c>
      <c r="N200" s="57">
        <v>0</v>
      </c>
      <c r="O200" s="57">
        <v>0</v>
      </c>
      <c r="P200" s="54">
        <f t="shared" si="16"/>
        <v>5303300</v>
      </c>
      <c r="Q200" s="293"/>
      <c r="R200" s="294"/>
      <c r="S200" s="295"/>
      <c r="T200" s="295"/>
    </row>
    <row r="201" spans="1:20" s="82" customFormat="1" ht="150.75" customHeight="1">
      <c r="A201" s="18"/>
      <c r="B201" s="19"/>
      <c r="C201" s="18"/>
      <c r="D201" s="82" t="s">
        <v>116</v>
      </c>
      <c r="E201" s="22">
        <f t="shared" si="15"/>
        <v>5303300</v>
      </c>
      <c r="F201" s="23">
        <v>5303300</v>
      </c>
      <c r="G201" s="23"/>
      <c r="H201" s="23"/>
      <c r="I201" s="23"/>
      <c r="J201" s="24">
        <f t="shared" si="17"/>
        <v>0</v>
      </c>
      <c r="K201" s="48"/>
      <c r="L201" s="23"/>
      <c r="M201" s="23"/>
      <c r="N201" s="23"/>
      <c r="O201" s="48"/>
      <c r="P201" s="25">
        <f t="shared" si="16"/>
        <v>5303300</v>
      </c>
      <c r="Q201" s="228"/>
      <c r="R201" s="17"/>
      <c r="S201" s="81"/>
      <c r="T201" s="81"/>
    </row>
    <row r="202" spans="1:20" s="296" customFormat="1" ht="24" customHeight="1">
      <c r="A202" s="113" t="s">
        <v>480</v>
      </c>
      <c r="B202" s="114" t="s">
        <v>481</v>
      </c>
      <c r="C202" s="113" t="s">
        <v>315</v>
      </c>
      <c r="D202" s="292" t="s">
        <v>482</v>
      </c>
      <c r="E202" s="54">
        <f t="shared" si="15"/>
        <v>12755600</v>
      </c>
      <c r="F202" s="57">
        <f>F203</f>
        <v>12755600</v>
      </c>
      <c r="G202" s="57">
        <f>G203</f>
        <v>0</v>
      </c>
      <c r="H202" s="57">
        <f>H203</f>
        <v>0</v>
      </c>
      <c r="I202" s="57">
        <f>I203</f>
        <v>0</v>
      </c>
      <c r="J202" s="54">
        <f t="shared" si="17"/>
        <v>0</v>
      </c>
      <c r="K202" s="57"/>
      <c r="L202" s="57">
        <v>0</v>
      </c>
      <c r="M202" s="57">
        <v>0</v>
      </c>
      <c r="N202" s="57">
        <v>0</v>
      </c>
      <c r="O202" s="57">
        <v>0</v>
      </c>
      <c r="P202" s="54">
        <f t="shared" si="16"/>
        <v>12755600</v>
      </c>
      <c r="Q202" s="293"/>
      <c r="R202" s="294"/>
      <c r="S202" s="295"/>
      <c r="T202" s="295"/>
    </row>
    <row r="203" spans="1:20" s="82" customFormat="1" ht="155.25" customHeight="1">
      <c r="A203" s="18"/>
      <c r="B203" s="19"/>
      <c r="C203" s="18"/>
      <c r="D203" s="82" t="s">
        <v>116</v>
      </c>
      <c r="E203" s="22">
        <f t="shared" si="15"/>
        <v>12755600</v>
      </c>
      <c r="F203" s="23">
        <f>12355500+400100</f>
        <v>12755600</v>
      </c>
      <c r="G203" s="23"/>
      <c r="H203" s="23"/>
      <c r="I203" s="23"/>
      <c r="J203" s="24">
        <f t="shared" si="17"/>
        <v>0</v>
      </c>
      <c r="K203" s="48"/>
      <c r="L203" s="23"/>
      <c r="M203" s="23"/>
      <c r="N203" s="23"/>
      <c r="O203" s="48"/>
      <c r="P203" s="25">
        <f t="shared" si="16"/>
        <v>12755600</v>
      </c>
      <c r="Q203" s="228"/>
      <c r="R203" s="17"/>
      <c r="S203" s="81"/>
      <c r="T203" s="81"/>
    </row>
    <row r="204" spans="1:20" s="296" customFormat="1" ht="24" customHeight="1">
      <c r="A204" s="113" t="s">
        <v>483</v>
      </c>
      <c r="B204" s="114" t="s">
        <v>484</v>
      </c>
      <c r="C204" s="113" t="s">
        <v>315</v>
      </c>
      <c r="D204" s="292" t="s">
        <v>486</v>
      </c>
      <c r="E204" s="54">
        <f t="shared" si="15"/>
        <v>705710</v>
      </c>
      <c r="F204" s="57">
        <f>F205</f>
        <v>705710</v>
      </c>
      <c r="G204" s="57">
        <v>0</v>
      </c>
      <c r="H204" s="57">
        <v>0</v>
      </c>
      <c r="I204" s="57">
        <v>0</v>
      </c>
      <c r="J204" s="54">
        <f t="shared" si="17"/>
        <v>0</v>
      </c>
      <c r="K204" s="57"/>
      <c r="L204" s="57">
        <v>0</v>
      </c>
      <c r="M204" s="57">
        <v>0</v>
      </c>
      <c r="N204" s="57">
        <v>0</v>
      </c>
      <c r="O204" s="57">
        <v>0</v>
      </c>
      <c r="P204" s="54">
        <f t="shared" si="16"/>
        <v>705710</v>
      </c>
      <c r="Q204" s="293"/>
      <c r="R204" s="294"/>
      <c r="S204" s="295"/>
      <c r="T204" s="295"/>
    </row>
    <row r="205" spans="1:20" s="82" customFormat="1" ht="161.25" customHeight="1">
      <c r="A205" s="18"/>
      <c r="B205" s="19"/>
      <c r="C205" s="18"/>
      <c r="D205" s="82" t="s">
        <v>116</v>
      </c>
      <c r="E205" s="22">
        <f t="shared" si="15"/>
        <v>705710</v>
      </c>
      <c r="F205" s="23">
        <v>705710</v>
      </c>
      <c r="G205" s="23"/>
      <c r="H205" s="23"/>
      <c r="I205" s="23"/>
      <c r="J205" s="24">
        <f t="shared" si="17"/>
        <v>0</v>
      </c>
      <c r="K205" s="48"/>
      <c r="L205" s="23"/>
      <c r="M205" s="23"/>
      <c r="N205" s="23"/>
      <c r="O205" s="48"/>
      <c r="P205" s="25">
        <f t="shared" si="16"/>
        <v>705710</v>
      </c>
      <c r="Q205" s="228"/>
      <c r="R205" s="17"/>
      <c r="S205" s="81"/>
      <c r="T205" s="81"/>
    </row>
    <row r="206" spans="1:20" s="296" customFormat="1" ht="30">
      <c r="A206" s="113" t="s">
        <v>487</v>
      </c>
      <c r="B206" s="114" t="s">
        <v>488</v>
      </c>
      <c r="C206" s="113" t="s">
        <v>315</v>
      </c>
      <c r="D206" s="116" t="s">
        <v>115</v>
      </c>
      <c r="E206" s="54">
        <f t="shared" si="15"/>
        <v>13613240</v>
      </c>
      <c r="F206" s="57">
        <f>F207</f>
        <v>13613240</v>
      </c>
      <c r="G206" s="57">
        <v>0</v>
      </c>
      <c r="H206" s="57">
        <v>0</v>
      </c>
      <c r="I206" s="57">
        <v>0</v>
      </c>
      <c r="J206" s="54">
        <f t="shared" si="17"/>
        <v>0</v>
      </c>
      <c r="K206" s="57"/>
      <c r="L206" s="57">
        <v>0</v>
      </c>
      <c r="M206" s="57">
        <v>0</v>
      </c>
      <c r="N206" s="57">
        <v>0</v>
      </c>
      <c r="O206" s="57">
        <v>0</v>
      </c>
      <c r="P206" s="54">
        <f t="shared" si="16"/>
        <v>13613240</v>
      </c>
      <c r="Q206" s="293"/>
      <c r="R206" s="294"/>
      <c r="S206" s="295"/>
      <c r="T206" s="295"/>
    </row>
    <row r="207" spans="1:20" s="82" customFormat="1" ht="159.75" customHeight="1">
      <c r="A207" s="18"/>
      <c r="B207" s="19"/>
      <c r="C207" s="18"/>
      <c r="D207" s="82" t="s">
        <v>116</v>
      </c>
      <c r="E207" s="22">
        <f t="shared" si="15"/>
        <v>13613240</v>
      </c>
      <c r="F207" s="23">
        <f>14532400-33396-46740-439024-400000</f>
        <v>13613240</v>
      </c>
      <c r="G207" s="23"/>
      <c r="H207" s="23"/>
      <c r="I207" s="23"/>
      <c r="J207" s="24">
        <f t="shared" si="17"/>
        <v>0</v>
      </c>
      <c r="K207" s="48"/>
      <c r="L207" s="23"/>
      <c r="M207" s="23"/>
      <c r="N207" s="23"/>
      <c r="O207" s="48"/>
      <c r="P207" s="25">
        <f t="shared" si="16"/>
        <v>13613240</v>
      </c>
      <c r="Q207" s="228"/>
      <c r="R207" s="17"/>
      <c r="S207" s="81"/>
      <c r="T207" s="81"/>
    </row>
    <row r="208" spans="1:20" s="296" customFormat="1" ht="34.5" customHeight="1">
      <c r="A208" s="330" t="s">
        <v>44</v>
      </c>
      <c r="B208" s="331">
        <v>3049</v>
      </c>
      <c r="C208" s="330" t="s">
        <v>315</v>
      </c>
      <c r="D208" s="332" t="s">
        <v>46</v>
      </c>
      <c r="E208" s="54">
        <f t="shared" si="15"/>
        <v>72420</v>
      </c>
      <c r="F208" s="327">
        <f>F209</f>
        <v>72420</v>
      </c>
      <c r="G208" s="327">
        <f>G209</f>
        <v>0</v>
      </c>
      <c r="H208" s="327">
        <f>H209</f>
        <v>0</v>
      </c>
      <c r="I208" s="327">
        <f>I209</f>
        <v>0</v>
      </c>
      <c r="J208" s="54">
        <f t="shared" si="17"/>
        <v>0</v>
      </c>
      <c r="K208" s="327"/>
      <c r="L208" s="327">
        <v>0</v>
      </c>
      <c r="M208" s="327">
        <v>0</v>
      </c>
      <c r="N208" s="327">
        <v>0</v>
      </c>
      <c r="O208" s="327">
        <v>0</v>
      </c>
      <c r="P208" s="54">
        <f t="shared" si="16"/>
        <v>72420</v>
      </c>
      <c r="Q208" s="293"/>
      <c r="R208" s="294"/>
      <c r="S208" s="295"/>
      <c r="T208" s="295"/>
    </row>
    <row r="209" spans="1:20" s="59" customFormat="1" ht="155.25" customHeight="1">
      <c r="A209" s="215"/>
      <c r="B209" s="216"/>
      <c r="C209" s="215"/>
      <c r="D209" s="82" t="s">
        <v>116</v>
      </c>
      <c r="E209" s="22">
        <f t="shared" si="15"/>
        <v>72420</v>
      </c>
      <c r="F209" s="110">
        <f>33396+39024</f>
        <v>72420</v>
      </c>
      <c r="G209" s="110"/>
      <c r="H209" s="110"/>
      <c r="I209" s="110"/>
      <c r="J209" s="24">
        <f t="shared" si="17"/>
        <v>0</v>
      </c>
      <c r="K209" s="268"/>
      <c r="L209" s="110"/>
      <c r="M209" s="110"/>
      <c r="N209" s="110"/>
      <c r="O209" s="268"/>
      <c r="P209" s="25">
        <f t="shared" si="16"/>
        <v>72420</v>
      </c>
      <c r="Q209" s="223"/>
      <c r="R209" s="96"/>
      <c r="S209" s="83"/>
      <c r="T209" s="83"/>
    </row>
    <row r="210" spans="1:21" s="116" customFormat="1" ht="30">
      <c r="A210" s="113" t="s">
        <v>93</v>
      </c>
      <c r="B210" s="114">
        <v>3081</v>
      </c>
      <c r="C210" s="115" t="s">
        <v>307</v>
      </c>
      <c r="D210" s="116" t="s">
        <v>94</v>
      </c>
      <c r="E210" s="54">
        <f t="shared" si="15"/>
        <v>16572180</v>
      </c>
      <c r="F210" s="57">
        <f>F211</f>
        <v>16572180</v>
      </c>
      <c r="G210" s="57">
        <f>G211</f>
        <v>0</v>
      </c>
      <c r="H210" s="57">
        <f>H211</f>
        <v>0</v>
      </c>
      <c r="I210" s="57">
        <f>I211</f>
        <v>0</v>
      </c>
      <c r="J210" s="54">
        <f t="shared" si="17"/>
        <v>0</v>
      </c>
      <c r="K210" s="57"/>
      <c r="L210" s="57">
        <f>L211</f>
        <v>0</v>
      </c>
      <c r="M210" s="57">
        <f>M211</f>
        <v>0</v>
      </c>
      <c r="N210" s="57">
        <f>N211</f>
        <v>0</v>
      </c>
      <c r="O210" s="57">
        <f>O211</f>
        <v>0</v>
      </c>
      <c r="P210" s="54">
        <f t="shared" si="16"/>
        <v>16572180</v>
      </c>
      <c r="Q210" s="293"/>
      <c r="R210" s="294"/>
      <c r="S210" s="295"/>
      <c r="T210" s="295"/>
      <c r="U210" s="322"/>
    </row>
    <row r="211" spans="1:21" s="8" customFormat="1" ht="156" customHeight="1">
      <c r="A211" s="122"/>
      <c r="B211" s="123"/>
      <c r="C211" s="122"/>
      <c r="D211" s="82" t="s">
        <v>116</v>
      </c>
      <c r="E211" s="22">
        <f t="shared" si="15"/>
        <v>16572180</v>
      </c>
      <c r="F211" s="23">
        <f>15772460-180+800000-100</f>
        <v>16572180</v>
      </c>
      <c r="G211" s="23"/>
      <c r="H211" s="23"/>
      <c r="I211" s="23"/>
      <c r="J211" s="24">
        <f t="shared" si="17"/>
        <v>0</v>
      </c>
      <c r="K211" s="48"/>
      <c r="L211" s="23"/>
      <c r="M211" s="23"/>
      <c r="N211" s="23"/>
      <c r="O211" s="48"/>
      <c r="P211" s="25">
        <f t="shared" si="16"/>
        <v>16572180</v>
      </c>
      <c r="Q211" s="228"/>
      <c r="R211" s="17"/>
      <c r="S211" s="81"/>
      <c r="T211" s="81"/>
      <c r="U211" s="154"/>
    </row>
    <row r="212" spans="1:21" s="116" customFormat="1" ht="45">
      <c r="A212" s="113" t="s">
        <v>95</v>
      </c>
      <c r="B212" s="114">
        <v>3082</v>
      </c>
      <c r="C212" s="115" t="s">
        <v>307</v>
      </c>
      <c r="D212" s="116" t="s">
        <v>104</v>
      </c>
      <c r="E212" s="54">
        <f t="shared" si="15"/>
        <v>3774200</v>
      </c>
      <c r="F212" s="57">
        <f>F213</f>
        <v>3774200</v>
      </c>
      <c r="G212" s="57">
        <f>G213</f>
        <v>0</v>
      </c>
      <c r="H212" s="57">
        <f>H213</f>
        <v>0</v>
      </c>
      <c r="I212" s="57">
        <f>I213</f>
        <v>0</v>
      </c>
      <c r="J212" s="54">
        <f t="shared" si="17"/>
        <v>0</v>
      </c>
      <c r="K212" s="57"/>
      <c r="L212" s="57">
        <f>L213</f>
        <v>0</v>
      </c>
      <c r="M212" s="57">
        <f>M213</f>
        <v>0</v>
      </c>
      <c r="N212" s="57">
        <f>N213</f>
        <v>0</v>
      </c>
      <c r="O212" s="57">
        <f>O213</f>
        <v>0</v>
      </c>
      <c r="P212" s="54">
        <f aca="true" t="shared" si="18" ref="P212:P223">J212+E212</f>
        <v>3774200</v>
      </c>
      <c r="Q212" s="293"/>
      <c r="R212" s="294"/>
      <c r="S212" s="295"/>
      <c r="T212" s="295"/>
      <c r="U212" s="322"/>
    </row>
    <row r="213" spans="1:21" s="8" customFormat="1" ht="155.25" customHeight="1">
      <c r="A213" s="122"/>
      <c r="B213" s="123"/>
      <c r="C213" s="122"/>
      <c r="D213" s="82" t="s">
        <v>116</v>
      </c>
      <c r="E213" s="22">
        <f t="shared" si="15"/>
        <v>3774200</v>
      </c>
      <c r="F213" s="23">
        <f>3574200+200000</f>
        <v>3774200</v>
      </c>
      <c r="G213" s="23"/>
      <c r="H213" s="23"/>
      <c r="I213" s="23"/>
      <c r="J213" s="24">
        <f t="shared" si="17"/>
        <v>0</v>
      </c>
      <c r="K213" s="48"/>
      <c r="L213" s="23"/>
      <c r="M213" s="23"/>
      <c r="N213" s="23"/>
      <c r="O213" s="48"/>
      <c r="P213" s="25">
        <f t="shared" si="18"/>
        <v>3774200</v>
      </c>
      <c r="Q213" s="228"/>
      <c r="R213" s="17"/>
      <c r="S213" s="81"/>
      <c r="T213" s="81"/>
      <c r="U213" s="154"/>
    </row>
    <row r="214" spans="1:21" s="116" customFormat="1" ht="30">
      <c r="A214" s="113" t="s">
        <v>105</v>
      </c>
      <c r="B214" s="114">
        <v>3083</v>
      </c>
      <c r="C214" s="115" t="s">
        <v>307</v>
      </c>
      <c r="D214" s="116" t="s">
        <v>106</v>
      </c>
      <c r="E214" s="54">
        <f t="shared" si="15"/>
        <v>4530080</v>
      </c>
      <c r="F214" s="57">
        <f>F215</f>
        <v>4530080</v>
      </c>
      <c r="G214" s="57">
        <f>G215</f>
        <v>0</v>
      </c>
      <c r="H214" s="57">
        <f>H215</f>
        <v>0</v>
      </c>
      <c r="I214" s="57">
        <f>I215</f>
        <v>0</v>
      </c>
      <c r="J214" s="54">
        <f t="shared" si="17"/>
        <v>0</v>
      </c>
      <c r="K214" s="57"/>
      <c r="L214" s="57">
        <f>L215</f>
        <v>0</v>
      </c>
      <c r="M214" s="57">
        <f>M215</f>
        <v>0</v>
      </c>
      <c r="N214" s="57">
        <f>N215</f>
        <v>0</v>
      </c>
      <c r="O214" s="57">
        <f>O215</f>
        <v>0</v>
      </c>
      <c r="P214" s="54">
        <f t="shared" si="18"/>
        <v>4530080</v>
      </c>
      <c r="Q214" s="293"/>
      <c r="R214" s="294"/>
      <c r="S214" s="295"/>
      <c r="T214" s="295"/>
      <c r="U214" s="322"/>
    </row>
    <row r="215" spans="1:21" s="8" customFormat="1" ht="155.25" customHeight="1">
      <c r="A215" s="122"/>
      <c r="B215" s="123"/>
      <c r="C215" s="122"/>
      <c r="D215" s="82" t="s">
        <v>116</v>
      </c>
      <c r="E215" s="22">
        <f t="shared" si="15"/>
        <v>4530080</v>
      </c>
      <c r="F215" s="23">
        <f>4830080-300000</f>
        <v>4530080</v>
      </c>
      <c r="G215" s="23"/>
      <c r="H215" s="23"/>
      <c r="I215" s="23"/>
      <c r="J215" s="24">
        <f t="shared" si="17"/>
        <v>0</v>
      </c>
      <c r="K215" s="48"/>
      <c r="L215" s="23"/>
      <c r="M215" s="23"/>
      <c r="N215" s="23"/>
      <c r="O215" s="48"/>
      <c r="P215" s="25">
        <f t="shared" si="18"/>
        <v>4530080</v>
      </c>
      <c r="Q215" s="228"/>
      <c r="R215" s="17"/>
      <c r="S215" s="81"/>
      <c r="T215" s="81"/>
      <c r="U215" s="154"/>
    </row>
    <row r="216" spans="1:21" s="116" customFormat="1" ht="50.25" customHeight="1">
      <c r="A216" s="113" t="s">
        <v>107</v>
      </c>
      <c r="B216" s="114">
        <v>3084</v>
      </c>
      <c r="C216" s="115" t="s">
        <v>315</v>
      </c>
      <c r="D216" s="116" t="s">
        <v>108</v>
      </c>
      <c r="E216" s="54">
        <f t="shared" si="15"/>
        <v>574950</v>
      </c>
      <c r="F216" s="57">
        <f>F217</f>
        <v>574950</v>
      </c>
      <c r="G216" s="57">
        <f>G217</f>
        <v>0</v>
      </c>
      <c r="H216" s="57">
        <f>H217</f>
        <v>0</v>
      </c>
      <c r="I216" s="57">
        <f>I217</f>
        <v>0</v>
      </c>
      <c r="J216" s="54">
        <f t="shared" si="17"/>
        <v>0</v>
      </c>
      <c r="K216" s="57"/>
      <c r="L216" s="57">
        <f>L217</f>
        <v>0</v>
      </c>
      <c r="M216" s="57">
        <f>M217</f>
        <v>0</v>
      </c>
      <c r="N216" s="57">
        <f>N217</f>
        <v>0</v>
      </c>
      <c r="O216" s="57">
        <f>O217</f>
        <v>0</v>
      </c>
      <c r="P216" s="54">
        <f t="shared" si="18"/>
        <v>574950</v>
      </c>
      <c r="Q216" s="293"/>
      <c r="R216" s="294"/>
      <c r="S216" s="295"/>
      <c r="T216" s="295"/>
      <c r="U216" s="322"/>
    </row>
    <row r="217" spans="1:21" s="8" customFormat="1" ht="155.25" customHeight="1">
      <c r="A217" s="122"/>
      <c r="B217" s="123"/>
      <c r="C217" s="122"/>
      <c r="D217" s="82" t="s">
        <v>116</v>
      </c>
      <c r="E217" s="22">
        <f t="shared" si="15"/>
        <v>574950</v>
      </c>
      <c r="F217" s="23">
        <v>574950</v>
      </c>
      <c r="G217" s="23"/>
      <c r="H217" s="23"/>
      <c r="I217" s="23"/>
      <c r="J217" s="24">
        <f t="shared" si="17"/>
        <v>0</v>
      </c>
      <c r="K217" s="48"/>
      <c r="L217" s="23"/>
      <c r="M217" s="23"/>
      <c r="N217" s="23"/>
      <c r="O217" s="48"/>
      <c r="P217" s="25">
        <f t="shared" si="18"/>
        <v>574950</v>
      </c>
      <c r="Q217" s="228"/>
      <c r="R217" s="17"/>
      <c r="S217" s="81"/>
      <c r="T217" s="81"/>
      <c r="U217" s="154"/>
    </row>
    <row r="218" spans="1:21" s="116" customFormat="1" ht="45">
      <c r="A218" s="113" t="s">
        <v>109</v>
      </c>
      <c r="B218" s="114">
        <v>3085</v>
      </c>
      <c r="C218" s="115" t="s">
        <v>307</v>
      </c>
      <c r="D218" s="116" t="s">
        <v>110</v>
      </c>
      <c r="E218" s="54">
        <f>F218+I218</f>
        <v>9600</v>
      </c>
      <c r="F218" s="57">
        <f>F219</f>
        <v>9600</v>
      </c>
      <c r="G218" s="57">
        <f>G223</f>
        <v>0</v>
      </c>
      <c r="H218" s="57">
        <f>H223</f>
        <v>0</v>
      </c>
      <c r="I218" s="57">
        <f>I223</f>
        <v>0</v>
      </c>
      <c r="J218" s="54">
        <f t="shared" si="17"/>
        <v>0</v>
      </c>
      <c r="K218" s="57"/>
      <c r="L218" s="57">
        <f>L223</f>
        <v>0</v>
      </c>
      <c r="M218" s="57">
        <f>M223</f>
        <v>0</v>
      </c>
      <c r="N218" s="57">
        <f>N223</f>
        <v>0</v>
      </c>
      <c r="O218" s="57">
        <f>O223</f>
        <v>0</v>
      </c>
      <c r="P218" s="54">
        <f>J218+E218</f>
        <v>9600</v>
      </c>
      <c r="Q218" s="293"/>
      <c r="R218" s="294"/>
      <c r="S218" s="295"/>
      <c r="T218" s="295"/>
      <c r="U218" s="322"/>
    </row>
    <row r="219" spans="1:21" s="8" customFormat="1" ht="151.5" customHeight="1">
      <c r="A219" s="117"/>
      <c r="B219" s="118"/>
      <c r="C219" s="146"/>
      <c r="D219" s="8" t="s">
        <v>116</v>
      </c>
      <c r="E219" s="22">
        <f>F219+I219</f>
        <v>9600</v>
      </c>
      <c r="F219" s="23">
        <v>9600</v>
      </c>
      <c r="G219" s="23"/>
      <c r="H219" s="23"/>
      <c r="I219" s="23"/>
      <c r="J219" s="24">
        <f t="shared" si="17"/>
        <v>0</v>
      </c>
      <c r="K219" s="48"/>
      <c r="L219" s="23"/>
      <c r="M219" s="23"/>
      <c r="N219" s="23"/>
      <c r="O219" s="48"/>
      <c r="P219" s="25">
        <f>J219+E219</f>
        <v>9600</v>
      </c>
      <c r="Q219" s="228"/>
      <c r="R219" s="17"/>
      <c r="S219" s="81"/>
      <c r="T219" s="81"/>
      <c r="U219" s="154"/>
    </row>
    <row r="220" spans="1:21" s="116" customFormat="1" ht="135">
      <c r="A220" s="323" t="s">
        <v>38</v>
      </c>
      <c r="B220" s="324">
        <v>3086</v>
      </c>
      <c r="C220" s="325" t="s">
        <v>315</v>
      </c>
      <c r="D220" s="326" t="s">
        <v>42</v>
      </c>
      <c r="E220" s="54">
        <f>F220+I220</f>
        <v>220000</v>
      </c>
      <c r="F220" s="57">
        <f>F221</f>
        <v>220000</v>
      </c>
      <c r="G220" s="57"/>
      <c r="H220" s="57"/>
      <c r="I220" s="57"/>
      <c r="J220" s="54">
        <f>L220+O220</f>
        <v>0</v>
      </c>
      <c r="K220" s="57"/>
      <c r="L220" s="57"/>
      <c r="M220" s="57"/>
      <c r="N220" s="57"/>
      <c r="O220" s="57"/>
      <c r="P220" s="54">
        <f>J220+E220</f>
        <v>220000</v>
      </c>
      <c r="Q220" s="293"/>
      <c r="R220" s="294"/>
      <c r="S220" s="295"/>
      <c r="T220" s="295"/>
      <c r="U220" s="322"/>
    </row>
    <row r="221" spans="1:21" s="8" customFormat="1" ht="162.75" customHeight="1">
      <c r="A221" s="117"/>
      <c r="B221" s="118"/>
      <c r="C221" s="117"/>
      <c r="D221" s="82" t="s">
        <v>116</v>
      </c>
      <c r="E221" s="22">
        <f>F221+I221</f>
        <v>220000</v>
      </c>
      <c r="F221" s="23">
        <v>220000</v>
      </c>
      <c r="G221" s="23"/>
      <c r="H221" s="23"/>
      <c r="I221" s="23"/>
      <c r="J221" s="24">
        <f>L221+O221</f>
        <v>0</v>
      </c>
      <c r="K221" s="48"/>
      <c r="L221" s="23"/>
      <c r="M221" s="23"/>
      <c r="N221" s="23"/>
      <c r="O221" s="48"/>
      <c r="P221" s="25">
        <f>J221+E221</f>
        <v>220000</v>
      </c>
      <c r="Q221" s="228"/>
      <c r="R221" s="17"/>
      <c r="S221" s="81"/>
      <c r="T221" s="81"/>
      <c r="U221" s="154"/>
    </row>
    <row r="222" spans="1:21" s="116" customFormat="1" ht="30">
      <c r="A222" s="323" t="s">
        <v>357</v>
      </c>
      <c r="B222" s="324">
        <v>3087</v>
      </c>
      <c r="C222" s="325" t="s">
        <v>315</v>
      </c>
      <c r="D222" s="326" t="s">
        <v>358</v>
      </c>
      <c r="E222" s="54">
        <f>F222+I222</f>
        <v>5477580</v>
      </c>
      <c r="F222" s="57">
        <f>F223</f>
        <v>5477580</v>
      </c>
      <c r="G222" s="57"/>
      <c r="H222" s="57"/>
      <c r="I222" s="57"/>
      <c r="J222" s="54">
        <f t="shared" si="17"/>
        <v>0</v>
      </c>
      <c r="K222" s="57"/>
      <c r="L222" s="57"/>
      <c r="M222" s="57"/>
      <c r="N222" s="57"/>
      <c r="O222" s="57"/>
      <c r="P222" s="54">
        <f>J222+E222</f>
        <v>5477580</v>
      </c>
      <c r="Q222" s="293"/>
      <c r="R222" s="294"/>
      <c r="S222" s="295"/>
      <c r="T222" s="295"/>
      <c r="U222" s="322"/>
    </row>
    <row r="223" spans="1:21" s="8" customFormat="1" ht="158.25" customHeight="1">
      <c r="A223" s="117"/>
      <c r="B223" s="118"/>
      <c r="C223" s="117"/>
      <c r="D223" s="8" t="s">
        <v>116</v>
      </c>
      <c r="E223" s="22">
        <f t="shared" si="15"/>
        <v>5477580</v>
      </c>
      <c r="F223" s="23">
        <v>5477580</v>
      </c>
      <c r="G223" s="23"/>
      <c r="H223" s="23"/>
      <c r="I223" s="23"/>
      <c r="J223" s="24">
        <f t="shared" si="17"/>
        <v>0</v>
      </c>
      <c r="K223" s="48"/>
      <c r="L223" s="23"/>
      <c r="M223" s="23"/>
      <c r="N223" s="23"/>
      <c r="O223" s="48"/>
      <c r="P223" s="25">
        <f t="shared" si="18"/>
        <v>5477580</v>
      </c>
      <c r="Q223" s="228"/>
      <c r="R223" s="17"/>
      <c r="S223" s="81"/>
      <c r="T223" s="81"/>
      <c r="U223" s="154"/>
    </row>
    <row r="224" spans="1:20" s="296" customFormat="1" ht="56.25" customHeight="1">
      <c r="A224" s="113" t="s">
        <v>490</v>
      </c>
      <c r="B224" s="114" t="s">
        <v>491</v>
      </c>
      <c r="C224" s="113" t="s">
        <v>311</v>
      </c>
      <c r="D224" s="116" t="s">
        <v>111</v>
      </c>
      <c r="E224" s="54">
        <f t="shared" si="15"/>
        <v>6916932.12</v>
      </c>
      <c r="F224" s="57">
        <f>6588670+35000+13785.36+194976+17849.76+39800+26851</f>
        <v>6916932.12</v>
      </c>
      <c r="G224" s="57">
        <f>4855170+58422</f>
        <v>4913592</v>
      </c>
      <c r="H224" s="57">
        <f>333870+700+16600+26851</f>
        <v>378021</v>
      </c>
      <c r="I224" s="57"/>
      <c r="J224" s="54">
        <f t="shared" si="17"/>
        <v>106100</v>
      </c>
      <c r="K224" s="57"/>
      <c r="L224" s="57">
        <v>106100</v>
      </c>
      <c r="M224" s="57">
        <v>77900</v>
      </c>
      <c r="N224" s="57"/>
      <c r="O224" s="57"/>
      <c r="P224" s="54">
        <f t="shared" si="16"/>
        <v>7023032.12</v>
      </c>
      <c r="Q224" s="293"/>
      <c r="R224" s="294"/>
      <c r="S224" s="295"/>
      <c r="T224" s="295"/>
    </row>
    <row r="225" spans="1:20" s="90" customFormat="1" ht="35.25" customHeight="1">
      <c r="A225" s="26"/>
      <c r="B225" s="27"/>
      <c r="C225" s="26"/>
      <c r="D225" s="33" t="s">
        <v>257</v>
      </c>
      <c r="E225" s="28">
        <f t="shared" si="15"/>
        <v>17849.76</v>
      </c>
      <c r="F225" s="29">
        <f>17849.76</f>
        <v>17849.76</v>
      </c>
      <c r="G225" s="29"/>
      <c r="H225" s="29"/>
      <c r="I225" s="29"/>
      <c r="J225" s="30">
        <f t="shared" si="17"/>
        <v>0</v>
      </c>
      <c r="K225" s="31"/>
      <c r="L225" s="29"/>
      <c r="M225" s="29"/>
      <c r="N225" s="29"/>
      <c r="O225" s="31"/>
      <c r="P225" s="263">
        <f t="shared" si="16"/>
        <v>17849.76</v>
      </c>
      <c r="Q225" s="228"/>
      <c r="R225" s="264" t="s">
        <v>439</v>
      </c>
      <c r="S225" s="89"/>
      <c r="T225" s="89"/>
    </row>
    <row r="226" spans="1:20" s="107" customFormat="1" ht="70.5" customHeight="1">
      <c r="A226" s="69" t="s">
        <v>499</v>
      </c>
      <c r="B226" s="67" t="s">
        <v>500</v>
      </c>
      <c r="C226" s="62" t="s">
        <v>307</v>
      </c>
      <c r="D226" s="107" t="s">
        <v>112</v>
      </c>
      <c r="E226" s="56">
        <f t="shared" si="15"/>
        <v>542400</v>
      </c>
      <c r="F226" s="66">
        <v>542400</v>
      </c>
      <c r="G226" s="66">
        <v>0</v>
      </c>
      <c r="H226" s="66">
        <v>0</v>
      </c>
      <c r="I226" s="66">
        <v>0</v>
      </c>
      <c r="J226" s="56">
        <f t="shared" si="17"/>
        <v>0</v>
      </c>
      <c r="K226" s="66"/>
      <c r="L226" s="66">
        <v>0</v>
      </c>
      <c r="M226" s="66">
        <v>0</v>
      </c>
      <c r="N226" s="66">
        <v>0</v>
      </c>
      <c r="O226" s="66">
        <v>0</v>
      </c>
      <c r="P226" s="105">
        <f t="shared" si="16"/>
        <v>542400</v>
      </c>
      <c r="Q226" s="223"/>
      <c r="R226" s="231"/>
      <c r="S226" s="106"/>
      <c r="T226" s="106"/>
    </row>
    <row r="227" spans="1:20" s="59" customFormat="1" ht="64.5" customHeight="1">
      <c r="A227" s="52" t="s">
        <v>503</v>
      </c>
      <c r="B227" s="53" t="s">
        <v>504</v>
      </c>
      <c r="C227" s="52" t="s">
        <v>415</v>
      </c>
      <c r="D227" s="50" t="s">
        <v>502</v>
      </c>
      <c r="E227" s="54">
        <f t="shared" si="15"/>
        <v>290793.1</v>
      </c>
      <c r="F227" s="55">
        <f>396400-103030.21-12300+19616-4892.69-5000</f>
        <v>290793.1</v>
      </c>
      <c r="G227" s="55">
        <v>0</v>
      </c>
      <c r="H227" s="55">
        <v>0</v>
      </c>
      <c r="I227" s="55">
        <v>0</v>
      </c>
      <c r="J227" s="56">
        <f t="shared" si="17"/>
        <v>0</v>
      </c>
      <c r="K227" s="66"/>
      <c r="L227" s="55">
        <v>0</v>
      </c>
      <c r="M227" s="55">
        <v>0</v>
      </c>
      <c r="N227" s="55">
        <v>0</v>
      </c>
      <c r="O227" s="66">
        <v>0</v>
      </c>
      <c r="P227" s="58">
        <f t="shared" si="16"/>
        <v>290793.1</v>
      </c>
      <c r="Q227" s="223"/>
      <c r="R227" s="96"/>
      <c r="S227" s="83"/>
      <c r="T227" s="83"/>
    </row>
    <row r="228" spans="1:20" s="296" customFormat="1" ht="33.75" customHeight="1">
      <c r="A228" s="113" t="s">
        <v>86</v>
      </c>
      <c r="B228" s="114" t="s">
        <v>87</v>
      </c>
      <c r="C228" s="113" t="s">
        <v>319</v>
      </c>
      <c r="D228" s="116" t="s">
        <v>80</v>
      </c>
      <c r="E228" s="54">
        <f t="shared" si="15"/>
        <v>309100</v>
      </c>
      <c r="F228" s="57">
        <f>279100+30000</f>
        <v>309100</v>
      </c>
      <c r="G228" s="57"/>
      <c r="H228" s="57"/>
      <c r="I228" s="57"/>
      <c r="J228" s="54">
        <f t="shared" si="17"/>
        <v>0</v>
      </c>
      <c r="K228" s="57"/>
      <c r="L228" s="57">
        <v>0</v>
      </c>
      <c r="M228" s="57">
        <v>0</v>
      </c>
      <c r="N228" s="57">
        <v>0</v>
      </c>
      <c r="O228" s="57">
        <v>0</v>
      </c>
      <c r="P228" s="54">
        <f t="shared" si="16"/>
        <v>309100</v>
      </c>
      <c r="Q228" s="293"/>
      <c r="R228" s="294"/>
      <c r="S228" s="295"/>
      <c r="T228" s="295"/>
    </row>
    <row r="229" spans="1:20" s="206" customFormat="1" ht="38.25" customHeight="1">
      <c r="A229" s="195" t="s">
        <v>412</v>
      </c>
      <c r="B229" s="196"/>
      <c r="C229" s="197"/>
      <c r="D229" s="198" t="s">
        <v>8</v>
      </c>
      <c r="E229" s="199">
        <f t="shared" si="15"/>
        <v>156023087.5</v>
      </c>
      <c r="F229" s="199">
        <f>F230+F231+F232+F274+F275+F234+F236+F238+F240+F242+F243+F245+F247+F249+F251+F255+F257+F253+F259+F261+F263+F265+F267+F269+F271+F273+F276</f>
        <v>156023087.5</v>
      </c>
      <c r="G229" s="199">
        <f>G230+G231+G232+G274+G275+G234+G236+G238+G240+G242+G243+G245+G247+G249+G251+G255+G257+G253+G259+G261+G263+G265+G267+G269+G271+G273+G276</f>
        <v>14947553</v>
      </c>
      <c r="H229" s="199">
        <f>H230+H231+H232+H274+H275+H234+H236+H238+H240+H242+H243+H245+H247+H249+H251+H255+H257+H253+H259+H261+H263+H265+H267+H269+H271+H273+H276</f>
        <v>603775</v>
      </c>
      <c r="I229" s="199">
        <f>I230+I231+I232+I274+I275+I234+I236+I238+I240+I242+I243+I245+I247+I249+I251+I255+I257+I253+I259+I261+I263+I265+I267+I269+I271+I273+I276</f>
        <v>0</v>
      </c>
      <c r="J229" s="200">
        <f t="shared" si="17"/>
        <v>143000</v>
      </c>
      <c r="K229" s="199">
        <f>K230+K231+K232+K274+K275+K234+K236+K238+K240+K242+K243+K245+K247+K249+K251+K255+K257+K253+K259+K261+K263+K265+K267+K269+K271+K273+K276</f>
        <v>70000</v>
      </c>
      <c r="L229" s="199">
        <f>L230+L231+L232+L274+L275+L234+L236+L238+L240+L242+L243+L245+L247+L249+L251+L255+L257+L253+L259+L261+L263+L265+L267+L269+L271+L273+L276</f>
        <v>73000</v>
      </c>
      <c r="M229" s="199">
        <f>M230+M231+M232+M274+M275+M234+M236+M238+M240+M242+M243+M245+M247+M249+M251+M255+M257+M253+M259+M261+M263+M265+M267+M269+M271+M273+M276</f>
        <v>50000</v>
      </c>
      <c r="N229" s="199">
        <f>N230+N231+N232+N274+N275+N234+N236+N238+N240+N242+N243+N245+N247+N249+N251+N255+N257+N253+N259+N261+N263+N265+N267+N269+N271+N273+N276</f>
        <v>0</v>
      </c>
      <c r="O229" s="199">
        <f>O230+O231+O232+O274+O275+O234+O236+O238+O240+O242+O243+O245+O247+O249+O251+O255+O257+O253+O259+O261+O263+O265+O267+O269+O271+O273+O276</f>
        <v>70000</v>
      </c>
      <c r="P229" s="201">
        <f t="shared" si="16"/>
        <v>156166087.5</v>
      </c>
      <c r="Q229" s="223"/>
      <c r="R229" s="232"/>
      <c r="S229" s="205"/>
      <c r="T229" s="205"/>
    </row>
    <row r="230" spans="1:20" s="59" customFormat="1" ht="41.25" customHeight="1">
      <c r="A230" s="52" t="s">
        <v>413</v>
      </c>
      <c r="B230" s="53" t="s">
        <v>296</v>
      </c>
      <c r="C230" s="52" t="s">
        <v>281</v>
      </c>
      <c r="D230" s="50" t="s">
        <v>297</v>
      </c>
      <c r="E230" s="54">
        <f t="shared" si="15"/>
        <v>11865079.88</v>
      </c>
      <c r="F230" s="55">
        <f>11835080+9999.88+20000</f>
        <v>11865079.88</v>
      </c>
      <c r="G230" s="55">
        <f>9418553-21000</f>
        <v>9397553</v>
      </c>
      <c r="H230" s="55">
        <v>198035</v>
      </c>
      <c r="I230" s="55"/>
      <c r="J230" s="56">
        <f t="shared" si="17"/>
        <v>15000</v>
      </c>
      <c r="K230" s="66">
        <v>15000</v>
      </c>
      <c r="L230" s="55">
        <v>0</v>
      </c>
      <c r="M230" s="55">
        <v>0</v>
      </c>
      <c r="N230" s="55">
        <v>0</v>
      </c>
      <c r="O230" s="66">
        <v>15000</v>
      </c>
      <c r="P230" s="58">
        <f t="shared" si="16"/>
        <v>11880079.88</v>
      </c>
      <c r="Q230" s="223"/>
      <c r="R230" s="96"/>
      <c r="S230" s="83"/>
      <c r="T230" s="83"/>
    </row>
    <row r="231" spans="1:20" s="59" customFormat="1" ht="27" customHeight="1">
      <c r="A231" s="52" t="s">
        <v>414</v>
      </c>
      <c r="B231" s="53" t="s">
        <v>286</v>
      </c>
      <c r="C231" s="52" t="s">
        <v>285</v>
      </c>
      <c r="D231" s="50" t="s">
        <v>287</v>
      </c>
      <c r="E231" s="54">
        <f t="shared" si="15"/>
        <v>188106</v>
      </c>
      <c r="F231" s="55">
        <f>144000+44106</f>
        <v>188106</v>
      </c>
      <c r="G231" s="55"/>
      <c r="H231" s="55"/>
      <c r="I231" s="55"/>
      <c r="J231" s="56">
        <f t="shared" si="17"/>
        <v>0</v>
      </c>
      <c r="K231" s="66"/>
      <c r="L231" s="55">
        <v>0</v>
      </c>
      <c r="M231" s="55">
        <v>0</v>
      </c>
      <c r="N231" s="55">
        <v>0</v>
      </c>
      <c r="O231" s="66">
        <v>0</v>
      </c>
      <c r="P231" s="58">
        <f t="shared" si="16"/>
        <v>188106</v>
      </c>
      <c r="Q231" s="223"/>
      <c r="R231" s="96"/>
      <c r="S231" s="83"/>
      <c r="T231" s="83"/>
    </row>
    <row r="232" spans="1:20" s="59" customFormat="1" ht="135">
      <c r="A232" s="52" t="s">
        <v>143</v>
      </c>
      <c r="B232" s="53">
        <v>3230</v>
      </c>
      <c r="C232" s="65" t="s">
        <v>315</v>
      </c>
      <c r="D232" s="59" t="s">
        <v>231</v>
      </c>
      <c r="E232" s="54">
        <f aca="true" t="shared" si="19" ref="E232:E317">F232+I232</f>
        <v>1581236</v>
      </c>
      <c r="F232" s="55">
        <f>F233</f>
        <v>1581236</v>
      </c>
      <c r="G232" s="55"/>
      <c r="H232" s="55"/>
      <c r="I232" s="55"/>
      <c r="J232" s="56">
        <f t="shared" si="17"/>
        <v>0</v>
      </c>
      <c r="K232" s="66"/>
      <c r="L232" s="55">
        <f>L233</f>
        <v>0</v>
      </c>
      <c r="M232" s="55">
        <f>M233</f>
        <v>0</v>
      </c>
      <c r="N232" s="55">
        <f>N233</f>
        <v>0</v>
      </c>
      <c r="O232" s="66">
        <f>O233</f>
        <v>0</v>
      </c>
      <c r="P232" s="58">
        <f t="shared" si="16"/>
        <v>1581236</v>
      </c>
      <c r="Q232" s="223"/>
      <c r="R232" s="96"/>
      <c r="S232" s="83"/>
      <c r="T232" s="83"/>
    </row>
    <row r="233" spans="1:20" s="82" customFormat="1" ht="143.25" customHeight="1">
      <c r="A233" s="18"/>
      <c r="B233" s="19"/>
      <c r="C233" s="18"/>
      <c r="D233" s="3" t="s">
        <v>232</v>
      </c>
      <c r="E233" s="22">
        <f t="shared" si="19"/>
        <v>1581236</v>
      </c>
      <c r="F233" s="23">
        <f>1781236-200000</f>
        <v>1581236</v>
      </c>
      <c r="G233" s="23"/>
      <c r="H233" s="23"/>
      <c r="I233" s="23"/>
      <c r="J233" s="24">
        <f t="shared" si="17"/>
        <v>0</v>
      </c>
      <c r="K233" s="48"/>
      <c r="L233" s="23"/>
      <c r="M233" s="23"/>
      <c r="N233" s="23"/>
      <c r="O233" s="48"/>
      <c r="P233" s="25">
        <f t="shared" si="16"/>
        <v>1581236</v>
      </c>
      <c r="Q233" s="228"/>
      <c r="R233" s="17"/>
      <c r="S233" s="81"/>
      <c r="T233" s="81"/>
    </row>
    <row r="234" spans="1:20" s="296" customFormat="1" ht="30">
      <c r="A234" s="113" t="s">
        <v>420</v>
      </c>
      <c r="B234" s="114" t="s">
        <v>422</v>
      </c>
      <c r="C234" s="113" t="s">
        <v>421</v>
      </c>
      <c r="D234" s="292" t="s">
        <v>423</v>
      </c>
      <c r="E234" s="54">
        <f t="shared" si="19"/>
        <v>12815593.950000001</v>
      </c>
      <c r="F234" s="57">
        <f>F235</f>
        <v>12815593.950000001</v>
      </c>
      <c r="G234" s="57">
        <f>G235</f>
        <v>0</v>
      </c>
      <c r="H234" s="57">
        <f>H235</f>
        <v>0</v>
      </c>
      <c r="I234" s="57">
        <f>I235</f>
        <v>0</v>
      </c>
      <c r="J234" s="54">
        <f t="shared" si="17"/>
        <v>0</v>
      </c>
      <c r="K234" s="57"/>
      <c r="L234" s="57">
        <f>L235</f>
        <v>0</v>
      </c>
      <c r="M234" s="57">
        <f>M235</f>
        <v>0</v>
      </c>
      <c r="N234" s="57">
        <f>N235</f>
        <v>0</v>
      </c>
      <c r="O234" s="57">
        <f>O235</f>
        <v>0</v>
      </c>
      <c r="P234" s="54">
        <f t="shared" si="16"/>
        <v>12815593.950000001</v>
      </c>
      <c r="Q234" s="293"/>
      <c r="R234" s="294"/>
      <c r="S234" s="295"/>
      <c r="T234" s="295"/>
    </row>
    <row r="235" spans="1:20" s="82" customFormat="1" ht="171.75" customHeight="1">
      <c r="A235" s="18"/>
      <c r="B235" s="19"/>
      <c r="C235" s="18"/>
      <c r="D235" s="3" t="s">
        <v>237</v>
      </c>
      <c r="E235" s="22">
        <f t="shared" si="19"/>
        <v>12815593.950000001</v>
      </c>
      <c r="F235" s="23">
        <f>12192200-554800-133096.28-328583.27+771188.72+868684.78</f>
        <v>12815593.950000001</v>
      </c>
      <c r="G235" s="23"/>
      <c r="H235" s="23"/>
      <c r="I235" s="23"/>
      <c r="J235" s="24">
        <f t="shared" si="17"/>
        <v>0</v>
      </c>
      <c r="K235" s="48"/>
      <c r="L235" s="23"/>
      <c r="M235" s="23"/>
      <c r="N235" s="23"/>
      <c r="O235" s="48"/>
      <c r="P235" s="25">
        <f t="shared" si="16"/>
        <v>12815593.950000001</v>
      </c>
      <c r="Q235" s="228"/>
      <c r="R235" s="17"/>
      <c r="S235" s="81"/>
      <c r="T235" s="81"/>
    </row>
    <row r="236" spans="1:20" s="296" customFormat="1" ht="42" customHeight="1">
      <c r="A236" s="113" t="s">
        <v>424</v>
      </c>
      <c r="B236" s="114" t="s">
        <v>425</v>
      </c>
      <c r="C236" s="113" t="s">
        <v>415</v>
      </c>
      <c r="D236" s="292" t="s">
        <v>426</v>
      </c>
      <c r="E236" s="54">
        <f t="shared" si="19"/>
        <v>29483261.67</v>
      </c>
      <c r="F236" s="57">
        <f>F237</f>
        <v>29483261.67</v>
      </c>
      <c r="G236" s="57">
        <f>G237</f>
        <v>0</v>
      </c>
      <c r="H236" s="57">
        <f>H237</f>
        <v>0</v>
      </c>
      <c r="I236" s="57">
        <f>I237</f>
        <v>0</v>
      </c>
      <c r="J236" s="54">
        <f t="shared" si="17"/>
        <v>0</v>
      </c>
      <c r="K236" s="57"/>
      <c r="L236" s="57">
        <f>L237</f>
        <v>0</v>
      </c>
      <c r="M236" s="57">
        <f>M237</f>
        <v>0</v>
      </c>
      <c r="N236" s="57">
        <f>N237</f>
        <v>0</v>
      </c>
      <c r="O236" s="57">
        <f>O237</f>
        <v>0</v>
      </c>
      <c r="P236" s="54">
        <f t="shared" si="16"/>
        <v>29483261.67</v>
      </c>
      <c r="Q236" s="293"/>
      <c r="R236" s="294"/>
      <c r="S236" s="295"/>
      <c r="T236" s="295"/>
    </row>
    <row r="237" spans="1:20" s="82" customFormat="1" ht="172.5" customHeight="1">
      <c r="A237" s="18"/>
      <c r="B237" s="19"/>
      <c r="C237" s="18"/>
      <c r="D237" s="3" t="s">
        <v>237</v>
      </c>
      <c r="E237" s="22">
        <f t="shared" si="19"/>
        <v>29483261.67</v>
      </c>
      <c r="F237" s="23">
        <f>64000000-34400000+7712-29994.06-94456.27</f>
        <v>29483261.67</v>
      </c>
      <c r="G237" s="23"/>
      <c r="H237" s="23"/>
      <c r="I237" s="23"/>
      <c r="J237" s="24">
        <f t="shared" si="17"/>
        <v>0</v>
      </c>
      <c r="K237" s="48"/>
      <c r="L237" s="23"/>
      <c r="M237" s="23"/>
      <c r="N237" s="23"/>
      <c r="O237" s="48"/>
      <c r="P237" s="25">
        <f t="shared" si="16"/>
        <v>29483261.67</v>
      </c>
      <c r="Q237" s="228"/>
      <c r="R237" s="17"/>
      <c r="S237" s="81"/>
      <c r="T237" s="81"/>
    </row>
    <row r="238" spans="1:20" s="296" customFormat="1" ht="50.25" customHeight="1">
      <c r="A238" s="113" t="s">
        <v>427</v>
      </c>
      <c r="B238" s="114" t="s">
        <v>428</v>
      </c>
      <c r="C238" s="113" t="s">
        <v>421</v>
      </c>
      <c r="D238" s="292" t="s">
        <v>429</v>
      </c>
      <c r="E238" s="54">
        <f t="shared" si="19"/>
        <v>7800</v>
      </c>
      <c r="F238" s="57">
        <f>F239</f>
        <v>7800</v>
      </c>
      <c r="G238" s="57">
        <f>G239</f>
        <v>0</v>
      </c>
      <c r="H238" s="57">
        <f>H239</f>
        <v>0</v>
      </c>
      <c r="I238" s="57">
        <f>I239</f>
        <v>0</v>
      </c>
      <c r="J238" s="54">
        <f t="shared" si="17"/>
        <v>0</v>
      </c>
      <c r="K238" s="57"/>
      <c r="L238" s="57">
        <f>L239</f>
        <v>0</v>
      </c>
      <c r="M238" s="57">
        <f>M239</f>
        <v>0</v>
      </c>
      <c r="N238" s="57">
        <f>N239</f>
        <v>0</v>
      </c>
      <c r="O238" s="57">
        <f>O239</f>
        <v>0</v>
      </c>
      <c r="P238" s="54">
        <f t="shared" si="16"/>
        <v>7800</v>
      </c>
      <c r="Q238" s="293"/>
      <c r="R238" s="294"/>
      <c r="S238" s="295"/>
      <c r="T238" s="295"/>
    </row>
    <row r="239" spans="1:20" s="82" customFormat="1" ht="63" customHeight="1">
      <c r="A239" s="18"/>
      <c r="B239" s="19"/>
      <c r="C239" s="18"/>
      <c r="D239" s="4" t="s">
        <v>6</v>
      </c>
      <c r="E239" s="22">
        <f t="shared" si="19"/>
        <v>7800</v>
      </c>
      <c r="F239" s="23">
        <f>7800</f>
        <v>7800</v>
      </c>
      <c r="G239" s="23"/>
      <c r="H239" s="23"/>
      <c r="I239" s="23"/>
      <c r="J239" s="24">
        <f t="shared" si="17"/>
        <v>0</v>
      </c>
      <c r="K239" s="48"/>
      <c r="L239" s="23"/>
      <c r="M239" s="23"/>
      <c r="N239" s="23"/>
      <c r="O239" s="48"/>
      <c r="P239" s="25">
        <f t="shared" si="16"/>
        <v>7800</v>
      </c>
      <c r="Q239" s="228"/>
      <c r="R239" s="17"/>
      <c r="S239" s="81"/>
      <c r="T239" s="81"/>
    </row>
    <row r="240" spans="1:20" s="296" customFormat="1" ht="45">
      <c r="A240" s="113" t="s">
        <v>430</v>
      </c>
      <c r="B240" s="114" t="s">
        <v>431</v>
      </c>
      <c r="C240" s="113" t="s">
        <v>415</v>
      </c>
      <c r="D240" s="292" t="s">
        <v>432</v>
      </c>
      <c r="E240" s="54">
        <f t="shared" si="19"/>
        <v>130000</v>
      </c>
      <c r="F240" s="57">
        <f>F241</f>
        <v>130000</v>
      </c>
      <c r="G240" s="57">
        <f>G241</f>
        <v>0</v>
      </c>
      <c r="H240" s="57">
        <f>H241</f>
        <v>0</v>
      </c>
      <c r="I240" s="57">
        <f>I241</f>
        <v>0</v>
      </c>
      <c r="J240" s="54">
        <f t="shared" si="17"/>
        <v>0</v>
      </c>
      <c r="K240" s="57"/>
      <c r="L240" s="57">
        <f>L241</f>
        <v>0</v>
      </c>
      <c r="M240" s="57">
        <f>M241</f>
        <v>0</v>
      </c>
      <c r="N240" s="57">
        <f>N241</f>
        <v>0</v>
      </c>
      <c r="O240" s="57">
        <f>O241</f>
        <v>0</v>
      </c>
      <c r="P240" s="54">
        <f t="shared" si="16"/>
        <v>130000</v>
      </c>
      <c r="Q240" s="293"/>
      <c r="R240" s="294"/>
      <c r="S240" s="295"/>
      <c r="T240" s="295"/>
    </row>
    <row r="241" spans="1:20" s="82" customFormat="1" ht="66" customHeight="1">
      <c r="A241" s="18"/>
      <c r="B241" s="19"/>
      <c r="C241" s="18"/>
      <c r="D241" s="4" t="s">
        <v>6</v>
      </c>
      <c r="E241" s="22">
        <f t="shared" si="19"/>
        <v>130000</v>
      </c>
      <c r="F241" s="23">
        <f>130000</f>
        <v>130000</v>
      </c>
      <c r="G241" s="23"/>
      <c r="H241" s="23"/>
      <c r="I241" s="23"/>
      <c r="J241" s="24">
        <f t="shared" si="17"/>
        <v>0</v>
      </c>
      <c r="K241" s="48"/>
      <c r="L241" s="23"/>
      <c r="M241" s="23"/>
      <c r="N241" s="23"/>
      <c r="O241" s="48"/>
      <c r="P241" s="25">
        <f aca="true" t="shared" si="20" ref="P241:P314">E241+J241</f>
        <v>130000</v>
      </c>
      <c r="Q241" s="228"/>
      <c r="R241" s="17"/>
      <c r="S241" s="81"/>
      <c r="T241" s="81"/>
    </row>
    <row r="242" spans="1:20" s="296" customFormat="1" ht="28.5" customHeight="1">
      <c r="A242" s="113" t="s">
        <v>130</v>
      </c>
      <c r="B242" s="114">
        <v>3032</v>
      </c>
      <c r="C242" s="115" t="s">
        <v>462</v>
      </c>
      <c r="D242" s="116" t="s">
        <v>131</v>
      </c>
      <c r="E242" s="54">
        <f>F242+I242</f>
        <v>3461.58</v>
      </c>
      <c r="F242" s="57">
        <f>1300+2161.58</f>
        <v>3461.58</v>
      </c>
      <c r="G242" s="57"/>
      <c r="H242" s="57"/>
      <c r="I242" s="57"/>
      <c r="J242" s="54">
        <f t="shared" si="17"/>
        <v>0</v>
      </c>
      <c r="K242" s="57"/>
      <c r="L242" s="57"/>
      <c r="M242" s="57"/>
      <c r="N242" s="57"/>
      <c r="O242" s="57"/>
      <c r="P242" s="54">
        <f>J242+E242</f>
        <v>3461.58</v>
      </c>
      <c r="Q242" s="293"/>
      <c r="R242" s="294"/>
      <c r="S242" s="295"/>
      <c r="T242" s="295"/>
    </row>
    <row r="243" spans="1:20" s="296" customFormat="1" ht="21" customHeight="1">
      <c r="A243" s="113" t="s">
        <v>471</v>
      </c>
      <c r="B243" s="114" t="s">
        <v>472</v>
      </c>
      <c r="C243" s="113" t="s">
        <v>315</v>
      </c>
      <c r="D243" s="292" t="s">
        <v>473</v>
      </c>
      <c r="E243" s="54">
        <f t="shared" si="19"/>
        <v>757800</v>
      </c>
      <c r="F243" s="57">
        <f>F244</f>
        <v>757800</v>
      </c>
      <c r="G243" s="57">
        <v>0</v>
      </c>
      <c r="H243" s="57">
        <v>0</v>
      </c>
      <c r="I243" s="57">
        <v>0</v>
      </c>
      <c r="J243" s="54">
        <f aca="true" t="shared" si="21" ref="J243:J317">L243+O243</f>
        <v>0</v>
      </c>
      <c r="K243" s="57"/>
      <c r="L243" s="57">
        <v>0</v>
      </c>
      <c r="M243" s="57">
        <v>0</v>
      </c>
      <c r="N243" s="57">
        <v>0</v>
      </c>
      <c r="O243" s="57">
        <v>0</v>
      </c>
      <c r="P243" s="54">
        <f t="shared" si="20"/>
        <v>757800</v>
      </c>
      <c r="Q243" s="293"/>
      <c r="R243" s="293">
        <f>F243+F245+F247+F249+F251+F253+F255+F259+F261+F263+F265+F267+F269+F271</f>
        <v>90850300</v>
      </c>
      <c r="S243" s="295"/>
      <c r="T243" s="295"/>
    </row>
    <row r="244" spans="1:20" s="82" customFormat="1" ht="153.75" customHeight="1">
      <c r="A244" s="18"/>
      <c r="B244" s="19"/>
      <c r="C244" s="18"/>
      <c r="D244" s="82" t="s">
        <v>116</v>
      </c>
      <c r="E244" s="22">
        <f t="shared" si="19"/>
        <v>757800</v>
      </c>
      <c r="F244" s="23">
        <v>757800</v>
      </c>
      <c r="G244" s="23"/>
      <c r="H244" s="23"/>
      <c r="I244" s="23"/>
      <c r="J244" s="24">
        <f t="shared" si="21"/>
        <v>0</v>
      </c>
      <c r="K244" s="48"/>
      <c r="L244" s="23"/>
      <c r="M244" s="23"/>
      <c r="N244" s="23"/>
      <c r="O244" s="48"/>
      <c r="P244" s="54">
        <f t="shared" si="20"/>
        <v>757800</v>
      </c>
      <c r="Q244" s="228"/>
      <c r="R244" s="17"/>
      <c r="S244" s="81"/>
      <c r="T244" s="81"/>
    </row>
    <row r="245" spans="1:20" s="296" customFormat="1" ht="22.5" customHeight="1">
      <c r="A245" s="113" t="s">
        <v>88</v>
      </c>
      <c r="B245" s="114" t="s">
        <v>114</v>
      </c>
      <c r="C245" s="113" t="s">
        <v>315</v>
      </c>
      <c r="D245" s="116" t="s">
        <v>489</v>
      </c>
      <c r="E245" s="54">
        <f>F245+I245</f>
        <v>144600</v>
      </c>
      <c r="F245" s="57">
        <f>F246</f>
        <v>144600</v>
      </c>
      <c r="G245" s="57">
        <f>G246</f>
        <v>0</v>
      </c>
      <c r="H245" s="57">
        <f>H246</f>
        <v>0</v>
      </c>
      <c r="I245" s="57">
        <f>I246</f>
        <v>0</v>
      </c>
      <c r="J245" s="54">
        <f t="shared" si="21"/>
        <v>0</v>
      </c>
      <c r="K245" s="57"/>
      <c r="L245" s="57">
        <f>L246</f>
        <v>0</v>
      </c>
      <c r="M245" s="57">
        <f>M246</f>
        <v>0</v>
      </c>
      <c r="N245" s="57">
        <f>N246</f>
        <v>0</v>
      </c>
      <c r="O245" s="57">
        <f>O246</f>
        <v>0</v>
      </c>
      <c r="P245" s="54">
        <f t="shared" si="20"/>
        <v>144600</v>
      </c>
      <c r="Q245" s="293"/>
      <c r="R245" s="294"/>
      <c r="S245" s="295"/>
      <c r="T245" s="295"/>
    </row>
    <row r="246" spans="1:20" s="82" customFormat="1" ht="157.5" customHeight="1">
      <c r="A246" s="18"/>
      <c r="B246" s="19"/>
      <c r="C246" s="18"/>
      <c r="D246" s="82" t="s">
        <v>116</v>
      </c>
      <c r="E246" s="22">
        <f>F246+I246</f>
        <v>144600</v>
      </c>
      <c r="F246" s="23">
        <v>144600</v>
      </c>
      <c r="G246" s="23"/>
      <c r="H246" s="23"/>
      <c r="I246" s="23"/>
      <c r="J246" s="24">
        <f t="shared" si="21"/>
        <v>0</v>
      </c>
      <c r="K246" s="48"/>
      <c r="L246" s="23"/>
      <c r="M246" s="23"/>
      <c r="N246" s="23"/>
      <c r="O246" s="48"/>
      <c r="P246" s="25">
        <f t="shared" si="20"/>
        <v>144600</v>
      </c>
      <c r="Q246" s="228"/>
      <c r="R246" s="17"/>
      <c r="S246" s="81"/>
      <c r="T246" s="81"/>
    </row>
    <row r="247" spans="1:20" s="296" customFormat="1" ht="19.5" customHeight="1">
      <c r="A247" s="113" t="s">
        <v>474</v>
      </c>
      <c r="B247" s="114" t="s">
        <v>475</v>
      </c>
      <c r="C247" s="113" t="s">
        <v>315</v>
      </c>
      <c r="D247" s="292" t="s">
        <v>476</v>
      </c>
      <c r="E247" s="54">
        <f t="shared" si="19"/>
        <v>27634500</v>
      </c>
      <c r="F247" s="57">
        <f>F248</f>
        <v>27634500</v>
      </c>
      <c r="G247" s="57"/>
      <c r="H247" s="57"/>
      <c r="I247" s="57"/>
      <c r="J247" s="54">
        <f t="shared" si="21"/>
        <v>0</v>
      </c>
      <c r="K247" s="57"/>
      <c r="L247" s="57">
        <v>0</v>
      </c>
      <c r="M247" s="57">
        <v>0</v>
      </c>
      <c r="N247" s="57">
        <v>0</v>
      </c>
      <c r="O247" s="57">
        <v>0</v>
      </c>
      <c r="P247" s="54">
        <f t="shared" si="20"/>
        <v>27634500</v>
      </c>
      <c r="Q247" s="293"/>
      <c r="R247" s="294"/>
      <c r="S247" s="295"/>
      <c r="T247" s="295"/>
    </row>
    <row r="248" spans="1:20" s="82" customFormat="1" ht="155.25" customHeight="1">
      <c r="A248" s="18"/>
      <c r="B248" s="19"/>
      <c r="C248" s="18"/>
      <c r="D248" s="82" t="s">
        <v>116</v>
      </c>
      <c r="E248" s="22">
        <f t="shared" si="19"/>
        <v>27634500</v>
      </c>
      <c r="F248" s="23">
        <f>33480810-5816000-30310</f>
        <v>27634500</v>
      </c>
      <c r="G248" s="23"/>
      <c r="H248" s="23"/>
      <c r="I248" s="23"/>
      <c r="J248" s="24">
        <f t="shared" si="21"/>
        <v>0</v>
      </c>
      <c r="K248" s="48"/>
      <c r="L248" s="23"/>
      <c r="M248" s="23"/>
      <c r="N248" s="23"/>
      <c r="O248" s="48"/>
      <c r="P248" s="25">
        <f t="shared" si="20"/>
        <v>27634500</v>
      </c>
      <c r="Q248" s="228"/>
      <c r="R248" s="17"/>
      <c r="S248" s="81"/>
      <c r="T248" s="81"/>
    </row>
    <row r="249" spans="1:20" s="296" customFormat="1" ht="41.25" customHeight="1">
      <c r="A249" s="113" t="s">
        <v>477</v>
      </c>
      <c r="B249" s="114" t="s">
        <v>478</v>
      </c>
      <c r="C249" s="113" t="s">
        <v>315</v>
      </c>
      <c r="D249" s="292" t="s">
        <v>479</v>
      </c>
      <c r="E249" s="54">
        <f t="shared" si="19"/>
        <v>6887500</v>
      </c>
      <c r="F249" s="57">
        <f>F250</f>
        <v>6887500</v>
      </c>
      <c r="G249" s="57">
        <v>0</v>
      </c>
      <c r="H249" s="57">
        <v>0</v>
      </c>
      <c r="I249" s="57">
        <v>0</v>
      </c>
      <c r="J249" s="54">
        <f t="shared" si="21"/>
        <v>0</v>
      </c>
      <c r="K249" s="57"/>
      <c r="L249" s="57">
        <v>0</v>
      </c>
      <c r="M249" s="57">
        <v>0</v>
      </c>
      <c r="N249" s="57">
        <v>0</v>
      </c>
      <c r="O249" s="57">
        <v>0</v>
      </c>
      <c r="P249" s="54">
        <f t="shared" si="20"/>
        <v>6887500</v>
      </c>
      <c r="Q249" s="293"/>
      <c r="R249" s="294"/>
      <c r="S249" s="295"/>
      <c r="T249" s="295"/>
    </row>
    <row r="250" spans="1:20" s="82" customFormat="1" ht="156" customHeight="1">
      <c r="A250" s="18"/>
      <c r="B250" s="19"/>
      <c r="C250" s="18"/>
      <c r="D250" s="82" t="s">
        <v>116</v>
      </c>
      <c r="E250" s="22">
        <f t="shared" si="19"/>
        <v>6887500</v>
      </c>
      <c r="F250" s="23">
        <f>6487500+400000</f>
        <v>6887500</v>
      </c>
      <c r="G250" s="23"/>
      <c r="H250" s="23"/>
      <c r="I250" s="23"/>
      <c r="J250" s="24">
        <f t="shared" si="21"/>
        <v>0</v>
      </c>
      <c r="K250" s="48"/>
      <c r="L250" s="23"/>
      <c r="M250" s="23"/>
      <c r="N250" s="23"/>
      <c r="O250" s="48"/>
      <c r="P250" s="25">
        <f t="shared" si="20"/>
        <v>6887500</v>
      </c>
      <c r="Q250" s="228"/>
      <c r="R250" s="17"/>
      <c r="S250" s="81"/>
      <c r="T250" s="81"/>
    </row>
    <row r="251" spans="1:20" s="296" customFormat="1" ht="19.5" customHeight="1">
      <c r="A251" s="113" t="s">
        <v>480</v>
      </c>
      <c r="B251" s="114" t="s">
        <v>481</v>
      </c>
      <c r="C251" s="113" t="s">
        <v>315</v>
      </c>
      <c r="D251" s="292" t="s">
        <v>482</v>
      </c>
      <c r="E251" s="54">
        <f t="shared" si="19"/>
        <v>14388600</v>
      </c>
      <c r="F251" s="57">
        <f>F252</f>
        <v>14388600</v>
      </c>
      <c r="G251" s="57"/>
      <c r="H251" s="57"/>
      <c r="I251" s="57"/>
      <c r="J251" s="54">
        <f t="shared" si="21"/>
        <v>0</v>
      </c>
      <c r="K251" s="57"/>
      <c r="L251" s="57">
        <v>0</v>
      </c>
      <c r="M251" s="57">
        <v>0</v>
      </c>
      <c r="N251" s="57">
        <v>0</v>
      </c>
      <c r="O251" s="57">
        <v>0</v>
      </c>
      <c r="P251" s="54">
        <f t="shared" si="20"/>
        <v>14388600</v>
      </c>
      <c r="Q251" s="293"/>
      <c r="R251" s="294"/>
      <c r="S251" s="295"/>
      <c r="T251" s="295"/>
    </row>
    <row r="252" spans="1:20" s="82" customFormat="1" ht="150" customHeight="1">
      <c r="A252" s="18"/>
      <c r="B252" s="19"/>
      <c r="C252" s="18"/>
      <c r="D252" s="82" t="s">
        <v>116</v>
      </c>
      <c r="E252" s="22">
        <f t="shared" si="19"/>
        <v>14388600</v>
      </c>
      <c r="F252" s="23">
        <v>14388600</v>
      </c>
      <c r="G252" s="23"/>
      <c r="H252" s="23"/>
      <c r="I252" s="23"/>
      <c r="J252" s="24">
        <f t="shared" si="21"/>
        <v>0</v>
      </c>
      <c r="K252" s="48"/>
      <c r="L252" s="23"/>
      <c r="M252" s="23"/>
      <c r="N252" s="23"/>
      <c r="O252" s="48"/>
      <c r="P252" s="25">
        <f t="shared" si="20"/>
        <v>14388600</v>
      </c>
      <c r="Q252" s="228"/>
      <c r="R252" s="17"/>
      <c r="S252" s="81"/>
      <c r="T252" s="81"/>
    </row>
    <row r="253" spans="1:20" s="296" customFormat="1" ht="27.75" customHeight="1">
      <c r="A253" s="113" t="s">
        <v>483</v>
      </c>
      <c r="B253" s="114" t="s">
        <v>484</v>
      </c>
      <c r="C253" s="113" t="s">
        <v>315</v>
      </c>
      <c r="D253" s="292" t="s">
        <v>486</v>
      </c>
      <c r="E253" s="54">
        <f t="shared" si="19"/>
        <v>511000</v>
      </c>
      <c r="F253" s="57">
        <f>F254</f>
        <v>511000</v>
      </c>
      <c r="G253" s="57"/>
      <c r="H253" s="57"/>
      <c r="I253" s="57"/>
      <c r="J253" s="54">
        <f t="shared" si="21"/>
        <v>0</v>
      </c>
      <c r="K253" s="57"/>
      <c r="L253" s="57">
        <v>0</v>
      </c>
      <c r="M253" s="57">
        <v>0</v>
      </c>
      <c r="N253" s="57">
        <v>0</v>
      </c>
      <c r="O253" s="57">
        <v>0</v>
      </c>
      <c r="P253" s="54">
        <f t="shared" si="20"/>
        <v>511000</v>
      </c>
      <c r="Q253" s="293"/>
      <c r="R253" s="294"/>
      <c r="S253" s="295"/>
      <c r="T253" s="295"/>
    </row>
    <row r="254" spans="1:20" s="82" customFormat="1" ht="153" customHeight="1">
      <c r="A254" s="18"/>
      <c r="B254" s="19"/>
      <c r="C254" s="18"/>
      <c r="D254" s="82" t="s">
        <v>116</v>
      </c>
      <c r="E254" s="22">
        <f t="shared" si="19"/>
        <v>511000</v>
      </c>
      <c r="F254" s="23">
        <v>511000</v>
      </c>
      <c r="G254" s="23"/>
      <c r="H254" s="23"/>
      <c r="I254" s="23"/>
      <c r="J254" s="24">
        <f t="shared" si="21"/>
        <v>0</v>
      </c>
      <c r="K254" s="48"/>
      <c r="L254" s="23"/>
      <c r="M254" s="23"/>
      <c r="N254" s="23"/>
      <c r="O254" s="48"/>
      <c r="P254" s="25">
        <f t="shared" si="20"/>
        <v>511000</v>
      </c>
      <c r="Q254" s="228"/>
      <c r="R254" s="17"/>
      <c r="S254" s="81"/>
      <c r="T254" s="81"/>
    </row>
    <row r="255" spans="1:20" s="296" customFormat="1" ht="33" customHeight="1">
      <c r="A255" s="113" t="s">
        <v>487</v>
      </c>
      <c r="B255" s="114" t="s">
        <v>488</v>
      </c>
      <c r="C255" s="113" t="s">
        <v>315</v>
      </c>
      <c r="D255" s="116" t="s">
        <v>115</v>
      </c>
      <c r="E255" s="54">
        <f t="shared" si="19"/>
        <v>8863200</v>
      </c>
      <c r="F255" s="57">
        <f>F256</f>
        <v>8863200</v>
      </c>
      <c r="G255" s="57"/>
      <c r="H255" s="57"/>
      <c r="I255" s="57"/>
      <c r="J255" s="54">
        <f t="shared" si="21"/>
        <v>0</v>
      </c>
      <c r="K255" s="57"/>
      <c r="L255" s="57">
        <v>0</v>
      </c>
      <c r="M255" s="57">
        <v>0</v>
      </c>
      <c r="N255" s="57">
        <v>0</v>
      </c>
      <c r="O255" s="57">
        <v>0</v>
      </c>
      <c r="P255" s="54">
        <f t="shared" si="20"/>
        <v>8863200</v>
      </c>
      <c r="Q255" s="293"/>
      <c r="R255" s="294"/>
      <c r="S255" s="295"/>
      <c r="T255" s="295"/>
    </row>
    <row r="256" spans="1:20" s="82" customFormat="1" ht="155.25" customHeight="1">
      <c r="A256" s="18"/>
      <c r="B256" s="19"/>
      <c r="C256" s="18"/>
      <c r="D256" s="82" t="s">
        <v>116</v>
      </c>
      <c r="E256" s="22">
        <f t="shared" si="19"/>
        <v>8863200</v>
      </c>
      <c r="F256" s="23">
        <v>8863200</v>
      </c>
      <c r="G256" s="23"/>
      <c r="H256" s="23"/>
      <c r="I256" s="23"/>
      <c r="J256" s="24">
        <f t="shared" si="21"/>
        <v>0</v>
      </c>
      <c r="K256" s="48"/>
      <c r="L256" s="23"/>
      <c r="M256" s="23"/>
      <c r="N256" s="23"/>
      <c r="O256" s="48"/>
      <c r="P256" s="25">
        <f t="shared" si="20"/>
        <v>8863200</v>
      </c>
      <c r="Q256" s="228"/>
      <c r="R256" s="17"/>
      <c r="S256" s="81"/>
      <c r="T256" s="81"/>
    </row>
    <row r="257" spans="1:20" s="296" customFormat="1" ht="30" customHeight="1">
      <c r="A257" s="330" t="s">
        <v>44</v>
      </c>
      <c r="B257" s="331">
        <v>3049</v>
      </c>
      <c r="C257" s="330" t="s">
        <v>315</v>
      </c>
      <c r="D257" s="332" t="s">
        <v>46</v>
      </c>
      <c r="E257" s="54">
        <f t="shared" si="19"/>
        <v>50310</v>
      </c>
      <c r="F257" s="57">
        <f>F258</f>
        <v>50310</v>
      </c>
      <c r="G257" s="57"/>
      <c r="H257" s="57"/>
      <c r="I257" s="57"/>
      <c r="J257" s="54">
        <f t="shared" si="21"/>
        <v>0</v>
      </c>
      <c r="K257" s="57"/>
      <c r="L257" s="57">
        <v>0</v>
      </c>
      <c r="M257" s="57"/>
      <c r="N257" s="57"/>
      <c r="O257" s="57"/>
      <c r="P257" s="54">
        <f t="shared" si="20"/>
        <v>50310</v>
      </c>
      <c r="Q257" s="293"/>
      <c r="R257" s="294"/>
      <c r="S257" s="295"/>
      <c r="T257" s="295"/>
    </row>
    <row r="258" spans="1:20" s="107" customFormat="1" ht="159" customHeight="1">
      <c r="A258" s="215"/>
      <c r="B258" s="216"/>
      <c r="C258" s="215"/>
      <c r="D258" s="82" t="s">
        <v>116</v>
      </c>
      <c r="E258" s="22">
        <f t="shared" si="19"/>
        <v>50310</v>
      </c>
      <c r="F258" s="66">
        <f>30310+20000</f>
        <v>50310</v>
      </c>
      <c r="G258" s="66"/>
      <c r="H258" s="66"/>
      <c r="I258" s="66"/>
      <c r="J258" s="24">
        <f t="shared" si="21"/>
        <v>0</v>
      </c>
      <c r="K258" s="66"/>
      <c r="L258" s="66"/>
      <c r="M258" s="66"/>
      <c r="N258" s="66"/>
      <c r="O258" s="66"/>
      <c r="P258" s="25">
        <f t="shared" si="20"/>
        <v>50310</v>
      </c>
      <c r="Q258" s="233"/>
      <c r="R258" s="231"/>
      <c r="S258" s="106"/>
      <c r="T258" s="106"/>
    </row>
    <row r="259" spans="1:20" s="296" customFormat="1" ht="49.5" customHeight="1">
      <c r="A259" s="113" t="s">
        <v>93</v>
      </c>
      <c r="B259" s="114">
        <v>3081</v>
      </c>
      <c r="C259" s="115" t="s">
        <v>307</v>
      </c>
      <c r="D259" s="116" t="s">
        <v>94</v>
      </c>
      <c r="E259" s="54">
        <f>F259+I259</f>
        <v>16538900</v>
      </c>
      <c r="F259" s="57">
        <f>F260</f>
        <v>16538900</v>
      </c>
      <c r="G259" s="57"/>
      <c r="H259" s="57"/>
      <c r="I259" s="57"/>
      <c r="J259" s="54">
        <f t="shared" si="21"/>
        <v>0</v>
      </c>
      <c r="K259" s="57"/>
      <c r="L259" s="57">
        <f>L260</f>
        <v>0</v>
      </c>
      <c r="M259" s="57">
        <f>M260</f>
        <v>0</v>
      </c>
      <c r="N259" s="57">
        <f>N260</f>
        <v>0</v>
      </c>
      <c r="O259" s="57">
        <f>O260</f>
        <v>0</v>
      </c>
      <c r="P259" s="54">
        <f t="shared" si="20"/>
        <v>16538900</v>
      </c>
      <c r="Q259" s="293"/>
      <c r="R259" s="294"/>
      <c r="S259" s="295"/>
      <c r="T259" s="295"/>
    </row>
    <row r="260" spans="1:20" s="82" customFormat="1" ht="153.75" customHeight="1">
      <c r="A260" s="122"/>
      <c r="B260" s="123"/>
      <c r="C260" s="122"/>
      <c r="D260" s="82" t="s">
        <v>116</v>
      </c>
      <c r="E260" s="22">
        <f>F260+I260</f>
        <v>16538900</v>
      </c>
      <c r="F260" s="23">
        <v>16538900</v>
      </c>
      <c r="G260" s="23"/>
      <c r="H260" s="23"/>
      <c r="I260" s="23"/>
      <c r="J260" s="24">
        <f t="shared" si="21"/>
        <v>0</v>
      </c>
      <c r="K260" s="48"/>
      <c r="L260" s="23"/>
      <c r="M260" s="23"/>
      <c r="N260" s="23"/>
      <c r="O260" s="48"/>
      <c r="P260" s="25">
        <f aca="true" t="shared" si="22" ref="P260:P272">J260+E260</f>
        <v>16538900</v>
      </c>
      <c r="Q260" s="228"/>
      <c r="R260" s="17"/>
      <c r="S260" s="81"/>
      <c r="T260" s="81"/>
    </row>
    <row r="261" spans="1:20" s="296" customFormat="1" ht="49.5" customHeight="1">
      <c r="A261" s="113" t="s">
        <v>95</v>
      </c>
      <c r="B261" s="114">
        <v>3082</v>
      </c>
      <c r="C261" s="115" t="s">
        <v>307</v>
      </c>
      <c r="D261" s="116" t="s">
        <v>104</v>
      </c>
      <c r="E261" s="54">
        <f>F261+I261</f>
        <v>4711500</v>
      </c>
      <c r="F261" s="57">
        <f>F262</f>
        <v>4711500</v>
      </c>
      <c r="G261" s="57"/>
      <c r="H261" s="57"/>
      <c r="I261" s="57"/>
      <c r="J261" s="54">
        <f t="shared" si="21"/>
        <v>0</v>
      </c>
      <c r="K261" s="57"/>
      <c r="L261" s="57">
        <f>L262</f>
        <v>0</v>
      </c>
      <c r="M261" s="57">
        <f>M262</f>
        <v>0</v>
      </c>
      <c r="N261" s="57">
        <f>N262</f>
        <v>0</v>
      </c>
      <c r="O261" s="57">
        <f>O262</f>
        <v>0</v>
      </c>
      <c r="P261" s="54">
        <f t="shared" si="22"/>
        <v>4711500</v>
      </c>
      <c r="Q261" s="293"/>
      <c r="R261" s="294"/>
      <c r="S261" s="295"/>
      <c r="T261" s="295"/>
    </row>
    <row r="262" spans="1:20" s="82" customFormat="1" ht="151.5" customHeight="1">
      <c r="A262" s="122"/>
      <c r="B262" s="123"/>
      <c r="C262" s="122"/>
      <c r="D262" s="82" t="s">
        <v>116</v>
      </c>
      <c r="E262" s="22">
        <f>F262+I262</f>
        <v>4711500</v>
      </c>
      <c r="F262" s="23">
        <v>4711500</v>
      </c>
      <c r="G262" s="23"/>
      <c r="H262" s="23"/>
      <c r="I262" s="23"/>
      <c r="J262" s="24">
        <f t="shared" si="21"/>
        <v>0</v>
      </c>
      <c r="K262" s="48"/>
      <c r="L262" s="23"/>
      <c r="M262" s="23"/>
      <c r="N262" s="23"/>
      <c r="O262" s="48"/>
      <c r="P262" s="25">
        <f t="shared" si="22"/>
        <v>4711500</v>
      </c>
      <c r="Q262" s="228"/>
      <c r="R262" s="17"/>
      <c r="S262" s="81"/>
      <c r="T262" s="81"/>
    </row>
    <row r="263" spans="1:20" s="296" customFormat="1" ht="40.5" customHeight="1">
      <c r="A263" s="113" t="s">
        <v>105</v>
      </c>
      <c r="B263" s="114">
        <v>3083</v>
      </c>
      <c r="C263" s="115" t="s">
        <v>307</v>
      </c>
      <c r="D263" s="116" t="s">
        <v>106</v>
      </c>
      <c r="E263" s="54">
        <f aca="true" t="shared" si="23" ref="E263:E272">F263+I263</f>
        <v>4444400</v>
      </c>
      <c r="F263" s="57">
        <f>F264</f>
        <v>4444400</v>
      </c>
      <c r="G263" s="57"/>
      <c r="H263" s="57"/>
      <c r="I263" s="57"/>
      <c r="J263" s="54">
        <f t="shared" si="21"/>
        <v>0</v>
      </c>
      <c r="K263" s="57"/>
      <c r="L263" s="57">
        <f>L264</f>
        <v>0</v>
      </c>
      <c r="M263" s="57">
        <f>M264</f>
        <v>0</v>
      </c>
      <c r="N263" s="57">
        <f>N264</f>
        <v>0</v>
      </c>
      <c r="O263" s="57">
        <f>O264</f>
        <v>0</v>
      </c>
      <c r="P263" s="54">
        <f t="shared" si="22"/>
        <v>4444400</v>
      </c>
      <c r="Q263" s="293"/>
      <c r="R263" s="294"/>
      <c r="S263" s="295"/>
      <c r="T263" s="295"/>
    </row>
    <row r="264" spans="1:20" s="82" customFormat="1" ht="153" customHeight="1">
      <c r="A264" s="122"/>
      <c r="B264" s="123"/>
      <c r="C264" s="122"/>
      <c r="D264" s="82" t="s">
        <v>116</v>
      </c>
      <c r="E264" s="22">
        <f t="shared" si="23"/>
        <v>4444400</v>
      </c>
      <c r="F264" s="23">
        <f>4644400-200000</f>
        <v>4444400</v>
      </c>
      <c r="G264" s="23"/>
      <c r="H264" s="23"/>
      <c r="I264" s="23"/>
      <c r="J264" s="24">
        <f t="shared" si="21"/>
        <v>0</v>
      </c>
      <c r="K264" s="48"/>
      <c r="L264" s="23"/>
      <c r="M264" s="23"/>
      <c r="N264" s="23"/>
      <c r="O264" s="48"/>
      <c r="P264" s="25">
        <f t="shared" si="22"/>
        <v>4444400</v>
      </c>
      <c r="Q264" s="228"/>
      <c r="R264" s="17"/>
      <c r="S264" s="81"/>
      <c r="T264" s="81"/>
    </row>
    <row r="265" spans="1:20" s="296" customFormat="1" ht="54" customHeight="1">
      <c r="A265" s="113" t="s">
        <v>107</v>
      </c>
      <c r="B265" s="114">
        <v>3084</v>
      </c>
      <c r="C265" s="115" t="s">
        <v>315</v>
      </c>
      <c r="D265" s="116" t="s">
        <v>108</v>
      </c>
      <c r="E265" s="54">
        <f t="shared" si="23"/>
        <v>364300</v>
      </c>
      <c r="F265" s="57">
        <f>F266</f>
        <v>364300</v>
      </c>
      <c r="G265" s="57"/>
      <c r="H265" s="57"/>
      <c r="I265" s="57"/>
      <c r="J265" s="54">
        <f t="shared" si="21"/>
        <v>0</v>
      </c>
      <c r="K265" s="57"/>
      <c r="L265" s="57">
        <f>L266</f>
        <v>0</v>
      </c>
      <c r="M265" s="57">
        <f>M266</f>
        <v>0</v>
      </c>
      <c r="N265" s="57">
        <f>N266</f>
        <v>0</v>
      </c>
      <c r="O265" s="57">
        <f>O266</f>
        <v>0</v>
      </c>
      <c r="P265" s="54">
        <f t="shared" si="22"/>
        <v>364300</v>
      </c>
      <c r="Q265" s="293"/>
      <c r="R265" s="294"/>
      <c r="S265" s="295"/>
      <c r="T265" s="295"/>
    </row>
    <row r="266" spans="1:20" s="82" customFormat="1" ht="151.5" customHeight="1">
      <c r="A266" s="122"/>
      <c r="B266" s="123"/>
      <c r="C266" s="122"/>
      <c r="D266" s="82" t="s">
        <v>116</v>
      </c>
      <c r="E266" s="22">
        <f t="shared" si="23"/>
        <v>364300</v>
      </c>
      <c r="F266" s="23">
        <v>364300</v>
      </c>
      <c r="G266" s="23"/>
      <c r="H266" s="23"/>
      <c r="I266" s="23"/>
      <c r="J266" s="24">
        <f t="shared" si="21"/>
        <v>0</v>
      </c>
      <c r="K266" s="48"/>
      <c r="L266" s="23"/>
      <c r="M266" s="23"/>
      <c r="N266" s="23"/>
      <c r="O266" s="48"/>
      <c r="P266" s="25">
        <f t="shared" si="22"/>
        <v>364300</v>
      </c>
      <c r="Q266" s="228"/>
      <c r="R266" s="17"/>
      <c r="S266" s="81"/>
      <c r="T266" s="81"/>
    </row>
    <row r="267" spans="1:20" s="296" customFormat="1" ht="54" customHeight="1">
      <c r="A267" s="113" t="s">
        <v>109</v>
      </c>
      <c r="B267" s="114">
        <v>3085</v>
      </c>
      <c r="C267" s="115" t="s">
        <v>307</v>
      </c>
      <c r="D267" s="116" t="s">
        <v>110</v>
      </c>
      <c r="E267" s="54">
        <f t="shared" si="23"/>
        <v>8000</v>
      </c>
      <c r="F267" s="57">
        <f>F268</f>
        <v>8000</v>
      </c>
      <c r="G267" s="57"/>
      <c r="H267" s="57"/>
      <c r="I267" s="57"/>
      <c r="J267" s="54">
        <f t="shared" si="21"/>
        <v>0</v>
      </c>
      <c r="K267" s="57"/>
      <c r="L267" s="57">
        <f>L272</f>
        <v>0</v>
      </c>
      <c r="M267" s="57">
        <f>M272</f>
        <v>0</v>
      </c>
      <c r="N267" s="57">
        <f>N272</f>
        <v>0</v>
      </c>
      <c r="O267" s="57">
        <f>O272</f>
        <v>0</v>
      </c>
      <c r="P267" s="54">
        <f t="shared" si="22"/>
        <v>8000</v>
      </c>
      <c r="Q267" s="293"/>
      <c r="R267" s="294"/>
      <c r="S267" s="295"/>
      <c r="T267" s="295"/>
    </row>
    <row r="268" spans="1:20" s="82" customFormat="1" ht="153.75" customHeight="1">
      <c r="A268" s="117"/>
      <c r="B268" s="118"/>
      <c r="C268" s="146"/>
      <c r="D268" s="8" t="s">
        <v>116</v>
      </c>
      <c r="E268" s="22">
        <f t="shared" si="23"/>
        <v>8000</v>
      </c>
      <c r="F268" s="23">
        <v>8000</v>
      </c>
      <c r="G268" s="23"/>
      <c r="H268" s="23"/>
      <c r="I268" s="23"/>
      <c r="J268" s="24">
        <f t="shared" si="21"/>
        <v>0</v>
      </c>
      <c r="K268" s="48"/>
      <c r="L268" s="23"/>
      <c r="M268" s="23"/>
      <c r="N268" s="23"/>
      <c r="O268" s="48"/>
      <c r="P268" s="25">
        <f t="shared" si="22"/>
        <v>8000</v>
      </c>
      <c r="Q268" s="228"/>
      <c r="R268" s="17"/>
      <c r="S268" s="81"/>
      <c r="T268" s="81"/>
    </row>
    <row r="269" spans="1:20" s="296" customFormat="1" ht="139.5" customHeight="1">
      <c r="A269" s="323" t="s">
        <v>38</v>
      </c>
      <c r="B269" s="324">
        <v>3086</v>
      </c>
      <c r="C269" s="325" t="s">
        <v>315</v>
      </c>
      <c r="D269" s="326" t="s">
        <v>42</v>
      </c>
      <c r="E269" s="54">
        <f>F269+I269</f>
        <v>200000</v>
      </c>
      <c r="F269" s="57">
        <f>F270</f>
        <v>200000</v>
      </c>
      <c r="G269" s="57"/>
      <c r="H269" s="57"/>
      <c r="I269" s="57"/>
      <c r="J269" s="54">
        <f>L269+O269</f>
        <v>0</v>
      </c>
      <c r="K269" s="57"/>
      <c r="L269" s="57"/>
      <c r="M269" s="57"/>
      <c r="N269" s="57"/>
      <c r="O269" s="57"/>
      <c r="P269" s="54">
        <f>J269+E269</f>
        <v>200000</v>
      </c>
      <c r="Q269" s="293"/>
      <c r="R269" s="294"/>
      <c r="S269" s="295"/>
      <c r="T269" s="295"/>
    </row>
    <row r="270" spans="1:20" s="82" customFormat="1" ht="153.75" customHeight="1">
      <c r="A270" s="117"/>
      <c r="B270" s="118"/>
      <c r="C270" s="117"/>
      <c r="D270" s="82" t="s">
        <v>116</v>
      </c>
      <c r="E270" s="22">
        <f>F270+I270</f>
        <v>200000</v>
      </c>
      <c r="F270" s="23">
        <v>200000</v>
      </c>
      <c r="G270" s="23"/>
      <c r="H270" s="23"/>
      <c r="I270" s="23"/>
      <c r="J270" s="24">
        <f>L270+O270</f>
        <v>0</v>
      </c>
      <c r="K270" s="48"/>
      <c r="L270" s="23"/>
      <c r="M270" s="23"/>
      <c r="N270" s="23"/>
      <c r="O270" s="48"/>
      <c r="P270" s="25">
        <f>J270+E270</f>
        <v>200000</v>
      </c>
      <c r="Q270" s="228"/>
      <c r="R270" s="17"/>
      <c r="S270" s="81"/>
      <c r="T270" s="81"/>
    </row>
    <row r="271" spans="1:20" s="296" customFormat="1" ht="30" customHeight="1">
      <c r="A271" s="323" t="s">
        <v>357</v>
      </c>
      <c r="B271" s="324">
        <v>3087</v>
      </c>
      <c r="C271" s="325" t="s">
        <v>315</v>
      </c>
      <c r="D271" s="326" t="s">
        <v>358</v>
      </c>
      <c r="E271" s="54">
        <f t="shared" si="23"/>
        <v>5396000</v>
      </c>
      <c r="F271" s="57">
        <f>F272</f>
        <v>5396000</v>
      </c>
      <c r="G271" s="57"/>
      <c r="H271" s="57"/>
      <c r="I271" s="57"/>
      <c r="J271" s="54">
        <f t="shared" si="21"/>
        <v>0</v>
      </c>
      <c r="K271" s="57"/>
      <c r="L271" s="57"/>
      <c r="M271" s="57"/>
      <c r="N271" s="57"/>
      <c r="O271" s="57"/>
      <c r="P271" s="54">
        <f t="shared" si="22"/>
        <v>5396000</v>
      </c>
      <c r="Q271" s="293"/>
      <c r="R271" s="294"/>
      <c r="S271" s="295"/>
      <c r="T271" s="295"/>
    </row>
    <row r="272" spans="1:20" s="82" customFormat="1" ht="163.5" customHeight="1">
      <c r="A272" s="117"/>
      <c r="B272" s="118"/>
      <c r="C272" s="117"/>
      <c r="D272" s="82" t="s">
        <v>116</v>
      </c>
      <c r="E272" s="22">
        <f t="shared" si="23"/>
        <v>5396000</v>
      </c>
      <c r="F272" s="23">
        <f>5816000-420000</f>
        <v>5396000</v>
      </c>
      <c r="G272" s="23"/>
      <c r="H272" s="23"/>
      <c r="I272" s="23"/>
      <c r="J272" s="24">
        <f t="shared" si="21"/>
        <v>0</v>
      </c>
      <c r="K272" s="48"/>
      <c r="L272" s="23"/>
      <c r="M272" s="23"/>
      <c r="N272" s="23"/>
      <c r="O272" s="48"/>
      <c r="P272" s="25">
        <f t="shared" si="22"/>
        <v>5396000</v>
      </c>
      <c r="Q272" s="228"/>
      <c r="R272" s="17"/>
      <c r="S272" s="81"/>
      <c r="T272" s="81"/>
    </row>
    <row r="273" spans="1:20" s="296" customFormat="1" ht="60" customHeight="1">
      <c r="A273" s="113" t="s">
        <v>490</v>
      </c>
      <c r="B273" s="114" t="s">
        <v>491</v>
      </c>
      <c r="C273" s="113" t="s">
        <v>311</v>
      </c>
      <c r="D273" s="116" t="s">
        <v>111</v>
      </c>
      <c r="E273" s="54">
        <f t="shared" si="19"/>
        <v>8125400</v>
      </c>
      <c r="F273" s="57">
        <f>7408190+120000+199000+151000+247210</f>
        <v>8125400</v>
      </c>
      <c r="G273" s="57">
        <v>5550000</v>
      </c>
      <c r="H273" s="57">
        <f>384490+900+10450+9900</f>
        <v>405740</v>
      </c>
      <c r="I273" s="57"/>
      <c r="J273" s="54">
        <f t="shared" si="21"/>
        <v>128000</v>
      </c>
      <c r="K273" s="57">
        <v>55000</v>
      </c>
      <c r="L273" s="57">
        <v>73000</v>
      </c>
      <c r="M273" s="57">
        <v>50000</v>
      </c>
      <c r="N273" s="57"/>
      <c r="O273" s="57">
        <v>55000</v>
      </c>
      <c r="P273" s="54">
        <f t="shared" si="20"/>
        <v>8253400</v>
      </c>
      <c r="Q273" s="293"/>
      <c r="R273" s="294"/>
      <c r="S273" s="295"/>
      <c r="T273" s="295"/>
    </row>
    <row r="274" spans="1:20" s="107" customFormat="1" ht="66.75" customHeight="1">
      <c r="A274" s="69" t="s">
        <v>499</v>
      </c>
      <c r="B274" s="67" t="s">
        <v>500</v>
      </c>
      <c r="C274" s="62" t="s">
        <v>307</v>
      </c>
      <c r="D274" s="127" t="s">
        <v>112</v>
      </c>
      <c r="E274" s="56">
        <f t="shared" si="19"/>
        <v>410400</v>
      </c>
      <c r="F274" s="66">
        <v>410400</v>
      </c>
      <c r="G274" s="66">
        <v>0</v>
      </c>
      <c r="H274" s="66">
        <v>0</v>
      </c>
      <c r="I274" s="66">
        <v>0</v>
      </c>
      <c r="J274" s="56">
        <f t="shared" si="21"/>
        <v>0</v>
      </c>
      <c r="K274" s="66"/>
      <c r="L274" s="66">
        <v>0</v>
      </c>
      <c r="M274" s="66">
        <v>0</v>
      </c>
      <c r="N274" s="66">
        <v>0</v>
      </c>
      <c r="O274" s="66">
        <v>0</v>
      </c>
      <c r="P274" s="105">
        <f t="shared" si="20"/>
        <v>410400</v>
      </c>
      <c r="Q274" s="223"/>
      <c r="R274" s="231"/>
      <c r="S274" s="106"/>
      <c r="T274" s="106"/>
    </row>
    <row r="275" spans="1:20" s="59" customFormat="1" ht="60.75" customHeight="1">
      <c r="A275" s="52" t="s">
        <v>503</v>
      </c>
      <c r="B275" s="53" t="s">
        <v>504</v>
      </c>
      <c r="C275" s="52" t="s">
        <v>415</v>
      </c>
      <c r="D275" s="50" t="s">
        <v>502</v>
      </c>
      <c r="E275" s="54">
        <f t="shared" si="19"/>
        <v>188338.41999999998</v>
      </c>
      <c r="F275" s="55">
        <f>418800-1300+13000-2161.58-240000</f>
        <v>188338.41999999998</v>
      </c>
      <c r="G275" s="55">
        <v>0</v>
      </c>
      <c r="H275" s="55">
        <v>0</v>
      </c>
      <c r="I275" s="55">
        <v>0</v>
      </c>
      <c r="J275" s="56">
        <f t="shared" si="21"/>
        <v>0</v>
      </c>
      <c r="K275" s="66"/>
      <c r="L275" s="55">
        <v>0</v>
      </c>
      <c r="M275" s="55">
        <v>0</v>
      </c>
      <c r="N275" s="55">
        <v>0</v>
      </c>
      <c r="O275" s="66">
        <v>0</v>
      </c>
      <c r="P275" s="58">
        <f t="shared" si="20"/>
        <v>188338.41999999998</v>
      </c>
      <c r="Q275" s="223"/>
      <c r="R275" s="96"/>
      <c r="S275" s="83"/>
      <c r="T275" s="83"/>
    </row>
    <row r="276" spans="1:20" s="296" customFormat="1" ht="31.5" customHeight="1">
      <c r="A276" s="113" t="s">
        <v>86</v>
      </c>
      <c r="B276" s="114" t="s">
        <v>87</v>
      </c>
      <c r="C276" s="113" t="s">
        <v>319</v>
      </c>
      <c r="D276" s="296" t="s">
        <v>80</v>
      </c>
      <c r="E276" s="54">
        <f t="shared" si="19"/>
        <v>323800</v>
      </c>
      <c r="F276" s="57">
        <v>323800</v>
      </c>
      <c r="G276" s="57">
        <v>0</v>
      </c>
      <c r="H276" s="57">
        <v>0</v>
      </c>
      <c r="I276" s="57">
        <v>0</v>
      </c>
      <c r="J276" s="54">
        <f t="shared" si="21"/>
        <v>0</v>
      </c>
      <c r="K276" s="57"/>
      <c r="L276" s="57">
        <v>0</v>
      </c>
      <c r="M276" s="57">
        <v>0</v>
      </c>
      <c r="N276" s="57">
        <v>0</v>
      </c>
      <c r="O276" s="57">
        <v>0</v>
      </c>
      <c r="P276" s="54">
        <f t="shared" si="20"/>
        <v>323800</v>
      </c>
      <c r="Q276" s="293"/>
      <c r="R276" s="294"/>
      <c r="S276" s="295"/>
      <c r="T276" s="295"/>
    </row>
    <row r="277" spans="1:20" s="203" customFormat="1" ht="33" customHeight="1">
      <c r="A277" s="195" t="s">
        <v>412</v>
      </c>
      <c r="B277" s="196"/>
      <c r="C277" s="197"/>
      <c r="D277" s="198" t="s">
        <v>455</v>
      </c>
      <c r="E277" s="199">
        <f>F277+I277</f>
        <v>1329367</v>
      </c>
      <c r="F277" s="199">
        <f>SUM(F278:F280)</f>
        <v>1329367</v>
      </c>
      <c r="G277" s="199">
        <f aca="true" t="shared" si="24" ref="G277:O277">SUM(G278:G280)</f>
        <v>926407</v>
      </c>
      <c r="H277" s="199">
        <f t="shared" si="24"/>
        <v>65690</v>
      </c>
      <c r="I277" s="199">
        <f t="shared" si="24"/>
        <v>0</v>
      </c>
      <c r="J277" s="199">
        <f t="shared" si="24"/>
        <v>0</v>
      </c>
      <c r="K277" s="200">
        <f t="shared" si="24"/>
        <v>0</v>
      </c>
      <c r="L277" s="200">
        <f t="shared" si="24"/>
        <v>0</v>
      </c>
      <c r="M277" s="200">
        <f t="shared" si="24"/>
        <v>0</v>
      </c>
      <c r="N277" s="200">
        <f t="shared" si="24"/>
        <v>0</v>
      </c>
      <c r="O277" s="200">
        <f t="shared" si="24"/>
        <v>0</v>
      </c>
      <c r="P277" s="201">
        <f t="shared" si="20"/>
        <v>1329367</v>
      </c>
      <c r="Q277" s="223"/>
      <c r="R277" s="227"/>
      <c r="S277" s="202"/>
      <c r="T277" s="202"/>
    </row>
    <row r="278" spans="1:20" s="59" customFormat="1" ht="48.75" customHeight="1">
      <c r="A278" s="52" t="s">
        <v>413</v>
      </c>
      <c r="B278" s="53" t="s">
        <v>296</v>
      </c>
      <c r="C278" s="52" t="s">
        <v>281</v>
      </c>
      <c r="D278" s="50" t="s">
        <v>297</v>
      </c>
      <c r="E278" s="54">
        <f>F278+I278</f>
        <v>1237367</v>
      </c>
      <c r="F278" s="55">
        <f>863560+364267+9540</f>
        <v>1237367</v>
      </c>
      <c r="G278" s="55">
        <f>657180+269227</f>
        <v>926407</v>
      </c>
      <c r="H278" s="55">
        <f>51300+4850+9540</f>
        <v>65690</v>
      </c>
      <c r="I278" s="55">
        <v>0</v>
      </c>
      <c r="J278" s="56">
        <f t="shared" si="21"/>
        <v>0</v>
      </c>
      <c r="K278" s="66"/>
      <c r="L278" s="55">
        <v>0</v>
      </c>
      <c r="M278" s="55">
        <v>0</v>
      </c>
      <c r="N278" s="55">
        <v>0</v>
      </c>
      <c r="O278" s="66"/>
      <c r="P278" s="58">
        <f t="shared" si="20"/>
        <v>1237367</v>
      </c>
      <c r="Q278" s="223"/>
      <c r="R278" s="96"/>
      <c r="S278" s="83"/>
      <c r="T278" s="83"/>
    </row>
    <row r="279" spans="1:20" s="59" customFormat="1" ht="34.5" customHeight="1">
      <c r="A279" s="65" t="s">
        <v>223</v>
      </c>
      <c r="B279" s="65" t="s">
        <v>646</v>
      </c>
      <c r="C279" s="65" t="s">
        <v>137</v>
      </c>
      <c r="D279" s="51" t="s">
        <v>138</v>
      </c>
      <c r="E279" s="54">
        <f>F279+I279</f>
        <v>10000</v>
      </c>
      <c r="F279" s="66">
        <v>10000</v>
      </c>
      <c r="G279" s="55"/>
      <c r="H279" s="55"/>
      <c r="I279" s="55"/>
      <c r="J279" s="56">
        <f>L279+O279</f>
        <v>0</v>
      </c>
      <c r="K279" s="66"/>
      <c r="L279" s="55"/>
      <c r="M279" s="55"/>
      <c r="N279" s="55"/>
      <c r="O279" s="66"/>
      <c r="P279" s="58">
        <f t="shared" si="20"/>
        <v>10000</v>
      </c>
      <c r="Q279" s="223"/>
      <c r="R279" s="96"/>
      <c r="S279" s="83"/>
      <c r="T279" s="83"/>
    </row>
    <row r="280" spans="1:20" s="59" customFormat="1" ht="21" customHeight="1">
      <c r="A280" s="52" t="s">
        <v>414</v>
      </c>
      <c r="B280" s="53" t="s">
        <v>286</v>
      </c>
      <c r="C280" s="52" t="s">
        <v>285</v>
      </c>
      <c r="D280" s="50" t="s">
        <v>287</v>
      </c>
      <c r="E280" s="54">
        <f>F280+I280</f>
        <v>82000</v>
      </c>
      <c r="F280" s="55">
        <v>82000</v>
      </c>
      <c r="G280" s="55"/>
      <c r="H280" s="55"/>
      <c r="I280" s="55">
        <v>0</v>
      </c>
      <c r="J280" s="56">
        <f>L280+O280</f>
        <v>0</v>
      </c>
      <c r="K280" s="66">
        <v>0</v>
      </c>
      <c r="L280" s="55">
        <v>0</v>
      </c>
      <c r="M280" s="55">
        <v>0</v>
      </c>
      <c r="N280" s="55">
        <v>0</v>
      </c>
      <c r="O280" s="66">
        <v>0</v>
      </c>
      <c r="P280" s="58">
        <f t="shared" si="20"/>
        <v>82000</v>
      </c>
      <c r="Q280" s="223"/>
      <c r="R280" s="96"/>
      <c r="S280" s="83"/>
      <c r="T280" s="83"/>
    </row>
    <row r="281" spans="1:20" s="59" customFormat="1" ht="30" customHeight="1">
      <c r="A281" s="130" t="s">
        <v>505</v>
      </c>
      <c r="B281" s="134"/>
      <c r="C281" s="128"/>
      <c r="D281" s="135" t="s">
        <v>506</v>
      </c>
      <c r="E281" s="108">
        <f>F281+I281</f>
        <v>12104000</v>
      </c>
      <c r="F281" s="108">
        <f>F282+F288+F292+F296</f>
        <v>12104000</v>
      </c>
      <c r="G281" s="108">
        <f>G282+G288+G292+G296</f>
        <v>7555902</v>
      </c>
      <c r="H281" s="108">
        <f>H282+H288+H292+H296</f>
        <v>704976</v>
      </c>
      <c r="I281" s="108">
        <f>I282+I288+I292+I296</f>
        <v>0</v>
      </c>
      <c r="J281" s="108">
        <f t="shared" si="21"/>
        <v>90799</v>
      </c>
      <c r="K281" s="108">
        <f>K282+K288+K292+K296</f>
        <v>90799</v>
      </c>
      <c r="L281" s="108">
        <f>L282+L288+L292+L296</f>
        <v>0</v>
      </c>
      <c r="M281" s="108">
        <f>M282+M288+M292+M296</f>
        <v>0</v>
      </c>
      <c r="N281" s="108">
        <f>N282+N288+N292+N296</f>
        <v>0</v>
      </c>
      <c r="O281" s="108">
        <f>O282+O288+O292+O296</f>
        <v>90799</v>
      </c>
      <c r="P281" s="136">
        <f t="shared" si="20"/>
        <v>12194799</v>
      </c>
      <c r="Q281" s="223"/>
      <c r="R281" s="96"/>
      <c r="S281" s="83"/>
      <c r="T281" s="83"/>
    </row>
    <row r="282" spans="1:20" s="213" customFormat="1" ht="25.5" customHeight="1">
      <c r="A282" s="207" t="s">
        <v>507</v>
      </c>
      <c r="B282" s="208"/>
      <c r="C282" s="209"/>
      <c r="D282" s="210" t="s">
        <v>9</v>
      </c>
      <c r="E282" s="200">
        <f t="shared" si="19"/>
        <v>7202128</v>
      </c>
      <c r="F282" s="200">
        <f>F283+F284+F285+F286+F287</f>
        <v>7202128</v>
      </c>
      <c r="G282" s="200">
        <f>G283+G284+G285+G286+G287</f>
        <v>4009775</v>
      </c>
      <c r="H282" s="200">
        <f>H283+H284+H285+H286+H287</f>
        <v>556804</v>
      </c>
      <c r="I282" s="200">
        <f>I283+I284+I285+I286+I287</f>
        <v>0</v>
      </c>
      <c r="J282" s="200">
        <f t="shared" si="21"/>
        <v>45799</v>
      </c>
      <c r="K282" s="200">
        <f>K283+K284+K285+K286+K287</f>
        <v>45799</v>
      </c>
      <c r="L282" s="200">
        <f>L283+L284+L285+L286+L287</f>
        <v>0</v>
      </c>
      <c r="M282" s="200">
        <f>M283+M284+M285+M286+M287</f>
        <v>0</v>
      </c>
      <c r="N282" s="200">
        <f>N283+N284+N285+N286+N287</f>
        <v>0</v>
      </c>
      <c r="O282" s="200">
        <f>O283+O284+O285+O286+O287</f>
        <v>45799</v>
      </c>
      <c r="P282" s="211">
        <f t="shared" si="20"/>
        <v>7247927</v>
      </c>
      <c r="Q282" s="234"/>
      <c r="R282" s="235"/>
      <c r="S282" s="212"/>
      <c r="T282" s="212"/>
    </row>
    <row r="283" spans="1:20" s="59" customFormat="1" ht="44.25" customHeight="1">
      <c r="A283" s="52" t="s">
        <v>508</v>
      </c>
      <c r="B283" s="53" t="s">
        <v>296</v>
      </c>
      <c r="C283" s="52" t="s">
        <v>281</v>
      </c>
      <c r="D283" s="50" t="s">
        <v>297</v>
      </c>
      <c r="E283" s="54">
        <f t="shared" si="19"/>
        <v>1699137</v>
      </c>
      <c r="F283" s="55">
        <f>1684137+15000</f>
        <v>1699137</v>
      </c>
      <c r="G283" s="55">
        <v>1273125</v>
      </c>
      <c r="H283" s="55">
        <v>71114</v>
      </c>
      <c r="I283" s="55"/>
      <c r="J283" s="56">
        <f t="shared" si="21"/>
        <v>0</v>
      </c>
      <c r="K283" s="66"/>
      <c r="L283" s="55">
        <v>0</v>
      </c>
      <c r="M283" s="55">
        <v>0</v>
      </c>
      <c r="N283" s="55">
        <v>0</v>
      </c>
      <c r="O283" s="66">
        <v>0</v>
      </c>
      <c r="P283" s="58">
        <f t="shared" si="20"/>
        <v>1699137</v>
      </c>
      <c r="Q283" s="223"/>
      <c r="R283" s="96"/>
      <c r="S283" s="83"/>
      <c r="T283" s="83"/>
    </row>
    <row r="284" spans="1:20" s="59" customFormat="1" ht="24" customHeight="1">
      <c r="A284" s="52" t="s">
        <v>509</v>
      </c>
      <c r="B284" s="53" t="s">
        <v>286</v>
      </c>
      <c r="C284" s="52" t="s">
        <v>285</v>
      </c>
      <c r="D284" s="50" t="s">
        <v>287</v>
      </c>
      <c r="E284" s="54">
        <f t="shared" si="19"/>
        <v>82000</v>
      </c>
      <c r="F284" s="55">
        <f>52000+10000+20000</f>
        <v>82000</v>
      </c>
      <c r="G284" s="55">
        <v>0</v>
      </c>
      <c r="H284" s="55">
        <v>0</v>
      </c>
      <c r="I284" s="55">
        <v>0</v>
      </c>
      <c r="J284" s="56">
        <f t="shared" si="21"/>
        <v>0</v>
      </c>
      <c r="K284" s="66"/>
      <c r="L284" s="55">
        <v>0</v>
      </c>
      <c r="M284" s="55">
        <v>0</v>
      </c>
      <c r="N284" s="55">
        <v>0</v>
      </c>
      <c r="O284" s="66">
        <v>0</v>
      </c>
      <c r="P284" s="58">
        <f t="shared" si="20"/>
        <v>82000</v>
      </c>
      <c r="Q284" s="223"/>
      <c r="R284" s="96"/>
      <c r="S284" s="83"/>
      <c r="T284" s="83"/>
    </row>
    <row r="285" spans="1:20" s="296" customFormat="1" ht="64.5" customHeight="1">
      <c r="A285" s="113" t="s">
        <v>510</v>
      </c>
      <c r="B285" s="114" t="s">
        <v>511</v>
      </c>
      <c r="C285" s="113" t="s">
        <v>315</v>
      </c>
      <c r="D285" s="292" t="s">
        <v>233</v>
      </c>
      <c r="E285" s="54">
        <f t="shared" si="19"/>
        <v>5063691</v>
      </c>
      <c r="F285" s="57">
        <f>4667990+4801+12200+30000+50000+205500+15700+3800+73700</f>
        <v>5063691</v>
      </c>
      <c r="G285" s="57">
        <f>2662950+73700</f>
        <v>2736650</v>
      </c>
      <c r="H285" s="57">
        <f>481490+4200</f>
        <v>485690</v>
      </c>
      <c r="I285" s="57"/>
      <c r="J285" s="56">
        <f t="shared" si="21"/>
        <v>45799</v>
      </c>
      <c r="K285" s="57">
        <f>10600+40000-4801</f>
        <v>45799</v>
      </c>
      <c r="L285" s="57">
        <v>0</v>
      </c>
      <c r="M285" s="57">
        <v>0</v>
      </c>
      <c r="N285" s="57">
        <v>0</v>
      </c>
      <c r="O285" s="57">
        <f>10600+40000-4801</f>
        <v>45799</v>
      </c>
      <c r="P285" s="56">
        <f t="shared" si="20"/>
        <v>5109490</v>
      </c>
      <c r="Q285" s="293"/>
      <c r="R285" s="294"/>
      <c r="S285" s="295"/>
      <c r="T285" s="295"/>
    </row>
    <row r="286" spans="1:20" s="296" customFormat="1" ht="33" customHeight="1">
      <c r="A286" s="113" t="s">
        <v>512</v>
      </c>
      <c r="B286" s="114" t="s">
        <v>513</v>
      </c>
      <c r="C286" s="113" t="s">
        <v>315</v>
      </c>
      <c r="D286" s="292" t="s">
        <v>514</v>
      </c>
      <c r="E286" s="54">
        <f t="shared" si="19"/>
        <v>287300</v>
      </c>
      <c r="F286" s="57">
        <f>147300+160000-29000+9000</f>
        <v>287300</v>
      </c>
      <c r="G286" s="57"/>
      <c r="H286" s="57"/>
      <c r="I286" s="57"/>
      <c r="J286" s="56">
        <f t="shared" si="21"/>
        <v>0</v>
      </c>
      <c r="K286" s="57"/>
      <c r="L286" s="57">
        <v>0</v>
      </c>
      <c r="M286" s="57">
        <v>0</v>
      </c>
      <c r="N286" s="57">
        <v>0</v>
      </c>
      <c r="O286" s="57">
        <v>0</v>
      </c>
      <c r="P286" s="56">
        <f t="shared" si="20"/>
        <v>287300</v>
      </c>
      <c r="Q286" s="293"/>
      <c r="R286" s="294"/>
      <c r="S286" s="295"/>
      <c r="T286" s="295"/>
    </row>
    <row r="287" spans="1:20" s="296" customFormat="1" ht="30" customHeight="1">
      <c r="A287" s="113" t="s">
        <v>81</v>
      </c>
      <c r="B287" s="114">
        <v>3242</v>
      </c>
      <c r="C287" s="113" t="s">
        <v>319</v>
      </c>
      <c r="D287" s="292" t="s">
        <v>80</v>
      </c>
      <c r="E287" s="54">
        <f t="shared" si="19"/>
        <v>70000</v>
      </c>
      <c r="F287" s="57">
        <v>70000</v>
      </c>
      <c r="G287" s="57"/>
      <c r="H287" s="57"/>
      <c r="I287" s="57"/>
      <c r="J287" s="56">
        <f t="shared" si="21"/>
        <v>0</v>
      </c>
      <c r="K287" s="57"/>
      <c r="L287" s="57">
        <v>0</v>
      </c>
      <c r="M287" s="57">
        <v>0</v>
      </c>
      <c r="N287" s="57">
        <v>0</v>
      </c>
      <c r="O287" s="57">
        <v>0</v>
      </c>
      <c r="P287" s="56">
        <f t="shared" si="20"/>
        <v>70000</v>
      </c>
      <c r="Q287" s="293"/>
      <c r="R287" s="294"/>
      <c r="S287" s="295"/>
      <c r="T287" s="295"/>
    </row>
    <row r="288" spans="1:20" s="203" customFormat="1" ht="31.5" customHeight="1">
      <c r="A288" s="195" t="s">
        <v>507</v>
      </c>
      <c r="B288" s="196"/>
      <c r="C288" s="197"/>
      <c r="D288" s="198" t="s">
        <v>10</v>
      </c>
      <c r="E288" s="199">
        <f t="shared" si="19"/>
        <v>1640861</v>
      </c>
      <c r="F288" s="199">
        <f>F289+F290+F291</f>
        <v>1640861</v>
      </c>
      <c r="G288" s="199">
        <f>G289+G290+G291</f>
        <v>1194974</v>
      </c>
      <c r="H288" s="199">
        <f>H289+H290+H291</f>
        <v>36141</v>
      </c>
      <c r="I288" s="199">
        <f>I289+I290+I291</f>
        <v>0</v>
      </c>
      <c r="J288" s="200">
        <f t="shared" si="21"/>
        <v>15000</v>
      </c>
      <c r="K288" s="199">
        <f>K289+K290+K291</f>
        <v>15000</v>
      </c>
      <c r="L288" s="199">
        <f>L289+L290+L291</f>
        <v>0</v>
      </c>
      <c r="M288" s="199">
        <f>M289+M290+M291</f>
        <v>0</v>
      </c>
      <c r="N288" s="199">
        <f>N289+N290+N291</f>
        <v>0</v>
      </c>
      <c r="O288" s="199">
        <f>O289+O290+O291</f>
        <v>15000</v>
      </c>
      <c r="P288" s="201">
        <f t="shared" si="20"/>
        <v>1655861</v>
      </c>
      <c r="Q288" s="236"/>
      <c r="R288" s="227"/>
      <c r="S288" s="202"/>
      <c r="T288" s="202"/>
    </row>
    <row r="289" spans="1:20" s="59" customFormat="1" ht="37.5" customHeight="1">
      <c r="A289" s="52" t="s">
        <v>508</v>
      </c>
      <c r="B289" s="53" t="s">
        <v>296</v>
      </c>
      <c r="C289" s="52" t="s">
        <v>281</v>
      </c>
      <c r="D289" s="50" t="s">
        <v>297</v>
      </c>
      <c r="E289" s="54">
        <f t="shared" si="19"/>
        <v>1512461</v>
      </c>
      <c r="F289" s="55">
        <f>1490461+7000+15000</f>
        <v>1512461</v>
      </c>
      <c r="G289" s="55">
        <v>1194974</v>
      </c>
      <c r="H289" s="55">
        <f>14141+7000+15000</f>
        <v>36141</v>
      </c>
      <c r="I289" s="55"/>
      <c r="J289" s="56">
        <f t="shared" si="21"/>
        <v>15000</v>
      </c>
      <c r="K289" s="66">
        <v>15000</v>
      </c>
      <c r="L289" s="55">
        <v>0</v>
      </c>
      <c r="M289" s="55">
        <v>0</v>
      </c>
      <c r="N289" s="55">
        <v>0</v>
      </c>
      <c r="O289" s="66">
        <v>15000</v>
      </c>
      <c r="P289" s="58">
        <f t="shared" si="20"/>
        <v>1527461</v>
      </c>
      <c r="Q289" s="223"/>
      <c r="R289" s="96"/>
      <c r="S289" s="83"/>
      <c r="T289" s="83"/>
    </row>
    <row r="290" spans="1:20" s="59" customFormat="1" ht="25.5" customHeight="1">
      <c r="A290" s="52" t="s">
        <v>509</v>
      </c>
      <c r="B290" s="53" t="s">
        <v>286</v>
      </c>
      <c r="C290" s="52" t="s">
        <v>285</v>
      </c>
      <c r="D290" s="50" t="s">
        <v>287</v>
      </c>
      <c r="E290" s="54">
        <f t="shared" si="19"/>
        <v>108000</v>
      </c>
      <c r="F290" s="55">
        <v>108000</v>
      </c>
      <c r="G290" s="55"/>
      <c r="H290" s="55"/>
      <c r="I290" s="55"/>
      <c r="J290" s="56">
        <f t="shared" si="21"/>
        <v>0</v>
      </c>
      <c r="K290" s="66"/>
      <c r="L290" s="55">
        <v>0</v>
      </c>
      <c r="M290" s="55">
        <v>0</v>
      </c>
      <c r="N290" s="55">
        <v>0</v>
      </c>
      <c r="O290" s="66">
        <v>0</v>
      </c>
      <c r="P290" s="58">
        <f t="shared" si="20"/>
        <v>108000</v>
      </c>
      <c r="Q290" s="223"/>
      <c r="R290" s="96"/>
      <c r="S290" s="83"/>
      <c r="T290" s="83"/>
    </row>
    <row r="291" spans="1:20" s="296" customFormat="1" ht="27" customHeight="1">
      <c r="A291" s="113" t="s">
        <v>512</v>
      </c>
      <c r="B291" s="114" t="s">
        <v>513</v>
      </c>
      <c r="C291" s="113" t="s">
        <v>315</v>
      </c>
      <c r="D291" s="292" t="s">
        <v>514</v>
      </c>
      <c r="E291" s="54">
        <f t="shared" si="19"/>
        <v>20400</v>
      </c>
      <c r="F291" s="57">
        <v>20400</v>
      </c>
      <c r="G291" s="57">
        <v>0</v>
      </c>
      <c r="H291" s="57">
        <v>0</v>
      </c>
      <c r="I291" s="57">
        <v>0</v>
      </c>
      <c r="J291" s="56">
        <f t="shared" si="21"/>
        <v>0</v>
      </c>
      <c r="K291" s="57"/>
      <c r="L291" s="57">
        <v>0</v>
      </c>
      <c r="M291" s="57">
        <v>0</v>
      </c>
      <c r="N291" s="57">
        <v>0</v>
      </c>
      <c r="O291" s="57">
        <v>0</v>
      </c>
      <c r="P291" s="56">
        <f t="shared" si="20"/>
        <v>20400</v>
      </c>
      <c r="Q291" s="293"/>
      <c r="R291" s="294"/>
      <c r="S291" s="295"/>
      <c r="T291" s="295"/>
    </row>
    <row r="292" spans="1:20" s="203" customFormat="1" ht="41.25" customHeight="1">
      <c r="A292" s="195" t="s">
        <v>507</v>
      </c>
      <c r="B292" s="196"/>
      <c r="C292" s="197"/>
      <c r="D292" s="198" t="s">
        <v>11</v>
      </c>
      <c r="E292" s="199">
        <f t="shared" si="19"/>
        <v>1641698</v>
      </c>
      <c r="F292" s="199">
        <f>F293+F294+F295</f>
        <v>1641698</v>
      </c>
      <c r="G292" s="199">
        <f>G293+G294+G295</f>
        <v>1172516</v>
      </c>
      <c r="H292" s="199">
        <f>H293+H294+H295</f>
        <v>71400</v>
      </c>
      <c r="I292" s="199">
        <f>I293+I294+I295</f>
        <v>0</v>
      </c>
      <c r="J292" s="200">
        <f t="shared" si="21"/>
        <v>15000</v>
      </c>
      <c r="K292" s="199">
        <f>K293+K294+K295</f>
        <v>15000</v>
      </c>
      <c r="L292" s="199">
        <f>L293+L294+L295</f>
        <v>0</v>
      </c>
      <c r="M292" s="199">
        <f>M293+M294+M295</f>
        <v>0</v>
      </c>
      <c r="N292" s="199">
        <f>N293+N294+N295</f>
        <v>0</v>
      </c>
      <c r="O292" s="199">
        <f>O293+O294+O295</f>
        <v>15000</v>
      </c>
      <c r="P292" s="201">
        <f t="shared" si="20"/>
        <v>1656698</v>
      </c>
      <c r="Q292" s="236"/>
      <c r="R292" s="227"/>
      <c r="S292" s="202"/>
      <c r="T292" s="202"/>
    </row>
    <row r="293" spans="1:20" s="59" customFormat="1" ht="33.75" customHeight="1">
      <c r="A293" s="52" t="s">
        <v>508</v>
      </c>
      <c r="B293" s="53" t="s">
        <v>296</v>
      </c>
      <c r="C293" s="52" t="s">
        <v>281</v>
      </c>
      <c r="D293" s="50" t="s">
        <v>297</v>
      </c>
      <c r="E293" s="54">
        <f t="shared" si="19"/>
        <v>1531598</v>
      </c>
      <c r="F293" s="55">
        <f>1522598+9000</f>
        <v>1531598</v>
      </c>
      <c r="G293" s="55">
        <v>1172516</v>
      </c>
      <c r="H293" s="55">
        <v>71400</v>
      </c>
      <c r="I293" s="55"/>
      <c r="J293" s="56">
        <f t="shared" si="21"/>
        <v>15000</v>
      </c>
      <c r="K293" s="66">
        <v>15000</v>
      </c>
      <c r="L293" s="55">
        <v>0</v>
      </c>
      <c r="M293" s="55">
        <v>0</v>
      </c>
      <c r="N293" s="55">
        <v>0</v>
      </c>
      <c r="O293" s="66">
        <v>15000</v>
      </c>
      <c r="P293" s="58">
        <f t="shared" si="20"/>
        <v>1546598</v>
      </c>
      <c r="Q293" s="223"/>
      <c r="R293" s="96"/>
      <c r="S293" s="83"/>
      <c r="T293" s="83"/>
    </row>
    <row r="294" spans="1:20" s="59" customFormat="1" ht="20.25" customHeight="1">
      <c r="A294" s="52" t="s">
        <v>509</v>
      </c>
      <c r="B294" s="53" t="s">
        <v>286</v>
      </c>
      <c r="C294" s="52" t="s">
        <v>285</v>
      </c>
      <c r="D294" s="50" t="s">
        <v>287</v>
      </c>
      <c r="E294" s="54">
        <f t="shared" si="19"/>
        <v>98600</v>
      </c>
      <c r="F294" s="55">
        <v>98600</v>
      </c>
      <c r="G294" s="55"/>
      <c r="H294" s="55"/>
      <c r="I294" s="55"/>
      <c r="J294" s="56">
        <f t="shared" si="21"/>
        <v>0</v>
      </c>
      <c r="K294" s="66"/>
      <c r="L294" s="55">
        <v>0</v>
      </c>
      <c r="M294" s="55">
        <v>0</v>
      </c>
      <c r="N294" s="55">
        <v>0</v>
      </c>
      <c r="O294" s="66">
        <v>0</v>
      </c>
      <c r="P294" s="58">
        <f t="shared" si="20"/>
        <v>98600</v>
      </c>
      <c r="Q294" s="223"/>
      <c r="R294" s="96"/>
      <c r="S294" s="83"/>
      <c r="T294" s="83"/>
    </row>
    <row r="295" spans="1:20" s="296" customFormat="1" ht="36.75" customHeight="1">
      <c r="A295" s="113" t="s">
        <v>512</v>
      </c>
      <c r="B295" s="114" t="s">
        <v>513</v>
      </c>
      <c r="C295" s="113" t="s">
        <v>315</v>
      </c>
      <c r="D295" s="292" t="s">
        <v>514</v>
      </c>
      <c r="E295" s="54">
        <f t="shared" si="19"/>
        <v>11500</v>
      </c>
      <c r="F295" s="57">
        <v>11500</v>
      </c>
      <c r="G295" s="57">
        <v>0</v>
      </c>
      <c r="H295" s="57">
        <v>0</v>
      </c>
      <c r="I295" s="57">
        <v>0</v>
      </c>
      <c r="J295" s="54">
        <f t="shared" si="21"/>
        <v>0</v>
      </c>
      <c r="K295" s="57"/>
      <c r="L295" s="57">
        <v>0</v>
      </c>
      <c r="M295" s="57">
        <v>0</v>
      </c>
      <c r="N295" s="57">
        <v>0</v>
      </c>
      <c r="O295" s="57">
        <v>0</v>
      </c>
      <c r="P295" s="54">
        <f t="shared" si="20"/>
        <v>11500</v>
      </c>
      <c r="Q295" s="293"/>
      <c r="R295" s="294"/>
      <c r="S295" s="295"/>
      <c r="T295" s="295"/>
    </row>
    <row r="296" spans="1:20" s="203" customFormat="1" ht="35.25" customHeight="1">
      <c r="A296" s="195" t="s">
        <v>507</v>
      </c>
      <c r="B296" s="196"/>
      <c r="C296" s="197"/>
      <c r="D296" s="198" t="s">
        <v>12</v>
      </c>
      <c r="E296" s="199">
        <f t="shared" si="19"/>
        <v>1619313</v>
      </c>
      <c r="F296" s="199">
        <f>F297+F298+F299</f>
        <v>1619313</v>
      </c>
      <c r="G296" s="199">
        <f>G297+G298+G299</f>
        <v>1178637</v>
      </c>
      <c r="H296" s="199">
        <f>H297+H298+H299</f>
        <v>40631</v>
      </c>
      <c r="I296" s="199">
        <f>I297+I298+I299</f>
        <v>0</v>
      </c>
      <c r="J296" s="200">
        <f t="shared" si="21"/>
        <v>15000</v>
      </c>
      <c r="K296" s="199">
        <f>K297+K298+K299</f>
        <v>15000</v>
      </c>
      <c r="L296" s="199">
        <f>L297+L298+L299</f>
        <v>0</v>
      </c>
      <c r="M296" s="199">
        <f>M297+M298+M299</f>
        <v>0</v>
      </c>
      <c r="N296" s="199">
        <f>N297+N298+N299</f>
        <v>0</v>
      </c>
      <c r="O296" s="199">
        <f>O297+O298+O299</f>
        <v>15000</v>
      </c>
      <c r="P296" s="201">
        <f t="shared" si="20"/>
        <v>1634313</v>
      </c>
      <c r="Q296" s="236"/>
      <c r="R296" s="227"/>
      <c r="S296" s="202"/>
      <c r="T296" s="202"/>
    </row>
    <row r="297" spans="1:20" s="59" customFormat="1" ht="36" customHeight="1">
      <c r="A297" s="52" t="s">
        <v>508</v>
      </c>
      <c r="B297" s="53" t="s">
        <v>296</v>
      </c>
      <c r="C297" s="52" t="s">
        <v>281</v>
      </c>
      <c r="D297" s="50" t="s">
        <v>297</v>
      </c>
      <c r="E297" s="54">
        <f t="shared" si="19"/>
        <v>1490725</v>
      </c>
      <c r="F297" s="55">
        <v>1490725</v>
      </c>
      <c r="G297" s="55">
        <v>1178637</v>
      </c>
      <c r="H297" s="55">
        <v>40631</v>
      </c>
      <c r="I297" s="55"/>
      <c r="J297" s="56">
        <f t="shared" si="21"/>
        <v>15000</v>
      </c>
      <c r="K297" s="66">
        <v>15000</v>
      </c>
      <c r="L297" s="55">
        <v>0</v>
      </c>
      <c r="M297" s="55">
        <v>0</v>
      </c>
      <c r="N297" s="55">
        <v>0</v>
      </c>
      <c r="O297" s="66">
        <v>15000</v>
      </c>
      <c r="P297" s="58">
        <f t="shared" si="20"/>
        <v>1505725</v>
      </c>
      <c r="Q297" s="223"/>
      <c r="R297" s="96"/>
      <c r="S297" s="83"/>
      <c r="T297" s="83"/>
    </row>
    <row r="298" spans="1:20" s="59" customFormat="1" ht="21.75" customHeight="1">
      <c r="A298" s="52" t="s">
        <v>509</v>
      </c>
      <c r="B298" s="53" t="s">
        <v>286</v>
      </c>
      <c r="C298" s="52" t="s">
        <v>285</v>
      </c>
      <c r="D298" s="50" t="s">
        <v>287</v>
      </c>
      <c r="E298" s="54">
        <f t="shared" si="19"/>
        <v>111288</v>
      </c>
      <c r="F298" s="55">
        <f>94000+17288</f>
        <v>111288</v>
      </c>
      <c r="G298" s="55"/>
      <c r="H298" s="55"/>
      <c r="I298" s="55"/>
      <c r="J298" s="56">
        <f t="shared" si="21"/>
        <v>0</v>
      </c>
      <c r="K298" s="66"/>
      <c r="L298" s="55">
        <v>0</v>
      </c>
      <c r="M298" s="55">
        <v>0</v>
      </c>
      <c r="N298" s="55">
        <v>0</v>
      </c>
      <c r="O298" s="66">
        <v>0</v>
      </c>
      <c r="P298" s="58">
        <f t="shared" si="20"/>
        <v>111288</v>
      </c>
      <c r="Q298" s="223"/>
      <c r="R298" s="96"/>
      <c r="S298" s="83"/>
      <c r="T298" s="83"/>
    </row>
    <row r="299" spans="1:20" s="296" customFormat="1" ht="33" customHeight="1">
      <c r="A299" s="113" t="s">
        <v>512</v>
      </c>
      <c r="B299" s="114" t="s">
        <v>513</v>
      </c>
      <c r="C299" s="113" t="s">
        <v>315</v>
      </c>
      <c r="D299" s="292" t="s">
        <v>514</v>
      </c>
      <c r="E299" s="54">
        <f t="shared" si="19"/>
        <v>17300</v>
      </c>
      <c r="F299" s="57">
        <v>17300</v>
      </c>
      <c r="G299" s="57">
        <v>0</v>
      </c>
      <c r="H299" s="57">
        <v>0</v>
      </c>
      <c r="I299" s="57">
        <v>0</v>
      </c>
      <c r="J299" s="54">
        <f t="shared" si="21"/>
        <v>0</v>
      </c>
      <c r="K299" s="57"/>
      <c r="L299" s="57">
        <v>0</v>
      </c>
      <c r="M299" s="57">
        <v>0</v>
      </c>
      <c r="N299" s="57">
        <v>0</v>
      </c>
      <c r="O299" s="57">
        <v>0</v>
      </c>
      <c r="P299" s="54">
        <f t="shared" si="20"/>
        <v>17300</v>
      </c>
      <c r="Q299" s="293"/>
      <c r="R299" s="294"/>
      <c r="S299" s="295"/>
      <c r="T299" s="295"/>
    </row>
    <row r="300" spans="1:20" s="133" customFormat="1" ht="21.75" customHeight="1">
      <c r="A300" s="128" t="s">
        <v>173</v>
      </c>
      <c r="B300" s="129"/>
      <c r="C300" s="130"/>
      <c r="D300" s="131" t="s">
        <v>225</v>
      </c>
      <c r="E300" s="108">
        <f t="shared" si="19"/>
        <v>23894590.5</v>
      </c>
      <c r="F300" s="108">
        <f>F301</f>
        <v>23894590.5</v>
      </c>
      <c r="G300" s="108">
        <f>G301</f>
        <v>12173103.51</v>
      </c>
      <c r="H300" s="108">
        <f>H301</f>
        <v>2199727.8</v>
      </c>
      <c r="I300" s="108">
        <f>I301</f>
        <v>0</v>
      </c>
      <c r="J300" s="108">
        <f t="shared" si="21"/>
        <v>1284100</v>
      </c>
      <c r="K300" s="108">
        <f>K301</f>
        <v>1284100</v>
      </c>
      <c r="L300" s="108">
        <f>L301</f>
        <v>0</v>
      </c>
      <c r="M300" s="108">
        <f>M301</f>
        <v>0</v>
      </c>
      <c r="N300" s="108">
        <f>N301</f>
        <v>0</v>
      </c>
      <c r="O300" s="108">
        <f>O301</f>
        <v>1284100</v>
      </c>
      <c r="P300" s="136">
        <f t="shared" si="20"/>
        <v>25178690.5</v>
      </c>
      <c r="Q300" s="237"/>
      <c r="R300" s="238"/>
      <c r="S300" s="132"/>
      <c r="T300" s="132"/>
    </row>
    <row r="301" spans="1:20" s="203" customFormat="1" ht="29.25" customHeight="1">
      <c r="A301" s="197" t="s">
        <v>174</v>
      </c>
      <c r="B301" s="214"/>
      <c r="C301" s="195"/>
      <c r="D301" s="198" t="s">
        <v>485</v>
      </c>
      <c r="E301" s="199">
        <f>F301+I301</f>
        <v>23894590.5</v>
      </c>
      <c r="F301" s="199">
        <f>F302+F303+F304+F305+F306+F307+F308+F309+F310+F311</f>
        <v>23894590.5</v>
      </c>
      <c r="G301" s="199">
        <f>G302+G303+G304+G305+G306+G307+G308+G309+G310+G311</f>
        <v>12173103.51</v>
      </c>
      <c r="H301" s="199">
        <f>H302+H303+H304+H305+H306+H307+H308+H309+H310+H311</f>
        <v>2199727.8</v>
      </c>
      <c r="I301" s="199">
        <f>I302+I303+I304+I305+I306+I307+I308+I309+I310+I311</f>
        <v>0</v>
      </c>
      <c r="J301" s="200">
        <f t="shared" si="21"/>
        <v>1284100</v>
      </c>
      <c r="K301" s="199">
        <f>K302+K303+K304+K305+K306+K307+K308+K309+K310+K311</f>
        <v>1284100</v>
      </c>
      <c r="L301" s="199">
        <f>L302+L303+L304+L305+L306+L307+L308+L309+L310+L311</f>
        <v>0</v>
      </c>
      <c r="M301" s="199">
        <f>M302+M303+M304+M305+M306+M307+M308+M309+M310+M311</f>
        <v>0</v>
      </c>
      <c r="N301" s="199">
        <f>N302+N303+N304+N305+N306+N307+N308+N309+N310+N311</f>
        <v>0</v>
      </c>
      <c r="O301" s="199">
        <f>O302+O303+O304+O305+O306+O307+O308+O309+O310+O311</f>
        <v>1284100</v>
      </c>
      <c r="P301" s="201">
        <f t="shared" si="20"/>
        <v>25178690.5</v>
      </c>
      <c r="Q301" s="239"/>
      <c r="R301" s="227"/>
      <c r="S301" s="202"/>
      <c r="T301" s="202"/>
    </row>
    <row r="302" spans="1:20" s="59" customFormat="1" ht="33" customHeight="1">
      <c r="A302" s="52" t="s">
        <v>255</v>
      </c>
      <c r="B302" s="53" t="s">
        <v>296</v>
      </c>
      <c r="C302" s="52" t="s">
        <v>281</v>
      </c>
      <c r="D302" s="50" t="s">
        <v>297</v>
      </c>
      <c r="E302" s="54">
        <f t="shared" si="19"/>
        <v>1072090</v>
      </c>
      <c r="F302" s="55">
        <f>526860+487230+58000</f>
        <v>1072090</v>
      </c>
      <c r="G302" s="55">
        <f>413735+304320</f>
        <v>718055</v>
      </c>
      <c r="H302" s="55">
        <f>15000+45000</f>
        <v>60000</v>
      </c>
      <c r="I302" s="55"/>
      <c r="J302" s="56">
        <f t="shared" si="21"/>
        <v>44000</v>
      </c>
      <c r="K302" s="66">
        <v>44000</v>
      </c>
      <c r="L302" s="55"/>
      <c r="M302" s="55"/>
      <c r="N302" s="55"/>
      <c r="O302" s="66">
        <v>44000</v>
      </c>
      <c r="P302" s="58">
        <f t="shared" si="20"/>
        <v>1116090</v>
      </c>
      <c r="Q302" s="223"/>
      <c r="R302" s="96"/>
      <c r="S302" s="83"/>
      <c r="T302" s="83"/>
    </row>
    <row r="303" spans="1:20" s="59" customFormat="1" ht="30.75" customHeight="1">
      <c r="A303" s="52" t="s">
        <v>333</v>
      </c>
      <c r="B303" s="53" t="s">
        <v>286</v>
      </c>
      <c r="C303" s="52" t="s">
        <v>285</v>
      </c>
      <c r="D303" s="50" t="s">
        <v>287</v>
      </c>
      <c r="E303" s="54">
        <f>F303+I303</f>
        <v>70000</v>
      </c>
      <c r="F303" s="55">
        <f>50000+20000</f>
        <v>70000</v>
      </c>
      <c r="G303" s="55"/>
      <c r="H303" s="55"/>
      <c r="I303" s="55"/>
      <c r="J303" s="56">
        <f>L303+O303</f>
        <v>0</v>
      </c>
      <c r="K303" s="66"/>
      <c r="L303" s="55">
        <v>0</v>
      </c>
      <c r="M303" s="55">
        <v>0</v>
      </c>
      <c r="N303" s="55">
        <v>0</v>
      </c>
      <c r="O303" s="66">
        <v>0</v>
      </c>
      <c r="P303" s="58">
        <f>E303+J303</f>
        <v>70000</v>
      </c>
      <c r="Q303" s="223"/>
      <c r="R303" s="96"/>
      <c r="S303" s="83"/>
      <c r="T303" s="83"/>
    </row>
    <row r="304" spans="1:20" s="59" customFormat="1" ht="33.75" customHeight="1">
      <c r="A304" s="52" t="s">
        <v>169</v>
      </c>
      <c r="B304" s="53" t="s">
        <v>329</v>
      </c>
      <c r="C304" s="52" t="s">
        <v>315</v>
      </c>
      <c r="D304" s="50" t="s">
        <v>330</v>
      </c>
      <c r="E304" s="54">
        <f aca="true" t="shared" si="25" ref="E304:E311">F304+I304</f>
        <v>2268981</v>
      </c>
      <c r="F304" s="55">
        <f>527150+89000-139245+650000+195000+1000000-52924</f>
        <v>2268981</v>
      </c>
      <c r="G304" s="55">
        <f>45900+3</f>
        <v>45903</v>
      </c>
      <c r="H304" s="55"/>
      <c r="I304" s="66"/>
      <c r="J304" s="56">
        <f t="shared" si="21"/>
        <v>0</v>
      </c>
      <c r="K304" s="66"/>
      <c r="L304" s="55"/>
      <c r="M304" s="55"/>
      <c r="N304" s="55"/>
      <c r="O304" s="66"/>
      <c r="P304" s="58">
        <f t="shared" si="20"/>
        <v>2268981</v>
      </c>
      <c r="Q304" s="223"/>
      <c r="R304" s="96"/>
      <c r="S304" s="83"/>
      <c r="T304" s="83"/>
    </row>
    <row r="305" spans="1:20" s="59" customFormat="1" ht="28.5" customHeight="1">
      <c r="A305" s="52" t="s">
        <v>170</v>
      </c>
      <c r="B305" s="53">
        <v>3242</v>
      </c>
      <c r="C305" s="52" t="s">
        <v>319</v>
      </c>
      <c r="D305" s="59" t="s">
        <v>80</v>
      </c>
      <c r="E305" s="54">
        <f t="shared" si="25"/>
        <v>189023</v>
      </c>
      <c r="F305" s="55">
        <f>310298-60000-61275</f>
        <v>189023</v>
      </c>
      <c r="G305" s="55"/>
      <c r="H305" s="55"/>
      <c r="I305" s="55"/>
      <c r="J305" s="56">
        <f t="shared" si="21"/>
        <v>0</v>
      </c>
      <c r="K305" s="66"/>
      <c r="L305" s="55"/>
      <c r="M305" s="55"/>
      <c r="N305" s="55"/>
      <c r="O305" s="66"/>
      <c r="P305" s="58">
        <f t="shared" si="20"/>
        <v>189023</v>
      </c>
      <c r="Q305" s="223"/>
      <c r="R305" s="96"/>
      <c r="S305" s="83"/>
      <c r="T305" s="83"/>
    </row>
    <row r="306" spans="1:20" s="59" customFormat="1" ht="38.25" customHeight="1">
      <c r="A306" s="52" t="s">
        <v>175</v>
      </c>
      <c r="B306" s="53" t="s">
        <v>354</v>
      </c>
      <c r="C306" s="52" t="s">
        <v>347</v>
      </c>
      <c r="D306" s="50" t="s">
        <v>72</v>
      </c>
      <c r="E306" s="54">
        <f t="shared" si="25"/>
        <v>344304.18</v>
      </c>
      <c r="F306" s="55">
        <f>504300-159995.82</f>
        <v>344304.18</v>
      </c>
      <c r="G306" s="55">
        <f>392900-122337.67</f>
        <v>270562.33</v>
      </c>
      <c r="H306" s="55">
        <f>10200-5323.72</f>
        <v>4876.28</v>
      </c>
      <c r="I306" s="55"/>
      <c r="J306" s="56">
        <f t="shared" si="21"/>
        <v>0</v>
      </c>
      <c r="K306" s="66">
        <f>320000-320000</f>
        <v>0</v>
      </c>
      <c r="L306" s="57"/>
      <c r="M306" s="55"/>
      <c r="N306" s="55"/>
      <c r="O306" s="66">
        <f>320000-320000</f>
        <v>0</v>
      </c>
      <c r="P306" s="58">
        <f t="shared" si="20"/>
        <v>344304.18</v>
      </c>
      <c r="Q306" s="347">
        <f>P306+P307+P308+P309+P310+P311</f>
        <v>21534596.5</v>
      </c>
      <c r="R306" s="96"/>
      <c r="S306" s="83"/>
      <c r="T306" s="83"/>
    </row>
    <row r="307" spans="1:20" s="59" customFormat="1" ht="33.75" customHeight="1">
      <c r="A307" s="52" t="s">
        <v>176</v>
      </c>
      <c r="B307" s="53" t="s">
        <v>356</v>
      </c>
      <c r="C307" s="52" t="s">
        <v>347</v>
      </c>
      <c r="D307" s="50" t="s">
        <v>73</v>
      </c>
      <c r="E307" s="54">
        <f t="shared" si="25"/>
        <v>20390</v>
      </c>
      <c r="F307" s="55">
        <f>55300-34910</f>
        <v>20390</v>
      </c>
      <c r="G307" s="55"/>
      <c r="H307" s="55"/>
      <c r="I307" s="55"/>
      <c r="J307" s="56">
        <f t="shared" si="21"/>
        <v>0</v>
      </c>
      <c r="K307" s="66"/>
      <c r="L307" s="55"/>
      <c r="M307" s="55"/>
      <c r="N307" s="55"/>
      <c r="O307" s="66"/>
      <c r="P307" s="58">
        <f t="shared" si="20"/>
        <v>20390</v>
      </c>
      <c r="Q307" s="347"/>
      <c r="R307" s="96"/>
      <c r="S307" s="83"/>
      <c r="T307" s="83"/>
    </row>
    <row r="308" spans="1:20" s="59" customFormat="1" ht="33.75" customHeight="1">
      <c r="A308" s="52" t="s">
        <v>177</v>
      </c>
      <c r="B308" s="53" t="s">
        <v>360</v>
      </c>
      <c r="C308" s="52" t="s">
        <v>347</v>
      </c>
      <c r="D308" s="50" t="s">
        <v>361</v>
      </c>
      <c r="E308" s="54">
        <f t="shared" si="25"/>
        <v>15788116.64</v>
      </c>
      <c r="F308" s="55">
        <f>20999900+549800+45000-30546-7380841.36+199000+5000+35000+1120000+372204+70000-199000+2600</f>
        <v>15788116.64</v>
      </c>
      <c r="G308" s="55">
        <f>15043300+440600-25038-4919881.36+281950</f>
        <v>10820930.64</v>
      </c>
      <c r="H308" s="55">
        <f>2197700+12455-1295235.04+1500+3000+766441+372204+70000-10000</f>
        <v>2118064.96</v>
      </c>
      <c r="I308" s="55"/>
      <c r="J308" s="56">
        <f t="shared" si="21"/>
        <v>1219800</v>
      </c>
      <c r="K308" s="66">
        <f>1000000+40000-40000+20800+199000</f>
        <v>1219800</v>
      </c>
      <c r="L308" s="55"/>
      <c r="M308" s="55"/>
      <c r="N308" s="55"/>
      <c r="O308" s="66">
        <f>1000000+40000-40000+20800+199000</f>
        <v>1219800</v>
      </c>
      <c r="P308" s="58">
        <f t="shared" si="20"/>
        <v>17007916.64</v>
      </c>
      <c r="Q308" s="223"/>
      <c r="R308" s="96"/>
      <c r="S308" s="83"/>
      <c r="T308" s="83"/>
    </row>
    <row r="309" spans="1:20" s="59" customFormat="1" ht="40.5" customHeight="1">
      <c r="A309" s="52" t="s">
        <v>178</v>
      </c>
      <c r="B309" s="53" t="s">
        <v>363</v>
      </c>
      <c r="C309" s="52" t="s">
        <v>347</v>
      </c>
      <c r="D309" s="50" t="s">
        <v>364</v>
      </c>
      <c r="E309" s="54">
        <f t="shared" si="25"/>
        <v>2061274.08</v>
      </c>
      <c r="F309" s="55">
        <f>4043670-862395.92-1120000</f>
        <v>2061274.08</v>
      </c>
      <c r="G309" s="55"/>
      <c r="H309" s="55"/>
      <c r="I309" s="55"/>
      <c r="J309" s="56">
        <f t="shared" si="21"/>
        <v>0</v>
      </c>
      <c r="K309" s="66"/>
      <c r="L309" s="55"/>
      <c r="M309" s="55"/>
      <c r="N309" s="55"/>
      <c r="O309" s="66"/>
      <c r="P309" s="58">
        <f t="shared" si="20"/>
        <v>2061274.08</v>
      </c>
      <c r="Q309" s="223"/>
      <c r="R309" s="96"/>
      <c r="S309" s="83"/>
      <c r="T309" s="83"/>
    </row>
    <row r="310" spans="1:20" s="59" customFormat="1" ht="49.5" customHeight="1">
      <c r="A310" s="52" t="s">
        <v>179</v>
      </c>
      <c r="B310" s="53" t="s">
        <v>367</v>
      </c>
      <c r="C310" s="52" t="s">
        <v>347</v>
      </c>
      <c r="D310" s="50" t="s">
        <v>368</v>
      </c>
      <c r="E310" s="54">
        <f t="shared" si="25"/>
        <v>1394631.6</v>
      </c>
      <c r="F310" s="55">
        <f>2076056+5700-13400-460999.4+42000-195000+188340-20800-277589+50324</f>
        <v>1394631.6</v>
      </c>
      <c r="G310" s="55">
        <f>441168-123515.46</f>
        <v>317652.54</v>
      </c>
      <c r="H310" s="55">
        <f>29400-12613.44</f>
        <v>16786.559999999998</v>
      </c>
      <c r="I310" s="55"/>
      <c r="J310" s="56">
        <f t="shared" si="21"/>
        <v>20300</v>
      </c>
      <c r="K310" s="66">
        <f>140300-20000-42000-58000</f>
        <v>20300</v>
      </c>
      <c r="L310" s="55"/>
      <c r="M310" s="55"/>
      <c r="N310" s="55"/>
      <c r="O310" s="66">
        <f>140300-20000-42000-58000</f>
        <v>20300</v>
      </c>
      <c r="P310" s="58">
        <f t="shared" si="20"/>
        <v>1414931.6</v>
      </c>
      <c r="Q310" s="223"/>
      <c r="R310" s="96"/>
      <c r="S310" s="83"/>
      <c r="T310" s="83"/>
    </row>
    <row r="311" spans="1:20" s="59" customFormat="1" ht="36.75" customHeight="1">
      <c r="A311" s="52" t="s">
        <v>180</v>
      </c>
      <c r="B311" s="53" t="s">
        <v>370</v>
      </c>
      <c r="C311" s="52" t="s">
        <v>347</v>
      </c>
      <c r="D311" s="50" t="s">
        <v>371</v>
      </c>
      <c r="E311" s="54">
        <f t="shared" si="25"/>
        <v>685780</v>
      </c>
      <c r="F311" s="55">
        <f>1064900-345780-33340</f>
        <v>685780</v>
      </c>
      <c r="G311" s="55"/>
      <c r="H311" s="55"/>
      <c r="I311" s="55"/>
      <c r="J311" s="56">
        <f t="shared" si="21"/>
        <v>0</v>
      </c>
      <c r="K311" s="66"/>
      <c r="L311" s="55"/>
      <c r="M311" s="55"/>
      <c r="N311" s="55"/>
      <c r="O311" s="66"/>
      <c r="P311" s="58">
        <f t="shared" si="20"/>
        <v>685780</v>
      </c>
      <c r="Q311" s="223"/>
      <c r="R311" s="96"/>
      <c r="S311" s="83"/>
      <c r="T311" s="83"/>
    </row>
    <row r="312" spans="1:20" s="138" customFormat="1" ht="22.5" customHeight="1">
      <c r="A312" s="130" t="s">
        <v>515</v>
      </c>
      <c r="B312" s="134"/>
      <c r="C312" s="128"/>
      <c r="D312" s="135" t="s">
        <v>516</v>
      </c>
      <c r="E312" s="108">
        <f t="shared" si="19"/>
        <v>390689603.91</v>
      </c>
      <c r="F312" s="108">
        <f>F313</f>
        <v>386141208.47</v>
      </c>
      <c r="G312" s="108">
        <f>G313</f>
        <v>6086255</v>
      </c>
      <c r="H312" s="108">
        <f>H313</f>
        <v>18494776</v>
      </c>
      <c r="I312" s="108">
        <f>I313</f>
        <v>4548395.4399999995</v>
      </c>
      <c r="J312" s="108">
        <f t="shared" si="21"/>
        <v>408850356.62</v>
      </c>
      <c r="K312" s="108">
        <f>K313</f>
        <v>364248956.62</v>
      </c>
      <c r="L312" s="108">
        <f>L313</f>
        <v>8501400</v>
      </c>
      <c r="M312" s="108">
        <f>M313</f>
        <v>0</v>
      </c>
      <c r="N312" s="108">
        <f>N313</f>
        <v>0</v>
      </c>
      <c r="O312" s="108">
        <f>O313</f>
        <v>400348956.62</v>
      </c>
      <c r="P312" s="136">
        <f t="shared" si="20"/>
        <v>799539960.53</v>
      </c>
      <c r="Q312" s="223"/>
      <c r="R312" s="226"/>
      <c r="S312" s="137"/>
      <c r="T312" s="137"/>
    </row>
    <row r="313" spans="1:20" s="203" customFormat="1" ht="37.5" customHeight="1">
      <c r="A313" s="195" t="s">
        <v>517</v>
      </c>
      <c r="B313" s="196"/>
      <c r="C313" s="197"/>
      <c r="D313" s="204" t="s">
        <v>518</v>
      </c>
      <c r="E313" s="199">
        <f>F313+I313</f>
        <v>390689603.91</v>
      </c>
      <c r="F313" s="199">
        <f>F314+F315+F316+F317+F318+F319+F321+F323+F325+F327+F329+F332+F333+F335+F336+F337+F338+F340+F341+F342+F343+F344+F345+F347+F349+F351+F352+F354+F355+F357+F358+F359+F360+F361</f>
        <v>386141208.47</v>
      </c>
      <c r="G313" s="199">
        <f>G314+G315+G316+G317+G318+G319+G321+G323+G325+G327+G329+G332+G333+G335+G336+G337+G338+G340+G341+G342+G343+G344+G345+G347+G349+G351+G352+G354+G355+G357+G358+G359+G360+G361</f>
        <v>6086255</v>
      </c>
      <c r="H313" s="199">
        <f>H314+H315+H316+H317+H318+H319+H321+H323+H325+H327+H329+H332+H333+H335+H336+H337+H338+H340+H341+H342+H343+H344+H345+H347+H349+H351+H352+H354+H355+H357+H358+H359+H360+H361</f>
        <v>18494776</v>
      </c>
      <c r="I313" s="199">
        <f>I314+I315+I316+I317+I318+I319+I321+I323+I325+I327+I329+I332+I333+I335+I336+I337+I338+I340+I341+I342+I343+I344+I345+I347+I349+I351+I352+I354+I355+I357+I358+I359+I360+I361</f>
        <v>4548395.4399999995</v>
      </c>
      <c r="J313" s="200">
        <f>L313+O313</f>
        <v>408850356.62</v>
      </c>
      <c r="K313" s="199">
        <f>K314+K315+K316+K317+K318+K319+K321+K323+K325+K327+K329+K332+K333+K335+K336+K337+K338+K340+K341+K342+K343+K344+K345+K347+K349+K351+K352+K354+K355+K357+K358+K359+K360+K361</f>
        <v>364248956.62</v>
      </c>
      <c r="L313" s="199">
        <f>L314+L315+L316+L317+L318+L319+L321+L323+L325+L327+L329+L332+L333+L335+L336+L337+L338+L340+L341+L342+L343+L344+L345+L347+L349+L351+L352+L354+L355+L357+L358+L359+L360+L361</f>
        <v>8501400</v>
      </c>
      <c r="M313" s="199">
        <f>M314+M315+M316+M317+M318+M319+M321+M323+M325+M327+M329+M332+M333+M335+M336+M337+M338+M340+M341+M342+M343+M344+M345+M347+M349+M351+M352+M354+M355+M357+M358+M359+M360+M361</f>
        <v>0</v>
      </c>
      <c r="N313" s="199">
        <f>N314+N315+N316+N317+N318+N319+N321+N323+N325+N327+N329+N332+N333+N335+N336+N337+N338+N340+N341+N342+N343+N344+N345+N347+N349+N351+N352+N354+N355+N357+N358+N359+N360+N361</f>
        <v>0</v>
      </c>
      <c r="O313" s="199">
        <f>O314+O315+O316+O317+O318+O319+O321+O323+O325+O327+O329+O332+O333+O335+O336+O337+O338+O340+O341+O342+O343+O344+O345+O347+O349+O351+O352+O354+O355+O357+O358+O359+O360+O361</f>
        <v>400348956.62</v>
      </c>
      <c r="P313" s="201">
        <f>E313+J313</f>
        <v>799539960.53</v>
      </c>
      <c r="Q313" s="223"/>
      <c r="R313" s="227"/>
      <c r="S313" s="202"/>
      <c r="T313" s="202"/>
    </row>
    <row r="314" spans="1:20" s="59" customFormat="1" ht="36" customHeight="1">
      <c r="A314" s="52" t="s">
        <v>519</v>
      </c>
      <c r="B314" s="53" t="s">
        <v>296</v>
      </c>
      <c r="C314" s="52" t="s">
        <v>281</v>
      </c>
      <c r="D314" s="50" t="s">
        <v>297</v>
      </c>
      <c r="E314" s="54">
        <f>F314+I314</f>
        <v>10768705</v>
      </c>
      <c r="F314" s="55">
        <f>9905734+135000+7568+510000-371995+482480+99918</f>
        <v>10768705</v>
      </c>
      <c r="G314" s="55">
        <f>6283369-304914+107800</f>
        <v>6086255</v>
      </c>
      <c r="H314" s="55">
        <v>461694</v>
      </c>
      <c r="I314" s="55"/>
      <c r="J314" s="56">
        <f t="shared" si="21"/>
        <v>1400</v>
      </c>
      <c r="K314" s="66"/>
      <c r="L314" s="55">
        <v>1400</v>
      </c>
      <c r="M314" s="55"/>
      <c r="N314" s="55"/>
      <c r="O314" s="66"/>
      <c r="P314" s="58">
        <f t="shared" si="20"/>
        <v>10770105</v>
      </c>
      <c r="Q314" s="223"/>
      <c r="R314" s="96"/>
      <c r="S314" s="83"/>
      <c r="T314" s="83"/>
    </row>
    <row r="315" spans="1:20" s="59" customFormat="1" ht="39" customHeight="1">
      <c r="A315" s="65" t="s">
        <v>247</v>
      </c>
      <c r="B315" s="65" t="s">
        <v>646</v>
      </c>
      <c r="C315" s="65" t="s">
        <v>137</v>
      </c>
      <c r="D315" s="51" t="s">
        <v>138</v>
      </c>
      <c r="E315" s="54">
        <f t="shared" si="19"/>
        <v>10000</v>
      </c>
      <c r="F315" s="66">
        <v>10000</v>
      </c>
      <c r="G315" s="55"/>
      <c r="H315" s="55"/>
      <c r="I315" s="55"/>
      <c r="J315" s="56">
        <f t="shared" si="21"/>
        <v>0</v>
      </c>
      <c r="K315" s="66"/>
      <c r="L315" s="55"/>
      <c r="M315" s="55"/>
      <c r="N315" s="55"/>
      <c r="O315" s="66"/>
      <c r="P315" s="58">
        <f aca="true" t="shared" si="26" ref="P315:P379">E315+J315</f>
        <v>10000</v>
      </c>
      <c r="Q315" s="223"/>
      <c r="R315" s="96"/>
      <c r="S315" s="83"/>
      <c r="T315" s="83"/>
    </row>
    <row r="316" spans="1:20" s="59" customFormat="1" ht="24" customHeight="1">
      <c r="A316" s="52" t="s">
        <v>520</v>
      </c>
      <c r="B316" s="53" t="s">
        <v>286</v>
      </c>
      <c r="C316" s="52" t="s">
        <v>285</v>
      </c>
      <c r="D316" s="50" t="s">
        <v>287</v>
      </c>
      <c r="E316" s="54">
        <f t="shared" si="19"/>
        <v>306945</v>
      </c>
      <c r="F316" s="55">
        <f>247500+59445</f>
        <v>306945</v>
      </c>
      <c r="G316" s="55"/>
      <c r="H316" s="55"/>
      <c r="I316" s="55"/>
      <c r="J316" s="56">
        <f t="shared" si="21"/>
        <v>0</v>
      </c>
      <c r="K316" s="66"/>
      <c r="L316" s="55"/>
      <c r="M316" s="55"/>
      <c r="N316" s="55"/>
      <c r="O316" s="66"/>
      <c r="P316" s="58">
        <f t="shared" si="26"/>
        <v>306945</v>
      </c>
      <c r="Q316" s="223"/>
      <c r="R316" s="96"/>
      <c r="S316" s="83"/>
      <c r="T316" s="83"/>
    </row>
    <row r="317" spans="1:20" s="85" customFormat="1" ht="24" customHeight="1">
      <c r="A317" s="65" t="s">
        <v>74</v>
      </c>
      <c r="B317" s="53">
        <v>3210</v>
      </c>
      <c r="C317" s="52" t="s">
        <v>521</v>
      </c>
      <c r="D317" s="50" t="s">
        <v>522</v>
      </c>
      <c r="E317" s="54">
        <f t="shared" si="19"/>
        <v>265000</v>
      </c>
      <c r="F317" s="55">
        <f>250000+15000</f>
        <v>265000</v>
      </c>
      <c r="G317" s="55"/>
      <c r="H317" s="55"/>
      <c r="I317" s="55"/>
      <c r="J317" s="56">
        <f t="shared" si="21"/>
        <v>0</v>
      </c>
      <c r="K317" s="66"/>
      <c r="L317" s="55">
        <v>0</v>
      </c>
      <c r="M317" s="55">
        <v>0</v>
      </c>
      <c r="N317" s="55">
        <v>0</v>
      </c>
      <c r="O317" s="66">
        <v>0</v>
      </c>
      <c r="P317" s="58">
        <f t="shared" si="26"/>
        <v>265000</v>
      </c>
      <c r="Q317" s="223"/>
      <c r="R317" s="224"/>
      <c r="S317" s="84"/>
      <c r="T317" s="84"/>
    </row>
    <row r="318" spans="1:20" s="59" customFormat="1" ht="24" customHeight="1">
      <c r="A318" s="65" t="s">
        <v>2</v>
      </c>
      <c r="B318" s="53">
        <v>5041</v>
      </c>
      <c r="C318" s="65" t="s">
        <v>347</v>
      </c>
      <c r="D318" s="50" t="s">
        <v>365</v>
      </c>
      <c r="E318" s="54">
        <f>F318+I318</f>
        <v>6912730</v>
      </c>
      <c r="F318" s="55">
        <v>6912730</v>
      </c>
      <c r="G318" s="55"/>
      <c r="H318" s="55"/>
      <c r="I318" s="55"/>
      <c r="J318" s="56">
        <f>L318+O318</f>
        <v>820000</v>
      </c>
      <c r="K318" s="66">
        <v>820000</v>
      </c>
      <c r="L318" s="55">
        <v>0</v>
      </c>
      <c r="M318" s="55">
        <v>0</v>
      </c>
      <c r="N318" s="55">
        <v>0</v>
      </c>
      <c r="O318" s="66">
        <v>820000</v>
      </c>
      <c r="P318" s="58">
        <f t="shared" si="26"/>
        <v>7732730</v>
      </c>
      <c r="Q318" s="347">
        <f>P318+P319+P321</f>
        <v>74986808.16</v>
      </c>
      <c r="R318" s="96"/>
      <c r="S318" s="83"/>
      <c r="T318" s="83"/>
    </row>
    <row r="319" spans="1:20" s="59" customFormat="1" ht="49.5" customHeight="1">
      <c r="A319" s="113" t="s">
        <v>90</v>
      </c>
      <c r="B319" s="53">
        <v>5043</v>
      </c>
      <c r="C319" s="65" t="s">
        <v>347</v>
      </c>
      <c r="D319" s="50" t="s">
        <v>91</v>
      </c>
      <c r="E319" s="54">
        <f>F319+I319</f>
        <v>0</v>
      </c>
      <c r="F319" s="55"/>
      <c r="G319" s="55"/>
      <c r="H319" s="55"/>
      <c r="I319" s="55"/>
      <c r="J319" s="56">
        <f>L319+O319</f>
        <v>60000000</v>
      </c>
      <c r="K319" s="66">
        <f>60000000</f>
        <v>60000000</v>
      </c>
      <c r="L319" s="57"/>
      <c r="M319" s="57"/>
      <c r="N319" s="57"/>
      <c r="O319" s="66">
        <f>60000000</f>
        <v>60000000</v>
      </c>
      <c r="P319" s="58">
        <f>E319+J319</f>
        <v>60000000</v>
      </c>
      <c r="Q319" s="223"/>
      <c r="R319" s="96"/>
      <c r="S319" s="83"/>
      <c r="T319" s="83"/>
    </row>
    <row r="320" spans="1:20" s="82" customFormat="1" ht="69" customHeight="1">
      <c r="A320" s="18"/>
      <c r="B320" s="19"/>
      <c r="C320" s="18"/>
      <c r="D320" s="3" t="s">
        <v>92</v>
      </c>
      <c r="E320" s="22">
        <f>F320+I320</f>
        <v>0</v>
      </c>
      <c r="F320" s="23"/>
      <c r="G320" s="23"/>
      <c r="H320" s="23"/>
      <c r="I320" s="23"/>
      <c r="J320" s="24">
        <f>L320+O320</f>
        <v>60000000</v>
      </c>
      <c r="K320" s="48">
        <f>0+60000000</f>
        <v>60000000</v>
      </c>
      <c r="L320" s="23"/>
      <c r="M320" s="23"/>
      <c r="N320" s="23"/>
      <c r="O320" s="48">
        <f>0+60000000</f>
        <v>60000000</v>
      </c>
      <c r="P320" s="25">
        <f>E320+J320</f>
        <v>60000000</v>
      </c>
      <c r="Q320" s="228">
        <f>P320</f>
        <v>60000000</v>
      </c>
      <c r="R320" s="264" t="s">
        <v>438</v>
      </c>
      <c r="S320" s="81"/>
      <c r="T320" s="81"/>
    </row>
    <row r="321" spans="1:20" s="59" customFormat="1" ht="44.25" customHeight="1">
      <c r="A321" s="52" t="s">
        <v>417</v>
      </c>
      <c r="B321" s="53">
        <v>5045</v>
      </c>
      <c r="C321" s="65" t="s">
        <v>347</v>
      </c>
      <c r="D321" s="50" t="s">
        <v>418</v>
      </c>
      <c r="E321" s="54">
        <f>F321+I321</f>
        <v>0</v>
      </c>
      <c r="F321" s="55">
        <v>0</v>
      </c>
      <c r="G321" s="55">
        <v>0</v>
      </c>
      <c r="H321" s="55">
        <v>0</v>
      </c>
      <c r="I321" s="55">
        <v>0</v>
      </c>
      <c r="J321" s="56">
        <f>L321+O321</f>
        <v>7254078.16</v>
      </c>
      <c r="K321" s="66">
        <f>0+3674000+240000+3340078.16</f>
        <v>7254078.16</v>
      </c>
      <c r="L321" s="57"/>
      <c r="M321" s="57"/>
      <c r="N321" s="57"/>
      <c r="O321" s="66">
        <f>0+3674000+240000+3340078.16</f>
        <v>7254078.16</v>
      </c>
      <c r="P321" s="58">
        <f>E321+J321</f>
        <v>7254078.16</v>
      </c>
      <c r="Q321" s="223"/>
      <c r="R321" s="96"/>
      <c r="S321" s="83"/>
      <c r="T321" s="83"/>
    </row>
    <row r="322" spans="1:20" s="82" customFormat="1" ht="66.75" customHeight="1">
      <c r="A322" s="18"/>
      <c r="B322" s="19"/>
      <c r="C322" s="18"/>
      <c r="D322" s="3" t="s">
        <v>419</v>
      </c>
      <c r="E322" s="22">
        <f>F322+I322</f>
        <v>0</v>
      </c>
      <c r="F322" s="23"/>
      <c r="G322" s="23"/>
      <c r="H322" s="23"/>
      <c r="I322" s="23"/>
      <c r="J322" s="24">
        <f>L322+O322</f>
        <v>3674000</v>
      </c>
      <c r="K322" s="48">
        <v>3674000</v>
      </c>
      <c r="L322" s="23"/>
      <c r="M322" s="23"/>
      <c r="N322" s="23"/>
      <c r="O322" s="48">
        <v>3674000</v>
      </c>
      <c r="P322" s="25">
        <f>E322+J322</f>
        <v>3674000</v>
      </c>
      <c r="Q322" s="228">
        <f>P322</f>
        <v>3674000</v>
      </c>
      <c r="R322" s="280" t="s">
        <v>260</v>
      </c>
      <c r="S322" s="81"/>
      <c r="T322" s="81"/>
    </row>
    <row r="323" spans="1:20" s="85" customFormat="1" ht="24" customHeight="1">
      <c r="A323" s="52" t="s">
        <v>523</v>
      </c>
      <c r="B323" s="53" t="s">
        <v>525</v>
      </c>
      <c r="C323" s="65" t="s">
        <v>534</v>
      </c>
      <c r="D323" s="50" t="s">
        <v>526</v>
      </c>
      <c r="E323" s="54">
        <f aca="true" t="shared" si="27" ref="E323:E333">F323+I323</f>
        <v>0</v>
      </c>
      <c r="F323" s="55">
        <v>0</v>
      </c>
      <c r="G323" s="55">
        <v>0</v>
      </c>
      <c r="H323" s="55">
        <v>0</v>
      </c>
      <c r="I323" s="55">
        <v>0</v>
      </c>
      <c r="J323" s="56">
        <f aca="true" t="shared" si="28" ref="J323:J384">L323+O323</f>
        <v>83745000</v>
      </c>
      <c r="K323" s="66">
        <f>57630480-2797000+9000000-208000-40000-156378-130000+36000000-3065385-11708731-295000-106000-1283516-1371801-43669+200000+130000+990000+1000000</f>
        <v>83745000</v>
      </c>
      <c r="L323" s="55">
        <v>0</v>
      </c>
      <c r="M323" s="55">
        <v>0</v>
      </c>
      <c r="N323" s="55">
        <v>0</v>
      </c>
      <c r="O323" s="66">
        <f>57630480-2797000+9000000-208000-40000-156378-130000+36000000-3065385-11708731-295000-106000-1283516-1371801-43669+200000+130000+990000+1000000</f>
        <v>83745000</v>
      </c>
      <c r="P323" s="58">
        <f t="shared" si="26"/>
        <v>83745000</v>
      </c>
      <c r="Q323" s="223"/>
      <c r="R323" s="224"/>
      <c r="S323" s="84"/>
      <c r="T323" s="84"/>
    </row>
    <row r="324" spans="1:20" s="87" customFormat="1" ht="32.25" customHeight="1">
      <c r="A324" s="18"/>
      <c r="B324" s="19"/>
      <c r="C324" s="18"/>
      <c r="D324" s="3" t="s">
        <v>205</v>
      </c>
      <c r="E324" s="22">
        <f t="shared" si="27"/>
        <v>0</v>
      </c>
      <c r="F324" s="23"/>
      <c r="G324" s="23"/>
      <c r="H324" s="23"/>
      <c r="I324" s="23"/>
      <c r="J324" s="24">
        <f t="shared" si="28"/>
        <v>79870000</v>
      </c>
      <c r="K324" s="48">
        <f>35000000+9000000-130000+36000000</f>
        <v>79870000</v>
      </c>
      <c r="L324" s="23"/>
      <c r="M324" s="23"/>
      <c r="N324" s="23"/>
      <c r="O324" s="48">
        <f>35000000+9000000-130000+36000000</f>
        <v>79870000</v>
      </c>
      <c r="P324" s="25">
        <f t="shared" si="26"/>
        <v>79870000</v>
      </c>
      <c r="Q324" s="228">
        <f>P324+P326+P328+P331</f>
        <v>148000000</v>
      </c>
      <c r="R324" s="264" t="s">
        <v>439</v>
      </c>
      <c r="S324" s="86"/>
      <c r="T324" s="86"/>
    </row>
    <row r="325" spans="1:20" s="85" customFormat="1" ht="34.5" customHeight="1">
      <c r="A325" s="65" t="s">
        <v>34</v>
      </c>
      <c r="B325" s="53">
        <v>6012</v>
      </c>
      <c r="C325" s="65" t="s">
        <v>524</v>
      </c>
      <c r="D325" s="51" t="s">
        <v>35</v>
      </c>
      <c r="E325" s="54">
        <f t="shared" si="27"/>
        <v>23550000</v>
      </c>
      <c r="F325" s="55">
        <f>21000000+50000+2500000</f>
        <v>23550000</v>
      </c>
      <c r="G325" s="55"/>
      <c r="H325" s="55"/>
      <c r="I325" s="55"/>
      <c r="J325" s="56">
        <f t="shared" si="28"/>
        <v>0</v>
      </c>
      <c r="K325" s="31"/>
      <c r="L325" s="29"/>
      <c r="M325" s="29"/>
      <c r="N325" s="29"/>
      <c r="O325" s="31"/>
      <c r="P325" s="58">
        <f t="shared" si="26"/>
        <v>23550000</v>
      </c>
      <c r="Q325" s="223"/>
      <c r="R325" s="224"/>
      <c r="S325" s="84"/>
      <c r="T325" s="84"/>
    </row>
    <row r="326" spans="1:20" s="87" customFormat="1" ht="28.5" customHeight="1">
      <c r="A326" s="18"/>
      <c r="B326" s="19"/>
      <c r="C326" s="34"/>
      <c r="D326" s="21" t="s">
        <v>205</v>
      </c>
      <c r="E326" s="22">
        <f>F326+I326</f>
        <v>21000000</v>
      </c>
      <c r="F326" s="23">
        <v>21000000</v>
      </c>
      <c r="G326" s="23"/>
      <c r="H326" s="23"/>
      <c r="I326" s="23"/>
      <c r="J326" s="24">
        <f>L326+O326</f>
        <v>0</v>
      </c>
      <c r="K326" s="48"/>
      <c r="L326" s="23"/>
      <c r="M326" s="23"/>
      <c r="N326" s="23"/>
      <c r="O326" s="48"/>
      <c r="P326" s="25">
        <f>E326+J326</f>
        <v>21000000</v>
      </c>
      <c r="Q326" s="228"/>
      <c r="R326" s="264" t="s">
        <v>439</v>
      </c>
      <c r="S326" s="86"/>
      <c r="T326" s="86"/>
    </row>
    <row r="327" spans="1:20" s="85" customFormat="1" ht="26.25" customHeight="1">
      <c r="A327" s="65" t="s">
        <v>218</v>
      </c>
      <c r="B327" s="53">
        <v>6015</v>
      </c>
      <c r="C327" s="65" t="s">
        <v>524</v>
      </c>
      <c r="D327" s="51" t="s">
        <v>219</v>
      </c>
      <c r="E327" s="54">
        <f t="shared" si="27"/>
        <v>0</v>
      </c>
      <c r="F327" s="55"/>
      <c r="G327" s="55"/>
      <c r="H327" s="55"/>
      <c r="I327" s="55"/>
      <c r="J327" s="56">
        <f t="shared" si="28"/>
        <v>18130000</v>
      </c>
      <c r="K327" s="66">
        <f>10000000+8000000+130000</f>
        <v>18130000</v>
      </c>
      <c r="L327" s="55"/>
      <c r="M327" s="55"/>
      <c r="N327" s="55"/>
      <c r="O327" s="66">
        <f>10000000+8000000+130000</f>
        <v>18130000</v>
      </c>
      <c r="P327" s="58">
        <f t="shared" si="26"/>
        <v>18130000</v>
      </c>
      <c r="Q327" s="223"/>
      <c r="R327" s="224"/>
      <c r="S327" s="84"/>
      <c r="T327" s="84"/>
    </row>
    <row r="328" spans="1:20" s="87" customFormat="1" ht="32.25" customHeight="1">
      <c r="A328" s="18"/>
      <c r="B328" s="19"/>
      <c r="C328" s="18"/>
      <c r="D328" s="3" t="s">
        <v>205</v>
      </c>
      <c r="E328" s="22">
        <f t="shared" si="27"/>
        <v>0</v>
      </c>
      <c r="F328" s="23"/>
      <c r="G328" s="23"/>
      <c r="H328" s="23"/>
      <c r="I328" s="23"/>
      <c r="J328" s="24">
        <f t="shared" si="28"/>
        <v>18130000</v>
      </c>
      <c r="K328" s="48">
        <f>10000000+8000000+130000</f>
        <v>18130000</v>
      </c>
      <c r="L328" s="23"/>
      <c r="M328" s="23"/>
      <c r="N328" s="23"/>
      <c r="O328" s="48">
        <f>10000000+8000000+130000</f>
        <v>18130000</v>
      </c>
      <c r="P328" s="25">
        <f>E328+J328</f>
        <v>18130000</v>
      </c>
      <c r="Q328" s="228"/>
      <c r="R328" s="264" t="s">
        <v>439</v>
      </c>
      <c r="S328" s="86"/>
      <c r="T328" s="86"/>
    </row>
    <row r="329" spans="1:20" s="85" customFormat="1" ht="34.5" customHeight="1">
      <c r="A329" s="52" t="s">
        <v>52</v>
      </c>
      <c r="B329" s="53">
        <v>6017</v>
      </c>
      <c r="C329" s="65" t="s">
        <v>524</v>
      </c>
      <c r="D329" s="51" t="s">
        <v>53</v>
      </c>
      <c r="E329" s="54">
        <f t="shared" si="27"/>
        <v>87842317.69000001</v>
      </c>
      <c r="F329" s="55">
        <f>93686000+4000000-21000000+133312+17239-7000000+35000+36000+112740.72+39000-1139900+195000+247500-709500+7200000+403151+83861+59508.12+26422+108877.56-22000-26422+14000+51600+44396-50000-75376.99+155520+30000-40900-4976000-1300000+78104.56-15000+168960+19199.76+199409.52-482480-94000-90751-283200+7000+33600+500000+9450+6361+59840+150000+5000000+5000000-14000+50400+7000+7000+10500-18000+4143000</f>
        <v>84791422.25000001</v>
      </c>
      <c r="G329" s="55">
        <v>0</v>
      </c>
      <c r="H329" s="55">
        <v>0</v>
      </c>
      <c r="I329" s="55">
        <f>2000000+500000+618000-78104.56+11000</f>
        <v>3050895.44</v>
      </c>
      <c r="J329" s="56">
        <f t="shared" si="28"/>
        <v>6177942</v>
      </c>
      <c r="K329" s="66">
        <f>1205000+29350+244740+1100000+2000000-247500+159000+190000+26422-51600-193140+40900-190000+189000+1000000-189000+790895-26422+12297+88000</f>
        <v>6177942</v>
      </c>
      <c r="L329" s="55">
        <v>0</v>
      </c>
      <c r="M329" s="55">
        <v>0</v>
      </c>
      <c r="N329" s="55">
        <v>0</v>
      </c>
      <c r="O329" s="66">
        <f>1205000+29350+244740+1100000+2000000-247500+159000+190000+26422-51600-193140+40900-190000+189000+1000000-189000+790895-26422+12297+88000</f>
        <v>6177942</v>
      </c>
      <c r="P329" s="58">
        <f>E329+J329</f>
        <v>94020259.69000001</v>
      </c>
      <c r="Q329" s="223"/>
      <c r="R329" s="224"/>
      <c r="S329" s="84"/>
      <c r="T329" s="84"/>
    </row>
    <row r="330" spans="1:20" s="87" customFormat="1" ht="35.25" customHeight="1">
      <c r="A330" s="18"/>
      <c r="B330" s="19"/>
      <c r="C330" s="34"/>
      <c r="D330" s="3" t="s">
        <v>226</v>
      </c>
      <c r="E330" s="22">
        <f t="shared" si="27"/>
        <v>147100</v>
      </c>
      <c r="F330" s="23">
        <f>35000+36000+26422-26422+14000+7000+33600-14000+7000+7000+10500</f>
        <v>136100</v>
      </c>
      <c r="G330" s="23"/>
      <c r="H330" s="23"/>
      <c r="I330" s="23">
        <f>4000+7000</f>
        <v>11000</v>
      </c>
      <c r="J330" s="24">
        <f t="shared" si="28"/>
        <v>12297</v>
      </c>
      <c r="K330" s="48">
        <f>0+26422-26422+12297</f>
        <v>12297</v>
      </c>
      <c r="L330" s="23"/>
      <c r="M330" s="23"/>
      <c r="N330" s="23"/>
      <c r="O330" s="48">
        <f>0+26422-26422+12297</f>
        <v>12297</v>
      </c>
      <c r="P330" s="25">
        <f>E330+J330</f>
        <v>159397</v>
      </c>
      <c r="Q330" s="228"/>
      <c r="R330" s="264" t="s">
        <v>439</v>
      </c>
      <c r="S330" s="86"/>
      <c r="T330" s="86"/>
    </row>
    <row r="331" spans="1:20" s="87" customFormat="1" ht="30" customHeight="1">
      <c r="A331" s="18"/>
      <c r="B331" s="19"/>
      <c r="C331" s="34"/>
      <c r="D331" s="21" t="s">
        <v>205</v>
      </c>
      <c r="E331" s="22">
        <f t="shared" si="27"/>
        <v>29000000</v>
      </c>
      <c r="F331" s="23">
        <f>50000000-21000000</f>
        <v>29000000</v>
      </c>
      <c r="G331" s="23"/>
      <c r="H331" s="23"/>
      <c r="I331" s="23"/>
      <c r="J331" s="24">
        <f t="shared" si="28"/>
        <v>0</v>
      </c>
      <c r="K331" s="48"/>
      <c r="L331" s="23"/>
      <c r="M331" s="23"/>
      <c r="N331" s="23"/>
      <c r="O331" s="48"/>
      <c r="P331" s="25">
        <f>E331+J331</f>
        <v>29000000</v>
      </c>
      <c r="Q331" s="228"/>
      <c r="R331" s="264" t="s">
        <v>439</v>
      </c>
      <c r="S331" s="86"/>
      <c r="T331" s="86"/>
    </row>
    <row r="332" spans="1:20" s="85" customFormat="1" ht="48" customHeight="1">
      <c r="A332" s="52" t="s">
        <v>527</v>
      </c>
      <c r="B332" s="53" t="s">
        <v>528</v>
      </c>
      <c r="C332" s="52" t="s">
        <v>524</v>
      </c>
      <c r="D332" s="50" t="s">
        <v>529</v>
      </c>
      <c r="E332" s="54">
        <f t="shared" si="27"/>
        <v>6261000</v>
      </c>
      <c r="F332" s="55">
        <f>6200000+61000</f>
        <v>6261000</v>
      </c>
      <c r="G332" s="55"/>
      <c r="H332" s="55"/>
      <c r="I332" s="55"/>
      <c r="J332" s="56">
        <f t="shared" si="28"/>
        <v>0</v>
      </c>
      <c r="K332" s="66"/>
      <c r="L332" s="55">
        <v>0</v>
      </c>
      <c r="M332" s="55">
        <v>0</v>
      </c>
      <c r="N332" s="55">
        <v>0</v>
      </c>
      <c r="O332" s="66"/>
      <c r="P332" s="58">
        <f t="shared" si="26"/>
        <v>6261000</v>
      </c>
      <c r="Q332" s="223"/>
      <c r="R332" s="224"/>
      <c r="S332" s="84"/>
      <c r="T332" s="84"/>
    </row>
    <row r="333" spans="1:20" s="85" customFormat="1" ht="27" customHeight="1">
      <c r="A333" s="52" t="s">
        <v>530</v>
      </c>
      <c r="B333" s="53" t="s">
        <v>531</v>
      </c>
      <c r="C333" s="52" t="s">
        <v>524</v>
      </c>
      <c r="D333" s="50" t="s">
        <v>532</v>
      </c>
      <c r="E333" s="54">
        <f t="shared" si="27"/>
        <v>152340883.22</v>
      </c>
      <c r="F333" s="55">
        <f>140531962+2797000+2566626+314302.42+48779.63+64800+199000+3000000+35998.63-4282300+170990.83+195000-39000+599700-195000+199516+8782379.87+134500+7000+599000-1035000+199999+300000-65000+57500+304821+199999-90000+21000+7200+5000000+1050000-2000000-354000-1500000-990000-550000-112000+190000-2988973.16-70000-7000-1388000-70000+600000-99918</f>
        <v>152340883.22</v>
      </c>
      <c r="G333" s="55"/>
      <c r="H333" s="55">
        <f>15133000+3000000-99918</f>
        <v>18033082</v>
      </c>
      <c r="I333" s="55"/>
      <c r="J333" s="56">
        <f t="shared" si="28"/>
        <v>24074680.1</v>
      </c>
      <c r="K333" s="66">
        <f>19294000+156378+3000000-64800+2200000-8000000-40000+8000000+22500-200000+21065-599000-50000+2395000-39000-80000-199999+22100.1+7500-199999-150000-70000-1342000-21065+12000</f>
        <v>24074680.1</v>
      </c>
      <c r="L333" s="55">
        <v>0</v>
      </c>
      <c r="M333" s="55">
        <v>0</v>
      </c>
      <c r="N333" s="55">
        <v>0</v>
      </c>
      <c r="O333" s="66">
        <f>19294000+156378+3000000-64800+2200000-8000000-40000+8000000+22500-200000+21065-599000-50000+2395000-39000-80000-199999+22100.1+7500-199999-150000-70000-1342000-21065+12000</f>
        <v>24074680.1</v>
      </c>
      <c r="P333" s="58">
        <f t="shared" si="26"/>
        <v>176415563.32</v>
      </c>
      <c r="Q333" s="223"/>
      <c r="R333" s="224"/>
      <c r="S333" s="84"/>
      <c r="T333" s="84"/>
    </row>
    <row r="334" spans="1:20" s="87" customFormat="1" ht="31.5" customHeight="1">
      <c r="A334" s="18"/>
      <c r="B334" s="19"/>
      <c r="C334" s="34"/>
      <c r="D334" s="3" t="s">
        <v>226</v>
      </c>
      <c r="E334" s="22">
        <f>F334+I334</f>
        <v>28200</v>
      </c>
      <c r="F334" s="23">
        <f>0+7000+21000+7200-7000</f>
        <v>28200</v>
      </c>
      <c r="G334" s="23"/>
      <c r="H334" s="23"/>
      <c r="I334" s="23"/>
      <c r="J334" s="24">
        <f>L334+O334</f>
        <v>12000</v>
      </c>
      <c r="K334" s="48">
        <f>0+21065-21065+12000</f>
        <v>12000</v>
      </c>
      <c r="L334" s="23"/>
      <c r="M334" s="23"/>
      <c r="N334" s="23"/>
      <c r="O334" s="48">
        <f>0+21065-21065+12000</f>
        <v>12000</v>
      </c>
      <c r="P334" s="25">
        <f>E334+J334</f>
        <v>40200</v>
      </c>
      <c r="Q334" s="228"/>
      <c r="R334" s="264" t="s">
        <v>439</v>
      </c>
      <c r="S334" s="86"/>
      <c r="T334" s="86"/>
    </row>
    <row r="335" spans="1:20" s="85" customFormat="1" ht="29.25" customHeight="1">
      <c r="A335" s="52" t="s">
        <v>533</v>
      </c>
      <c r="B335" s="53" t="s">
        <v>535</v>
      </c>
      <c r="C335" s="52" t="s">
        <v>534</v>
      </c>
      <c r="D335" s="50" t="s">
        <v>536</v>
      </c>
      <c r="E335" s="54">
        <f aca="true" t="shared" si="29" ref="E335:E361">F335+I335</f>
        <v>1497500</v>
      </c>
      <c r="F335" s="55"/>
      <c r="G335" s="55"/>
      <c r="H335" s="55"/>
      <c r="I335" s="55">
        <v>1497500</v>
      </c>
      <c r="J335" s="56">
        <f t="shared" si="28"/>
        <v>0</v>
      </c>
      <c r="K335" s="66"/>
      <c r="L335" s="55"/>
      <c r="M335" s="55"/>
      <c r="N335" s="55"/>
      <c r="O335" s="66"/>
      <c r="P335" s="58">
        <f t="shared" si="26"/>
        <v>1497500</v>
      </c>
      <c r="Q335" s="223"/>
      <c r="R335" s="224"/>
      <c r="S335" s="84"/>
      <c r="T335" s="84"/>
    </row>
    <row r="336" spans="1:20" s="85" customFormat="1" ht="23.25" customHeight="1">
      <c r="A336" s="52" t="s">
        <v>537</v>
      </c>
      <c r="B336" s="53" t="s">
        <v>539</v>
      </c>
      <c r="C336" s="52" t="s">
        <v>538</v>
      </c>
      <c r="D336" s="50" t="s">
        <v>540</v>
      </c>
      <c r="E336" s="54">
        <f t="shared" si="29"/>
        <v>70000</v>
      </c>
      <c r="F336" s="57">
        <f>20000+50000</f>
        <v>70000</v>
      </c>
      <c r="G336" s="55"/>
      <c r="H336" s="55"/>
      <c r="I336" s="55"/>
      <c r="J336" s="56">
        <f t="shared" si="28"/>
        <v>0</v>
      </c>
      <c r="K336" s="66"/>
      <c r="L336" s="55"/>
      <c r="M336" s="55"/>
      <c r="N336" s="55"/>
      <c r="O336" s="66"/>
      <c r="P336" s="58">
        <f t="shared" si="26"/>
        <v>70000</v>
      </c>
      <c r="Q336" s="223"/>
      <c r="R336" s="224"/>
      <c r="S336" s="84"/>
      <c r="T336" s="84"/>
    </row>
    <row r="337" spans="1:20" s="85" customFormat="1" ht="26.25" customHeight="1">
      <c r="A337" s="65" t="s">
        <v>96</v>
      </c>
      <c r="B337" s="53">
        <v>7130</v>
      </c>
      <c r="C337" s="65" t="s">
        <v>617</v>
      </c>
      <c r="D337" s="50" t="s">
        <v>97</v>
      </c>
      <c r="E337" s="54">
        <f t="shared" si="29"/>
        <v>54000</v>
      </c>
      <c r="F337" s="55">
        <v>54000</v>
      </c>
      <c r="G337" s="55"/>
      <c r="H337" s="55"/>
      <c r="I337" s="55"/>
      <c r="J337" s="56">
        <f t="shared" si="28"/>
        <v>0</v>
      </c>
      <c r="K337" s="66"/>
      <c r="L337" s="55"/>
      <c r="M337" s="55"/>
      <c r="N337" s="55"/>
      <c r="O337" s="66"/>
      <c r="P337" s="58">
        <f t="shared" si="26"/>
        <v>54000</v>
      </c>
      <c r="Q337" s="223"/>
      <c r="R337" s="224"/>
      <c r="S337" s="84"/>
      <c r="T337" s="84"/>
    </row>
    <row r="338" spans="1:20" s="85" customFormat="1" ht="27" customHeight="1">
      <c r="A338" s="52" t="s">
        <v>541</v>
      </c>
      <c r="B338" s="53" t="s">
        <v>542</v>
      </c>
      <c r="C338" s="52" t="s">
        <v>372</v>
      </c>
      <c r="D338" s="50" t="s">
        <v>543</v>
      </c>
      <c r="E338" s="54">
        <f t="shared" si="29"/>
        <v>0</v>
      </c>
      <c r="F338" s="55"/>
      <c r="G338" s="55"/>
      <c r="H338" s="55"/>
      <c r="I338" s="55"/>
      <c r="J338" s="56">
        <f t="shared" si="28"/>
        <v>6713951</v>
      </c>
      <c r="K338" s="66">
        <f>5317331+2665385+400000-100000+10000-500000+290000-304821+250000-1270110-43834</f>
        <v>6713951</v>
      </c>
      <c r="L338" s="55"/>
      <c r="M338" s="55"/>
      <c r="N338" s="55"/>
      <c r="O338" s="66">
        <f>5317331+2665385+400000-100000+10000-500000+290000-304821+250000-1270110-43834</f>
        <v>6713951</v>
      </c>
      <c r="P338" s="58">
        <f t="shared" si="26"/>
        <v>6713951</v>
      </c>
      <c r="Q338" s="223"/>
      <c r="R338" s="224"/>
      <c r="S338" s="84"/>
      <c r="T338" s="84"/>
    </row>
    <row r="339" spans="1:20" s="346" customFormat="1" ht="47.25" customHeight="1" hidden="1">
      <c r="A339" s="335"/>
      <c r="B339" s="336"/>
      <c r="C339" s="337"/>
      <c r="D339" s="338" t="s">
        <v>207</v>
      </c>
      <c r="E339" s="339">
        <f>F339+I339</f>
        <v>0</v>
      </c>
      <c r="F339" s="340"/>
      <c r="G339" s="340"/>
      <c r="H339" s="340"/>
      <c r="I339" s="340"/>
      <c r="J339" s="341">
        <f>L339+O339</f>
        <v>0</v>
      </c>
      <c r="K339" s="342"/>
      <c r="L339" s="340"/>
      <c r="M339" s="340"/>
      <c r="N339" s="340"/>
      <c r="O339" s="342"/>
      <c r="P339" s="343">
        <f>E339+J339</f>
        <v>0</v>
      </c>
      <c r="Q339" s="344"/>
      <c r="R339" s="264" t="s">
        <v>5</v>
      </c>
      <c r="S339" s="345"/>
      <c r="T339" s="345"/>
    </row>
    <row r="340" spans="1:20" s="85" customFormat="1" ht="21" customHeight="1">
      <c r="A340" s="69" t="s">
        <v>141</v>
      </c>
      <c r="B340" s="53" t="s">
        <v>374</v>
      </c>
      <c r="C340" s="52" t="s">
        <v>372</v>
      </c>
      <c r="D340" s="50" t="s">
        <v>375</v>
      </c>
      <c r="E340" s="54">
        <f t="shared" si="29"/>
        <v>0</v>
      </c>
      <c r="F340" s="55"/>
      <c r="G340" s="55"/>
      <c r="H340" s="55"/>
      <c r="I340" s="55"/>
      <c r="J340" s="56">
        <f t="shared" si="28"/>
        <v>1212200</v>
      </c>
      <c r="K340" s="66">
        <f>0+420000+283200+500000+9000</f>
        <v>1212200</v>
      </c>
      <c r="L340" s="55"/>
      <c r="M340" s="55"/>
      <c r="N340" s="55"/>
      <c r="O340" s="66">
        <f>0+420000+283200+500000+9000</f>
        <v>1212200</v>
      </c>
      <c r="P340" s="58">
        <f>E340+J340</f>
        <v>1212200</v>
      </c>
      <c r="Q340" s="223"/>
      <c r="R340" s="224"/>
      <c r="S340" s="84"/>
      <c r="T340" s="84"/>
    </row>
    <row r="341" spans="1:20" s="85" customFormat="1" ht="26.25" customHeight="1">
      <c r="A341" s="52" t="s">
        <v>544</v>
      </c>
      <c r="B341" s="53" t="s">
        <v>408</v>
      </c>
      <c r="C341" s="52" t="s">
        <v>372</v>
      </c>
      <c r="D341" s="50" t="s">
        <v>409</v>
      </c>
      <c r="E341" s="54">
        <f t="shared" si="29"/>
        <v>0</v>
      </c>
      <c r="F341" s="55"/>
      <c r="G341" s="55"/>
      <c r="H341" s="55"/>
      <c r="I341" s="55"/>
      <c r="J341" s="56">
        <f t="shared" si="28"/>
        <v>1131382</v>
      </c>
      <c r="K341" s="66">
        <f>610000+40000+181382+300000</f>
        <v>1131382</v>
      </c>
      <c r="L341" s="55"/>
      <c r="M341" s="55"/>
      <c r="N341" s="55"/>
      <c r="O341" s="66">
        <f>610000+40000+181382+300000</f>
        <v>1131382</v>
      </c>
      <c r="P341" s="58">
        <f t="shared" si="26"/>
        <v>1131382</v>
      </c>
      <c r="Q341" s="223"/>
      <c r="R341" s="224"/>
      <c r="S341" s="84"/>
      <c r="T341" s="84"/>
    </row>
    <row r="342" spans="1:20" s="85" customFormat="1" ht="29.25" customHeight="1">
      <c r="A342" s="52" t="s">
        <v>545</v>
      </c>
      <c r="B342" s="53" t="s">
        <v>546</v>
      </c>
      <c r="C342" s="52" t="s">
        <v>372</v>
      </c>
      <c r="D342" s="50" t="s">
        <v>547</v>
      </c>
      <c r="E342" s="54">
        <f t="shared" si="29"/>
        <v>0</v>
      </c>
      <c r="F342" s="55"/>
      <c r="G342" s="55"/>
      <c r="H342" s="55"/>
      <c r="I342" s="55"/>
      <c r="J342" s="56">
        <f t="shared" si="28"/>
        <v>2009000</v>
      </c>
      <c r="K342" s="66">
        <f>2000000+9000</f>
        <v>2009000</v>
      </c>
      <c r="L342" s="55"/>
      <c r="M342" s="55"/>
      <c r="N342" s="55"/>
      <c r="O342" s="66">
        <f>2000000+9000</f>
        <v>2009000</v>
      </c>
      <c r="P342" s="58">
        <f t="shared" si="26"/>
        <v>2009000</v>
      </c>
      <c r="Q342" s="223"/>
      <c r="R342" s="224"/>
      <c r="S342" s="84"/>
      <c r="T342" s="84"/>
    </row>
    <row r="343" spans="1:20" s="59" customFormat="1" ht="29.25" customHeight="1">
      <c r="A343" s="52" t="s">
        <v>98</v>
      </c>
      <c r="B343" s="53" t="s">
        <v>99</v>
      </c>
      <c r="C343" s="52" t="s">
        <v>372</v>
      </c>
      <c r="D343" s="51" t="s">
        <v>100</v>
      </c>
      <c r="E343" s="54">
        <f>F343+I343</f>
        <v>0</v>
      </c>
      <c r="F343" s="55"/>
      <c r="G343" s="55"/>
      <c r="H343" s="55"/>
      <c r="I343" s="55"/>
      <c r="J343" s="56">
        <f>L343+O343</f>
        <v>860000</v>
      </c>
      <c r="K343" s="66">
        <f>0+286000+574000</f>
        <v>860000</v>
      </c>
      <c r="L343" s="55"/>
      <c r="M343" s="55"/>
      <c r="N343" s="55"/>
      <c r="O343" s="66">
        <f>0+286000+574000</f>
        <v>860000</v>
      </c>
      <c r="P343" s="58">
        <f>E343+J343</f>
        <v>860000</v>
      </c>
      <c r="Q343" s="223"/>
      <c r="R343" s="96"/>
      <c r="S343" s="83"/>
      <c r="T343" s="83"/>
    </row>
    <row r="344" spans="1:20" s="85" customFormat="1" ht="33" customHeight="1">
      <c r="A344" s="52" t="s">
        <v>548</v>
      </c>
      <c r="B344" s="53" t="s">
        <v>549</v>
      </c>
      <c r="C344" s="52" t="s">
        <v>372</v>
      </c>
      <c r="D344" s="50" t="s">
        <v>550</v>
      </c>
      <c r="E344" s="54">
        <f t="shared" si="29"/>
        <v>0</v>
      </c>
      <c r="F344" s="55"/>
      <c r="G344" s="55"/>
      <c r="H344" s="55"/>
      <c r="I344" s="55"/>
      <c r="J344" s="56">
        <f t="shared" si="28"/>
        <v>1360000</v>
      </c>
      <c r="K344" s="66">
        <f>1820000-49000-286000-54000+29282300+300000-29282300-820000+50000-51000-50000+240000+500000-240000</f>
        <v>1360000</v>
      </c>
      <c r="L344" s="55"/>
      <c r="M344" s="55"/>
      <c r="N344" s="55"/>
      <c r="O344" s="66">
        <f>1820000-49000-286000-54000+29282300+300000-29282300-820000+50000-51000-50000+240000+500000-240000</f>
        <v>1360000</v>
      </c>
      <c r="P344" s="58">
        <f t="shared" si="26"/>
        <v>1360000</v>
      </c>
      <c r="Q344" s="223"/>
      <c r="R344" s="224"/>
      <c r="S344" s="84"/>
      <c r="T344" s="84"/>
    </row>
    <row r="345" spans="1:20" s="85" customFormat="1" ht="52.5" customHeight="1">
      <c r="A345" s="62" t="s">
        <v>134</v>
      </c>
      <c r="B345" s="63">
        <v>7363</v>
      </c>
      <c r="C345" s="62" t="s">
        <v>380</v>
      </c>
      <c r="D345" s="1" t="s">
        <v>132</v>
      </c>
      <c r="E345" s="54">
        <f t="shared" si="29"/>
        <v>0</v>
      </c>
      <c r="F345" s="55"/>
      <c r="G345" s="55"/>
      <c r="H345" s="55"/>
      <c r="I345" s="55"/>
      <c r="J345" s="56">
        <f t="shared" si="28"/>
        <v>11889143.23</v>
      </c>
      <c r="K345" s="66">
        <f>9270000+31200+2587943.23</f>
        <v>11889143.23</v>
      </c>
      <c r="L345" s="55"/>
      <c r="M345" s="55"/>
      <c r="N345" s="55"/>
      <c r="O345" s="66">
        <f>9270000+31200+2587943.23</f>
        <v>11889143.23</v>
      </c>
      <c r="P345" s="58">
        <f t="shared" si="26"/>
        <v>11889143.23</v>
      </c>
      <c r="Q345" s="223"/>
      <c r="R345" s="224"/>
      <c r="S345" s="84"/>
      <c r="T345" s="84"/>
    </row>
    <row r="346" spans="1:20" s="87" customFormat="1" ht="43.5" customHeight="1">
      <c r="A346" s="18"/>
      <c r="B346" s="19"/>
      <c r="C346" s="20"/>
      <c r="D346" s="21" t="s">
        <v>198</v>
      </c>
      <c r="E346" s="22">
        <f t="shared" si="29"/>
        <v>0</v>
      </c>
      <c r="F346" s="23"/>
      <c r="G346" s="23"/>
      <c r="H346" s="23"/>
      <c r="I346" s="23"/>
      <c r="J346" s="24">
        <f t="shared" si="28"/>
        <v>11542857.5</v>
      </c>
      <c r="K346" s="48">
        <f>9000000+30291.26+2512566.24</f>
        <v>11542857.5</v>
      </c>
      <c r="L346" s="23"/>
      <c r="M346" s="23"/>
      <c r="N346" s="23"/>
      <c r="O346" s="48">
        <f>9000000+30291.26+2512566.24</f>
        <v>11542857.5</v>
      </c>
      <c r="P346" s="25">
        <f t="shared" si="26"/>
        <v>11542857.5</v>
      </c>
      <c r="Q346" s="228"/>
      <c r="R346" s="264" t="s">
        <v>454</v>
      </c>
      <c r="S346" s="86"/>
      <c r="T346" s="86"/>
    </row>
    <row r="347" spans="1:20" s="85" customFormat="1" ht="30">
      <c r="A347" s="69" t="s">
        <v>39</v>
      </c>
      <c r="B347" s="67">
        <v>7366</v>
      </c>
      <c r="C347" s="52" t="s">
        <v>380</v>
      </c>
      <c r="D347" s="68" t="s">
        <v>40</v>
      </c>
      <c r="E347" s="54">
        <f t="shared" si="29"/>
        <v>0</v>
      </c>
      <c r="F347" s="29"/>
      <c r="G347" s="29"/>
      <c r="H347" s="29"/>
      <c r="I347" s="29"/>
      <c r="J347" s="56">
        <f t="shared" si="28"/>
        <v>4813624</v>
      </c>
      <c r="K347" s="66">
        <f>4813624-9253+9253</f>
        <v>4813624</v>
      </c>
      <c r="L347" s="29"/>
      <c r="M347" s="29"/>
      <c r="N347" s="29"/>
      <c r="O347" s="66">
        <f>4813624-9253+9253</f>
        <v>4813624</v>
      </c>
      <c r="P347" s="58">
        <f t="shared" si="26"/>
        <v>4813624</v>
      </c>
      <c r="Q347" s="223"/>
      <c r="R347" s="224"/>
      <c r="S347" s="84"/>
      <c r="T347" s="84"/>
    </row>
    <row r="348" spans="1:20" s="85" customFormat="1" ht="45" customHeight="1">
      <c r="A348" s="26"/>
      <c r="B348" s="27"/>
      <c r="C348" s="139"/>
      <c r="D348" s="21" t="s">
        <v>41</v>
      </c>
      <c r="E348" s="22">
        <f t="shared" si="29"/>
        <v>0</v>
      </c>
      <c r="F348" s="29"/>
      <c r="G348" s="29"/>
      <c r="H348" s="29"/>
      <c r="I348" s="29"/>
      <c r="J348" s="24">
        <f t="shared" si="28"/>
        <v>4813624</v>
      </c>
      <c r="K348" s="48">
        <f>4813624-9253+9253</f>
        <v>4813624</v>
      </c>
      <c r="L348" s="29"/>
      <c r="M348" s="29"/>
      <c r="N348" s="29"/>
      <c r="O348" s="48">
        <f>4813624-9253+9253</f>
        <v>4813624</v>
      </c>
      <c r="P348" s="25">
        <f t="shared" si="26"/>
        <v>4813624</v>
      </c>
      <c r="Q348" s="228">
        <f>P348</f>
        <v>4813624</v>
      </c>
      <c r="R348" s="251" t="s">
        <v>433</v>
      </c>
      <c r="S348" s="84"/>
      <c r="T348" s="84"/>
    </row>
    <row r="349" spans="1:20" s="141" customFormat="1" ht="35.25" customHeight="1">
      <c r="A349" s="69" t="s">
        <v>168</v>
      </c>
      <c r="B349" s="67">
        <v>7368</v>
      </c>
      <c r="C349" s="52" t="s">
        <v>380</v>
      </c>
      <c r="D349" s="68" t="s">
        <v>167</v>
      </c>
      <c r="E349" s="54">
        <f t="shared" si="29"/>
        <v>0</v>
      </c>
      <c r="F349" s="66">
        <f>F350</f>
        <v>0</v>
      </c>
      <c r="G349" s="66"/>
      <c r="H349" s="66"/>
      <c r="I349" s="66">
        <f>I350</f>
        <v>0</v>
      </c>
      <c r="J349" s="56">
        <f t="shared" si="28"/>
        <v>11500000</v>
      </c>
      <c r="K349" s="66">
        <f>K350</f>
        <v>11500000</v>
      </c>
      <c r="L349" s="57"/>
      <c r="M349" s="57"/>
      <c r="N349" s="57"/>
      <c r="O349" s="66">
        <f>O350</f>
        <v>11500000</v>
      </c>
      <c r="P349" s="58">
        <f t="shared" si="26"/>
        <v>11500000</v>
      </c>
      <c r="Q349" s="223"/>
      <c r="R349" s="240"/>
      <c r="S349" s="140"/>
      <c r="T349" s="140"/>
    </row>
    <row r="350" spans="1:20" s="87" customFormat="1" ht="73.5" customHeight="1">
      <c r="A350" s="18"/>
      <c r="B350" s="19"/>
      <c r="C350" s="20"/>
      <c r="D350" s="21" t="s">
        <v>206</v>
      </c>
      <c r="E350" s="22">
        <f t="shared" si="29"/>
        <v>0</v>
      </c>
      <c r="F350" s="23"/>
      <c r="G350" s="23"/>
      <c r="H350" s="23"/>
      <c r="I350" s="23"/>
      <c r="J350" s="24">
        <f t="shared" si="28"/>
        <v>11500000</v>
      </c>
      <c r="K350" s="48">
        <v>11500000</v>
      </c>
      <c r="L350" s="23"/>
      <c r="M350" s="23"/>
      <c r="N350" s="23"/>
      <c r="O350" s="48">
        <v>11500000</v>
      </c>
      <c r="P350" s="25">
        <f t="shared" si="26"/>
        <v>11500000</v>
      </c>
      <c r="Q350" s="228">
        <f>P350</f>
        <v>11500000</v>
      </c>
      <c r="R350" s="264" t="s">
        <v>444</v>
      </c>
      <c r="S350" s="86"/>
      <c r="T350" s="86"/>
    </row>
    <row r="351" spans="1:20" s="141" customFormat="1" ht="39" customHeight="1">
      <c r="A351" s="69">
        <v>1517461</v>
      </c>
      <c r="B351" s="67">
        <v>7461</v>
      </c>
      <c r="C351" s="52" t="s">
        <v>551</v>
      </c>
      <c r="D351" s="142" t="s">
        <v>135</v>
      </c>
      <c r="E351" s="54">
        <f t="shared" si="29"/>
        <v>42703053</v>
      </c>
      <c r="F351" s="66">
        <f>30000000+4000000+2503053-3000000+50000000-10000000-50000000+10000000+3800000+3200000+1400000+700000+200000-100000</f>
        <v>42703053</v>
      </c>
      <c r="G351" s="66"/>
      <c r="H351" s="66"/>
      <c r="I351" s="66"/>
      <c r="J351" s="56">
        <f t="shared" si="28"/>
        <v>250000</v>
      </c>
      <c r="K351" s="66">
        <f>4000000-2000000-1810000+250000-190000</f>
        <v>250000</v>
      </c>
      <c r="L351" s="66"/>
      <c r="M351" s="66"/>
      <c r="N351" s="66"/>
      <c r="O351" s="66">
        <f>4000000-2000000-1810000+250000-190000</f>
        <v>250000</v>
      </c>
      <c r="P351" s="58">
        <f>E351+J351</f>
        <v>42953053</v>
      </c>
      <c r="Q351" s="223"/>
      <c r="R351" s="240"/>
      <c r="S351" s="140"/>
      <c r="T351" s="140"/>
    </row>
    <row r="352" spans="1:20" s="107" customFormat="1" ht="51" customHeight="1">
      <c r="A352" s="62" t="s">
        <v>253</v>
      </c>
      <c r="B352" s="67">
        <v>7463</v>
      </c>
      <c r="C352" s="52" t="s">
        <v>551</v>
      </c>
      <c r="D352" s="142" t="s">
        <v>254</v>
      </c>
      <c r="E352" s="54">
        <f>F352+I352</f>
        <v>50000000</v>
      </c>
      <c r="F352" s="66">
        <f>0+50000000</f>
        <v>50000000</v>
      </c>
      <c r="G352" s="66"/>
      <c r="H352" s="66"/>
      <c r="I352" s="66"/>
      <c r="J352" s="56">
        <f>L352+O352</f>
        <v>0</v>
      </c>
      <c r="K352" s="66"/>
      <c r="L352" s="66"/>
      <c r="M352" s="66"/>
      <c r="N352" s="66"/>
      <c r="O352" s="66"/>
      <c r="P352" s="58">
        <f>E352+J352</f>
        <v>50000000</v>
      </c>
      <c r="Q352" s="223"/>
      <c r="R352" s="231"/>
      <c r="S352" s="106"/>
      <c r="T352" s="106"/>
    </row>
    <row r="353" spans="1:20" s="82" customFormat="1" ht="63.75" customHeight="1">
      <c r="A353" s="18"/>
      <c r="B353" s="19"/>
      <c r="C353" s="20"/>
      <c r="D353" s="21" t="s">
        <v>45</v>
      </c>
      <c r="E353" s="22">
        <f>F353+I353</f>
        <v>50000000</v>
      </c>
      <c r="F353" s="23">
        <f>0+50000000</f>
        <v>50000000</v>
      </c>
      <c r="G353" s="23"/>
      <c r="H353" s="23"/>
      <c r="I353" s="23"/>
      <c r="J353" s="24">
        <f>L353+O353</f>
        <v>0</v>
      </c>
      <c r="K353" s="48"/>
      <c r="L353" s="23"/>
      <c r="M353" s="23"/>
      <c r="N353" s="23"/>
      <c r="O353" s="48"/>
      <c r="P353" s="25">
        <f>E353+J353</f>
        <v>50000000</v>
      </c>
      <c r="Q353" s="228">
        <f>P353</f>
        <v>50000000</v>
      </c>
      <c r="R353" s="264" t="s">
        <v>451</v>
      </c>
      <c r="S353" s="81"/>
      <c r="T353" s="81"/>
    </row>
    <row r="354" spans="1:20" s="85" customFormat="1" ht="24" customHeight="1">
      <c r="A354" s="52" t="s">
        <v>153</v>
      </c>
      <c r="B354" s="53" t="s">
        <v>154</v>
      </c>
      <c r="C354" s="52" t="s">
        <v>156</v>
      </c>
      <c r="D354" s="50" t="s">
        <v>155</v>
      </c>
      <c r="E354" s="54">
        <f t="shared" si="29"/>
        <v>6454944</v>
      </c>
      <c r="F354" s="55">
        <f>4600000+1854944</f>
        <v>6454944</v>
      </c>
      <c r="G354" s="55"/>
      <c r="H354" s="55"/>
      <c r="I354" s="55"/>
      <c r="J354" s="56">
        <f t="shared" si="28"/>
        <v>0</v>
      </c>
      <c r="K354" s="66"/>
      <c r="L354" s="55"/>
      <c r="M354" s="55"/>
      <c r="N354" s="55"/>
      <c r="O354" s="66"/>
      <c r="P354" s="58">
        <f t="shared" si="26"/>
        <v>6454944</v>
      </c>
      <c r="Q354" s="223"/>
      <c r="R354" s="224"/>
      <c r="S354" s="84"/>
      <c r="T354" s="84"/>
    </row>
    <row r="355" spans="1:20" s="85" customFormat="1" ht="20.25" customHeight="1">
      <c r="A355" s="52" t="s">
        <v>142</v>
      </c>
      <c r="B355" s="53" t="s">
        <v>377</v>
      </c>
      <c r="C355" s="52" t="s">
        <v>376</v>
      </c>
      <c r="D355" s="50" t="s">
        <v>378</v>
      </c>
      <c r="E355" s="54">
        <f t="shared" si="29"/>
        <v>281100</v>
      </c>
      <c r="F355" s="55">
        <f>199100+199000-117000</f>
        <v>281100</v>
      </c>
      <c r="G355" s="55"/>
      <c r="H355" s="55"/>
      <c r="I355" s="55"/>
      <c r="J355" s="56">
        <f t="shared" si="28"/>
        <v>4044036</v>
      </c>
      <c r="K355" s="66">
        <f>13281593-8260000-977557</f>
        <v>4044036</v>
      </c>
      <c r="L355" s="55"/>
      <c r="M355" s="55"/>
      <c r="N355" s="55"/>
      <c r="O355" s="66">
        <f>13281593-8260000-977557</f>
        <v>4044036</v>
      </c>
      <c r="P355" s="58">
        <f t="shared" si="26"/>
        <v>4325136</v>
      </c>
      <c r="Q355" s="223"/>
      <c r="R355" s="224"/>
      <c r="S355" s="84"/>
      <c r="T355" s="84"/>
    </row>
    <row r="356" spans="1:20" s="87" customFormat="1" ht="43.5" customHeight="1">
      <c r="A356" s="18"/>
      <c r="B356" s="19"/>
      <c r="C356" s="18"/>
      <c r="D356" s="3" t="s">
        <v>207</v>
      </c>
      <c r="E356" s="22">
        <f t="shared" si="29"/>
        <v>0</v>
      </c>
      <c r="F356" s="23"/>
      <c r="G356" s="23"/>
      <c r="H356" s="23"/>
      <c r="I356" s="23"/>
      <c r="J356" s="24">
        <f t="shared" si="28"/>
        <v>3540000</v>
      </c>
      <c r="K356" s="48">
        <f>11800000-8260000</f>
        <v>3540000</v>
      </c>
      <c r="L356" s="23"/>
      <c r="M356" s="23"/>
      <c r="N356" s="23"/>
      <c r="O356" s="48">
        <f>11800000-8260000</f>
        <v>3540000</v>
      </c>
      <c r="P356" s="25">
        <f t="shared" si="26"/>
        <v>3540000</v>
      </c>
      <c r="Q356" s="228"/>
      <c r="R356" s="264" t="s">
        <v>5</v>
      </c>
      <c r="S356" s="86"/>
      <c r="T356" s="86"/>
    </row>
    <row r="357" spans="1:20" s="85" customFormat="1" ht="26.25" customHeight="1">
      <c r="A357" s="52" t="s">
        <v>552</v>
      </c>
      <c r="B357" s="53" t="s">
        <v>381</v>
      </c>
      <c r="C357" s="52" t="s">
        <v>380</v>
      </c>
      <c r="D357" s="50" t="s">
        <v>382</v>
      </c>
      <c r="E357" s="54">
        <f t="shared" si="29"/>
        <v>0</v>
      </c>
      <c r="F357" s="55"/>
      <c r="G357" s="55"/>
      <c r="H357" s="55"/>
      <c r="I357" s="55"/>
      <c r="J357" s="56">
        <f t="shared" si="28"/>
        <v>118263920.13</v>
      </c>
      <c r="K357" s="66">
        <f>67000000-8000000+100000-12000000+22000000+1000000-2500079.87-1000000+1976000+3400000+16000000+40000000-10000000-1000000+2000000-600000+1397050-4000000+1602950+1388000-500000</f>
        <v>118263920.13</v>
      </c>
      <c r="L357" s="55"/>
      <c r="M357" s="55"/>
      <c r="N357" s="55"/>
      <c r="O357" s="66">
        <f>67000000-8000000+100000-12000000+22000000+1000000-2500079.87-1000000+1976000+3400000+16000000+40000000-10000000-1000000+2000000-600000+1397050-4000000+1602950+1388000-500000</f>
        <v>118263920.13</v>
      </c>
      <c r="P357" s="58">
        <f t="shared" si="26"/>
        <v>118263920.13</v>
      </c>
      <c r="Q357" s="223"/>
      <c r="R357" s="224"/>
      <c r="S357" s="84"/>
      <c r="T357" s="84"/>
    </row>
    <row r="358" spans="1:20" s="107" customFormat="1" ht="94.5" customHeight="1">
      <c r="A358" s="69" t="s">
        <v>171</v>
      </c>
      <c r="B358" s="67">
        <v>7691</v>
      </c>
      <c r="C358" s="52" t="s">
        <v>380</v>
      </c>
      <c r="D358" s="68" t="s">
        <v>172</v>
      </c>
      <c r="E358" s="54">
        <f t="shared" si="29"/>
        <v>0</v>
      </c>
      <c r="F358" s="66"/>
      <c r="G358" s="66"/>
      <c r="H358" s="66"/>
      <c r="I358" s="143"/>
      <c r="J358" s="56">
        <f t="shared" si="28"/>
        <v>40000000</v>
      </c>
      <c r="K358" s="66"/>
      <c r="L358" s="66">
        <f>40000000-40000000+3000000+5000000-3000000</f>
        <v>5000000</v>
      </c>
      <c r="M358" s="66"/>
      <c r="N358" s="66"/>
      <c r="O358" s="66">
        <f>40000000-3000000-5000000+3000000</f>
        <v>35000000</v>
      </c>
      <c r="P358" s="58">
        <f t="shared" si="26"/>
        <v>40000000</v>
      </c>
      <c r="Q358" s="223"/>
      <c r="R358" s="231"/>
      <c r="S358" s="106"/>
      <c r="T358" s="106"/>
    </row>
    <row r="359" spans="1:20" s="141" customFormat="1" ht="27.75" customHeight="1">
      <c r="A359" s="69" t="s">
        <v>252</v>
      </c>
      <c r="B359" s="67">
        <v>7693</v>
      </c>
      <c r="C359" s="52" t="s">
        <v>380</v>
      </c>
      <c r="D359" s="68" t="s">
        <v>256</v>
      </c>
      <c r="E359" s="54">
        <f t="shared" si="29"/>
        <v>454818</v>
      </c>
      <c r="F359" s="66">
        <f>1500000-181382-199000-195000-50000-419800</f>
        <v>454818</v>
      </c>
      <c r="G359" s="66"/>
      <c r="H359" s="66"/>
      <c r="I359" s="66"/>
      <c r="J359" s="56">
        <f t="shared" si="28"/>
        <v>0</v>
      </c>
      <c r="K359" s="66"/>
      <c r="L359" s="66"/>
      <c r="M359" s="66"/>
      <c r="N359" s="66"/>
      <c r="O359" s="66"/>
      <c r="P359" s="58">
        <f t="shared" si="26"/>
        <v>454818</v>
      </c>
      <c r="Q359" s="223"/>
      <c r="R359" s="240"/>
      <c r="S359" s="140"/>
      <c r="T359" s="140"/>
    </row>
    <row r="360" spans="1:20" s="85" customFormat="1" ht="24" customHeight="1">
      <c r="A360" s="52" t="s">
        <v>157</v>
      </c>
      <c r="B360" s="53" t="s">
        <v>158</v>
      </c>
      <c r="C360" s="52" t="s">
        <v>160</v>
      </c>
      <c r="D360" s="50" t="s">
        <v>159</v>
      </c>
      <c r="E360" s="54">
        <f t="shared" si="29"/>
        <v>916608</v>
      </c>
      <c r="F360" s="55">
        <v>916608</v>
      </c>
      <c r="G360" s="55"/>
      <c r="H360" s="55"/>
      <c r="I360" s="55"/>
      <c r="J360" s="56">
        <f t="shared" si="28"/>
        <v>0</v>
      </c>
      <c r="K360" s="66"/>
      <c r="L360" s="55"/>
      <c r="M360" s="55"/>
      <c r="N360" s="55"/>
      <c r="O360" s="66"/>
      <c r="P360" s="58">
        <f t="shared" si="26"/>
        <v>916608</v>
      </c>
      <c r="Q360" s="223"/>
      <c r="R360" s="224"/>
      <c r="S360" s="84"/>
      <c r="T360" s="84"/>
    </row>
    <row r="361" spans="1:20" s="59" customFormat="1" ht="23.25" customHeight="1">
      <c r="A361" s="65" t="s">
        <v>215</v>
      </c>
      <c r="B361" s="53">
        <v>8340</v>
      </c>
      <c r="C361" s="65" t="s">
        <v>597</v>
      </c>
      <c r="D361" s="50" t="s">
        <v>599</v>
      </c>
      <c r="E361" s="54">
        <f t="shared" si="29"/>
        <v>0</v>
      </c>
      <c r="F361" s="55"/>
      <c r="G361" s="55"/>
      <c r="H361" s="55"/>
      <c r="I361" s="55"/>
      <c r="J361" s="56">
        <f t="shared" si="28"/>
        <v>4600000</v>
      </c>
      <c r="K361" s="66"/>
      <c r="L361" s="55">
        <f>1500000+2000000</f>
        <v>3500000</v>
      </c>
      <c r="M361" s="55"/>
      <c r="N361" s="55"/>
      <c r="O361" s="66">
        <f>1500000-1500000+1100000</f>
        <v>1100000</v>
      </c>
      <c r="P361" s="58">
        <f t="shared" si="26"/>
        <v>4600000</v>
      </c>
      <c r="Q361" s="223"/>
      <c r="R361" s="96"/>
      <c r="S361" s="109">
        <f>P361+P397</f>
        <v>10370607.84</v>
      </c>
      <c r="T361" s="83"/>
    </row>
    <row r="362" spans="1:20" s="138" customFormat="1" ht="33" customHeight="1">
      <c r="A362" s="130" t="s">
        <v>555</v>
      </c>
      <c r="B362" s="134"/>
      <c r="C362" s="128"/>
      <c r="D362" s="135" t="s">
        <v>556</v>
      </c>
      <c r="E362" s="108">
        <f aca="true" t="shared" si="30" ref="E362:E426">F362+I362</f>
        <v>3378263</v>
      </c>
      <c r="F362" s="108">
        <f>F363</f>
        <v>3378263</v>
      </c>
      <c r="G362" s="108">
        <f aca="true" t="shared" si="31" ref="G362:O362">G363</f>
        <v>2136338</v>
      </c>
      <c r="H362" s="108">
        <f t="shared" si="31"/>
        <v>313499</v>
      </c>
      <c r="I362" s="108">
        <f t="shared" si="31"/>
        <v>0</v>
      </c>
      <c r="J362" s="108">
        <f t="shared" si="28"/>
        <v>49000</v>
      </c>
      <c r="K362" s="108">
        <f t="shared" si="31"/>
        <v>49000</v>
      </c>
      <c r="L362" s="108">
        <f t="shared" si="31"/>
        <v>0</v>
      </c>
      <c r="M362" s="108">
        <f t="shared" si="31"/>
        <v>0</v>
      </c>
      <c r="N362" s="108">
        <f t="shared" si="31"/>
        <v>0</v>
      </c>
      <c r="O362" s="108">
        <f t="shared" si="31"/>
        <v>49000</v>
      </c>
      <c r="P362" s="136">
        <f>P363</f>
        <v>3427263</v>
      </c>
      <c r="Q362" s="223"/>
      <c r="R362" s="226"/>
      <c r="S362" s="137"/>
      <c r="T362" s="137"/>
    </row>
    <row r="363" spans="1:20" s="203" customFormat="1" ht="36" customHeight="1">
      <c r="A363" s="195" t="s">
        <v>557</v>
      </c>
      <c r="B363" s="196"/>
      <c r="C363" s="197"/>
      <c r="D363" s="198" t="s">
        <v>24</v>
      </c>
      <c r="E363" s="199">
        <f>E364+E366+E367+E368+E365</f>
        <v>3378263</v>
      </c>
      <c r="F363" s="199">
        <f>F364+F366+F367+F368+F365</f>
        <v>3378263</v>
      </c>
      <c r="G363" s="199">
        <f>G364+G366+G367+G368</f>
        <v>2136338</v>
      </c>
      <c r="H363" s="199">
        <f>H364+H366+H367+H368</f>
        <v>313499</v>
      </c>
      <c r="I363" s="199">
        <f>I364+I366+I367+I368</f>
        <v>0</v>
      </c>
      <c r="J363" s="200">
        <f t="shared" si="28"/>
        <v>49000</v>
      </c>
      <c r="K363" s="200">
        <f>K364+K366+K367+K368+K365</f>
        <v>49000</v>
      </c>
      <c r="L363" s="200">
        <f>L364+L366+L367+L368+L365</f>
        <v>0</v>
      </c>
      <c r="M363" s="200">
        <f>M364+M366+M367+M368+M365</f>
        <v>0</v>
      </c>
      <c r="N363" s="200">
        <f>N364+N366+N367+N368+N365</f>
        <v>0</v>
      </c>
      <c r="O363" s="200">
        <f>O364+O366+O367+O368+O365</f>
        <v>49000</v>
      </c>
      <c r="P363" s="201">
        <f>E363+J363</f>
        <v>3427263</v>
      </c>
      <c r="Q363" s="223"/>
      <c r="R363" s="227"/>
      <c r="S363" s="202"/>
      <c r="T363" s="202"/>
    </row>
    <row r="364" spans="1:20" s="59" customFormat="1" ht="35.25" customHeight="1">
      <c r="A364" s="52" t="s">
        <v>558</v>
      </c>
      <c r="B364" s="53" t="s">
        <v>296</v>
      </c>
      <c r="C364" s="52" t="s">
        <v>281</v>
      </c>
      <c r="D364" s="50" t="s">
        <v>297</v>
      </c>
      <c r="E364" s="54">
        <f t="shared" si="30"/>
        <v>3242787</v>
      </c>
      <c r="F364" s="55">
        <f>3199118+43669</f>
        <v>3242787</v>
      </c>
      <c r="G364" s="55">
        <v>2136338</v>
      </c>
      <c r="H364" s="55">
        <v>313499</v>
      </c>
      <c r="I364" s="55"/>
      <c r="J364" s="56">
        <f t="shared" si="28"/>
        <v>0</v>
      </c>
      <c r="K364" s="66"/>
      <c r="L364" s="55"/>
      <c r="M364" s="55"/>
      <c r="N364" s="55"/>
      <c r="O364" s="66"/>
      <c r="P364" s="58">
        <f t="shared" si="26"/>
        <v>3242787</v>
      </c>
      <c r="Q364" s="223"/>
      <c r="R364" s="96"/>
      <c r="S364" s="83"/>
      <c r="T364" s="83"/>
    </row>
    <row r="365" spans="1:20" s="59" customFormat="1" ht="35.25" customHeight="1">
      <c r="A365" s="65" t="s">
        <v>248</v>
      </c>
      <c r="B365" s="65" t="s">
        <v>646</v>
      </c>
      <c r="C365" s="65" t="s">
        <v>137</v>
      </c>
      <c r="D365" s="51" t="s">
        <v>138</v>
      </c>
      <c r="E365" s="54">
        <f t="shared" si="30"/>
        <v>8400</v>
      </c>
      <c r="F365" s="66">
        <v>8400</v>
      </c>
      <c r="G365" s="55"/>
      <c r="H365" s="55"/>
      <c r="I365" s="55"/>
      <c r="J365" s="56">
        <f>L365+O365</f>
        <v>0</v>
      </c>
      <c r="K365" s="66"/>
      <c r="L365" s="55"/>
      <c r="M365" s="55"/>
      <c r="N365" s="55"/>
      <c r="O365" s="66"/>
      <c r="P365" s="58">
        <f t="shared" si="26"/>
        <v>8400</v>
      </c>
      <c r="Q365" s="223"/>
      <c r="R365" s="96"/>
      <c r="S365" s="83"/>
      <c r="T365" s="83"/>
    </row>
    <row r="366" spans="1:20" s="59" customFormat="1" ht="21.75" customHeight="1">
      <c r="A366" s="52" t="s">
        <v>559</v>
      </c>
      <c r="B366" s="53" t="s">
        <v>286</v>
      </c>
      <c r="C366" s="52" t="s">
        <v>285</v>
      </c>
      <c r="D366" s="50" t="s">
        <v>287</v>
      </c>
      <c r="E366" s="54">
        <f t="shared" si="30"/>
        <v>127076</v>
      </c>
      <c r="F366" s="55">
        <f>116000+11076</f>
        <v>127076</v>
      </c>
      <c r="G366" s="55"/>
      <c r="H366" s="55"/>
      <c r="I366" s="55"/>
      <c r="J366" s="56">
        <f t="shared" si="28"/>
        <v>0</v>
      </c>
      <c r="K366" s="66"/>
      <c r="L366" s="55"/>
      <c r="M366" s="55"/>
      <c r="N366" s="55"/>
      <c r="O366" s="66"/>
      <c r="P366" s="58">
        <f t="shared" si="26"/>
        <v>127076</v>
      </c>
      <c r="Q366" s="223"/>
      <c r="R366" s="96"/>
      <c r="S366" s="83"/>
      <c r="T366" s="83"/>
    </row>
    <row r="367" spans="1:20" s="59" customFormat="1" ht="33.75" customHeight="1">
      <c r="A367" s="52" t="s">
        <v>147</v>
      </c>
      <c r="B367" s="53" t="s">
        <v>148</v>
      </c>
      <c r="C367" s="52" t="s">
        <v>372</v>
      </c>
      <c r="D367" s="51" t="s">
        <v>149</v>
      </c>
      <c r="E367" s="54">
        <f>F367+I367</f>
        <v>0</v>
      </c>
      <c r="F367" s="66"/>
      <c r="G367" s="55"/>
      <c r="H367" s="55"/>
      <c r="I367" s="55"/>
      <c r="J367" s="56">
        <f t="shared" si="28"/>
        <v>49000</v>
      </c>
      <c r="K367" s="66">
        <f>0+49000</f>
        <v>49000</v>
      </c>
      <c r="L367" s="55"/>
      <c r="M367" s="55"/>
      <c r="N367" s="55"/>
      <c r="O367" s="66">
        <f>0+49000</f>
        <v>49000</v>
      </c>
      <c r="P367" s="58">
        <f>E367+J367</f>
        <v>49000</v>
      </c>
      <c r="Q367" s="223"/>
      <c r="R367" s="96"/>
      <c r="S367" s="83"/>
      <c r="T367" s="83"/>
    </row>
    <row r="368" spans="1:20" s="59" customFormat="1" ht="18.75" customHeight="1" hidden="1">
      <c r="A368" s="52" t="s">
        <v>560</v>
      </c>
      <c r="B368" s="53" t="s">
        <v>553</v>
      </c>
      <c r="C368" s="52" t="s">
        <v>286</v>
      </c>
      <c r="D368" s="50" t="s">
        <v>554</v>
      </c>
      <c r="E368" s="54">
        <f t="shared" si="30"/>
        <v>0</v>
      </c>
      <c r="F368" s="66"/>
      <c r="G368" s="55"/>
      <c r="H368" s="55"/>
      <c r="I368" s="55"/>
      <c r="J368" s="56">
        <f t="shared" si="28"/>
        <v>0</v>
      </c>
      <c r="K368" s="66"/>
      <c r="L368" s="55"/>
      <c r="M368" s="55"/>
      <c r="N368" s="55"/>
      <c r="O368" s="66"/>
      <c r="P368" s="58">
        <f t="shared" si="26"/>
        <v>0</v>
      </c>
      <c r="Q368" s="223"/>
      <c r="R368" s="96"/>
      <c r="S368" s="83"/>
      <c r="T368" s="83"/>
    </row>
    <row r="369" spans="1:20" s="90" customFormat="1" ht="39" customHeight="1" hidden="1">
      <c r="A369" s="26"/>
      <c r="B369" s="27"/>
      <c r="C369" s="26"/>
      <c r="D369" s="33" t="s">
        <v>59</v>
      </c>
      <c r="E369" s="28">
        <f t="shared" si="30"/>
        <v>0</v>
      </c>
      <c r="F369" s="29"/>
      <c r="G369" s="29"/>
      <c r="H369" s="29"/>
      <c r="I369" s="29"/>
      <c r="J369" s="56">
        <f t="shared" si="28"/>
        <v>0</v>
      </c>
      <c r="K369" s="31"/>
      <c r="L369" s="29"/>
      <c r="M369" s="29"/>
      <c r="N369" s="29"/>
      <c r="O369" s="31"/>
      <c r="P369" s="32">
        <f t="shared" si="26"/>
        <v>0</v>
      </c>
      <c r="Q369" s="223"/>
      <c r="R369" s="17"/>
      <c r="S369" s="89"/>
      <c r="T369" s="89"/>
    </row>
    <row r="370" spans="1:20" s="138" customFormat="1" ht="36.75" customHeight="1">
      <c r="A370" s="130" t="s">
        <v>561</v>
      </c>
      <c r="B370" s="134"/>
      <c r="C370" s="128"/>
      <c r="D370" s="135" t="s">
        <v>562</v>
      </c>
      <c r="E370" s="108">
        <f>F370+I370</f>
        <v>1929524</v>
      </c>
      <c r="F370" s="108">
        <f>F371</f>
        <v>1929524</v>
      </c>
      <c r="G370" s="108">
        <f>G371</f>
        <v>1362734</v>
      </c>
      <c r="H370" s="108">
        <f>H371</f>
        <v>92000</v>
      </c>
      <c r="I370" s="108">
        <f>I371</f>
        <v>0</v>
      </c>
      <c r="J370" s="108">
        <f t="shared" si="28"/>
        <v>0</v>
      </c>
      <c r="K370" s="108">
        <f>K371</f>
        <v>0</v>
      </c>
      <c r="L370" s="108">
        <f>L371</f>
        <v>0</v>
      </c>
      <c r="M370" s="108">
        <f>M371</f>
        <v>0</v>
      </c>
      <c r="N370" s="108">
        <f>N371</f>
        <v>0</v>
      </c>
      <c r="O370" s="108">
        <f>O371</f>
        <v>0</v>
      </c>
      <c r="P370" s="136">
        <f>E370+J370</f>
        <v>1929524</v>
      </c>
      <c r="Q370" s="223"/>
      <c r="R370" s="226"/>
      <c r="S370" s="137"/>
      <c r="T370" s="137"/>
    </row>
    <row r="371" spans="1:20" s="203" customFormat="1" ht="36.75" customHeight="1">
      <c r="A371" s="195" t="s">
        <v>563</v>
      </c>
      <c r="B371" s="196"/>
      <c r="C371" s="197"/>
      <c r="D371" s="198" t="s">
        <v>23</v>
      </c>
      <c r="E371" s="199">
        <f>F371+I371</f>
        <v>1929524</v>
      </c>
      <c r="F371" s="199">
        <f>F372+F373</f>
        <v>1929524</v>
      </c>
      <c r="G371" s="199">
        <f>G372+G373</f>
        <v>1362734</v>
      </c>
      <c r="H371" s="199">
        <f>H372+H373</f>
        <v>92000</v>
      </c>
      <c r="I371" s="199">
        <f>I372+I373</f>
        <v>0</v>
      </c>
      <c r="J371" s="200">
        <f t="shared" si="28"/>
        <v>0</v>
      </c>
      <c r="K371" s="200">
        <f>K372+K373</f>
        <v>0</v>
      </c>
      <c r="L371" s="200">
        <f>L372+L373</f>
        <v>0</v>
      </c>
      <c r="M371" s="200">
        <f>M372+M373</f>
        <v>0</v>
      </c>
      <c r="N371" s="200">
        <f>N372+N373</f>
        <v>0</v>
      </c>
      <c r="O371" s="200">
        <f>O372+O373</f>
        <v>0</v>
      </c>
      <c r="P371" s="201">
        <f>E371+J371</f>
        <v>1929524</v>
      </c>
      <c r="Q371" s="223"/>
      <c r="R371" s="227"/>
      <c r="S371" s="202"/>
      <c r="T371" s="202"/>
    </row>
    <row r="372" spans="1:20" s="59" customFormat="1" ht="34.5" customHeight="1">
      <c r="A372" s="52" t="s">
        <v>564</v>
      </c>
      <c r="B372" s="53" t="s">
        <v>296</v>
      </c>
      <c r="C372" s="52" t="s">
        <v>281</v>
      </c>
      <c r="D372" s="50" t="s">
        <v>297</v>
      </c>
      <c r="E372" s="54">
        <f t="shared" si="30"/>
        <v>1899524</v>
      </c>
      <c r="F372" s="55">
        <v>1899524</v>
      </c>
      <c r="G372" s="55">
        <v>1362734</v>
      </c>
      <c r="H372" s="55">
        <v>92000</v>
      </c>
      <c r="I372" s="55"/>
      <c r="J372" s="56">
        <f t="shared" si="28"/>
        <v>0</v>
      </c>
      <c r="K372" s="66"/>
      <c r="L372" s="55">
        <v>0</v>
      </c>
      <c r="M372" s="55">
        <v>0</v>
      </c>
      <c r="N372" s="55">
        <v>0</v>
      </c>
      <c r="O372" s="66">
        <v>0</v>
      </c>
      <c r="P372" s="58">
        <f t="shared" si="26"/>
        <v>1899524</v>
      </c>
      <c r="Q372" s="223"/>
      <c r="R372" s="96"/>
      <c r="S372" s="83"/>
      <c r="T372" s="83"/>
    </row>
    <row r="373" spans="1:20" s="59" customFormat="1" ht="24.75" customHeight="1">
      <c r="A373" s="52" t="s">
        <v>565</v>
      </c>
      <c r="B373" s="53" t="s">
        <v>286</v>
      </c>
      <c r="C373" s="52" t="s">
        <v>285</v>
      </c>
      <c r="D373" s="50" t="s">
        <v>287</v>
      </c>
      <c r="E373" s="54">
        <f t="shared" si="30"/>
        <v>30000</v>
      </c>
      <c r="F373" s="55">
        <f>20000+10000</f>
        <v>30000</v>
      </c>
      <c r="G373" s="55">
        <v>0</v>
      </c>
      <c r="H373" s="55">
        <v>0</v>
      </c>
      <c r="I373" s="55">
        <v>0</v>
      </c>
      <c r="J373" s="56">
        <f t="shared" si="28"/>
        <v>0</v>
      </c>
      <c r="K373" s="66"/>
      <c r="L373" s="55">
        <v>0</v>
      </c>
      <c r="M373" s="55">
        <v>0</v>
      </c>
      <c r="N373" s="55">
        <v>0</v>
      </c>
      <c r="O373" s="66">
        <v>0</v>
      </c>
      <c r="P373" s="58">
        <f t="shared" si="26"/>
        <v>30000</v>
      </c>
      <c r="Q373" s="223"/>
      <c r="R373" s="96"/>
      <c r="S373" s="83"/>
      <c r="T373" s="83"/>
    </row>
    <row r="374" spans="1:20" s="138" customFormat="1" ht="40.5" customHeight="1">
      <c r="A374" s="130" t="s">
        <v>566</v>
      </c>
      <c r="B374" s="134"/>
      <c r="C374" s="128"/>
      <c r="D374" s="135" t="s">
        <v>240</v>
      </c>
      <c r="E374" s="108">
        <f>F374+I374</f>
        <v>60722040</v>
      </c>
      <c r="F374" s="108">
        <f>F375</f>
        <v>1722040</v>
      </c>
      <c r="G374" s="108">
        <f>G375</f>
        <v>1045752</v>
      </c>
      <c r="H374" s="108">
        <f>H375</f>
        <v>61882</v>
      </c>
      <c r="I374" s="108">
        <f>I375</f>
        <v>59000000</v>
      </c>
      <c r="J374" s="108">
        <f t="shared" si="28"/>
        <v>6044110</v>
      </c>
      <c r="K374" s="108">
        <f>K375</f>
        <v>6038610</v>
      </c>
      <c r="L374" s="108">
        <f>L375</f>
        <v>5500</v>
      </c>
      <c r="M374" s="108">
        <f>M375</f>
        <v>0</v>
      </c>
      <c r="N374" s="108">
        <f>N375</f>
        <v>0</v>
      </c>
      <c r="O374" s="108">
        <f>O375</f>
        <v>6038610</v>
      </c>
      <c r="P374" s="136">
        <f>E374+J374</f>
        <v>66766150</v>
      </c>
      <c r="Q374" s="223"/>
      <c r="R374" s="226"/>
      <c r="S374" s="137"/>
      <c r="T374" s="137"/>
    </row>
    <row r="375" spans="1:20" s="203" customFormat="1" ht="33.75" customHeight="1">
      <c r="A375" s="195" t="s">
        <v>567</v>
      </c>
      <c r="B375" s="196"/>
      <c r="C375" s="197"/>
      <c r="D375" s="198" t="s">
        <v>22</v>
      </c>
      <c r="E375" s="199">
        <f t="shared" si="30"/>
        <v>60722040</v>
      </c>
      <c r="F375" s="199">
        <f>F376+F377+F378+F379+F380+F381</f>
        <v>1722040</v>
      </c>
      <c r="G375" s="199">
        <f>G376+G377+G378+G379+G380+G381</f>
        <v>1045752</v>
      </c>
      <c r="H375" s="199">
        <f>H376+H377+H378+H379+H380+H381</f>
        <v>61882</v>
      </c>
      <c r="I375" s="199">
        <f>I376+I377+I378+I379+I380+I381</f>
        <v>59000000</v>
      </c>
      <c r="J375" s="200">
        <f>L375+O375</f>
        <v>6044110</v>
      </c>
      <c r="K375" s="200">
        <f>K376+K377+K378+K379+K380+K381</f>
        <v>6038610</v>
      </c>
      <c r="L375" s="200">
        <f>L376+L377+L378+L379+L380+L381</f>
        <v>5500</v>
      </c>
      <c r="M375" s="200">
        <f>M376+M377+M378+M379+M380+M381</f>
        <v>0</v>
      </c>
      <c r="N375" s="200">
        <f>N376+N377+N378+N379+N380+N381</f>
        <v>0</v>
      </c>
      <c r="O375" s="200">
        <f>O376+O377+O378+O379+O380+O381</f>
        <v>6038610</v>
      </c>
      <c r="P375" s="199">
        <f>E375+J375</f>
        <v>66766150</v>
      </c>
      <c r="Q375" s="223"/>
      <c r="R375" s="227"/>
      <c r="S375" s="202"/>
      <c r="T375" s="202"/>
    </row>
    <row r="376" spans="1:20" s="59" customFormat="1" ht="39" customHeight="1">
      <c r="A376" s="52" t="s">
        <v>568</v>
      </c>
      <c r="B376" s="53" t="s">
        <v>296</v>
      </c>
      <c r="C376" s="52" t="s">
        <v>281</v>
      </c>
      <c r="D376" s="50" t="s">
        <v>297</v>
      </c>
      <c r="E376" s="54">
        <f t="shared" si="30"/>
        <v>1566944</v>
      </c>
      <c r="F376" s="55">
        <f>1541144+10500+9900+5400</f>
        <v>1566944</v>
      </c>
      <c r="G376" s="55">
        <v>1045752</v>
      </c>
      <c r="H376" s="55">
        <f>56482+5400</f>
        <v>61882</v>
      </c>
      <c r="I376" s="55"/>
      <c r="J376" s="56">
        <f>L376+O376</f>
        <v>38610</v>
      </c>
      <c r="K376" s="66">
        <v>38610</v>
      </c>
      <c r="L376" s="55">
        <v>0</v>
      </c>
      <c r="M376" s="55">
        <v>0</v>
      </c>
      <c r="N376" s="55">
        <v>0</v>
      </c>
      <c r="O376" s="66">
        <v>38610</v>
      </c>
      <c r="P376" s="58">
        <f t="shared" si="26"/>
        <v>1605554</v>
      </c>
      <c r="Q376" s="223"/>
      <c r="R376" s="96"/>
      <c r="S376" s="83"/>
      <c r="T376" s="83"/>
    </row>
    <row r="377" spans="1:20" s="59" customFormat="1" ht="21.75" customHeight="1">
      <c r="A377" s="52" t="s">
        <v>569</v>
      </c>
      <c r="B377" s="53" t="s">
        <v>286</v>
      </c>
      <c r="C377" s="52" t="s">
        <v>285</v>
      </c>
      <c r="D377" s="50" t="s">
        <v>287</v>
      </c>
      <c r="E377" s="54">
        <f t="shared" si="30"/>
        <v>126096</v>
      </c>
      <c r="F377" s="55">
        <f>88000+38096</f>
        <v>126096</v>
      </c>
      <c r="G377" s="55"/>
      <c r="H377" s="55"/>
      <c r="I377" s="55"/>
      <c r="J377" s="56">
        <f t="shared" si="28"/>
        <v>0</v>
      </c>
      <c r="K377" s="66"/>
      <c r="L377" s="55">
        <v>0</v>
      </c>
      <c r="M377" s="55">
        <v>0</v>
      </c>
      <c r="N377" s="55">
        <v>0</v>
      </c>
      <c r="O377" s="66">
        <v>0</v>
      </c>
      <c r="P377" s="58">
        <f t="shared" si="26"/>
        <v>126096</v>
      </c>
      <c r="Q377" s="223"/>
      <c r="R377" s="96"/>
      <c r="S377" s="83"/>
      <c r="T377" s="83"/>
    </row>
    <row r="378" spans="1:20" s="59" customFormat="1" ht="21.75" customHeight="1">
      <c r="A378" s="52" t="s">
        <v>570</v>
      </c>
      <c r="B378" s="53" t="s">
        <v>572</v>
      </c>
      <c r="C378" s="52" t="s">
        <v>571</v>
      </c>
      <c r="D378" s="50" t="s">
        <v>573</v>
      </c>
      <c r="E378" s="54">
        <f t="shared" si="30"/>
        <v>29000</v>
      </c>
      <c r="F378" s="55">
        <v>29000</v>
      </c>
      <c r="G378" s="55"/>
      <c r="H378" s="55"/>
      <c r="I378" s="55"/>
      <c r="J378" s="56">
        <f t="shared" si="28"/>
        <v>5500</v>
      </c>
      <c r="K378" s="66"/>
      <c r="L378" s="55">
        <v>5500</v>
      </c>
      <c r="M378" s="55"/>
      <c r="N378" s="55"/>
      <c r="O378" s="66"/>
      <c r="P378" s="58">
        <f t="shared" si="26"/>
        <v>34500</v>
      </c>
      <c r="Q378" s="223"/>
      <c r="R378" s="96"/>
      <c r="S378" s="83"/>
      <c r="T378" s="83"/>
    </row>
    <row r="379" spans="1:20" s="59" customFormat="1" ht="21.75" customHeight="1">
      <c r="A379" s="52" t="s">
        <v>574</v>
      </c>
      <c r="B379" s="53" t="s">
        <v>576</v>
      </c>
      <c r="C379" s="52" t="s">
        <v>575</v>
      </c>
      <c r="D379" s="50" t="s">
        <v>577</v>
      </c>
      <c r="E379" s="54">
        <f t="shared" si="30"/>
        <v>59000000</v>
      </c>
      <c r="F379" s="55"/>
      <c r="G379" s="55"/>
      <c r="H379" s="55"/>
      <c r="I379" s="55">
        <f>55200000+3800000</f>
        <v>59000000</v>
      </c>
      <c r="J379" s="56">
        <f t="shared" si="28"/>
        <v>0</v>
      </c>
      <c r="K379" s="66"/>
      <c r="L379" s="55"/>
      <c r="M379" s="55"/>
      <c r="N379" s="55"/>
      <c r="O379" s="66"/>
      <c r="P379" s="58">
        <f t="shared" si="26"/>
        <v>59000000</v>
      </c>
      <c r="Q379" s="223"/>
      <c r="R379" s="96"/>
      <c r="S379" s="83"/>
      <c r="T379" s="83"/>
    </row>
    <row r="380" spans="1:20" s="59" customFormat="1" ht="19.5" customHeight="1" hidden="1">
      <c r="A380" s="52" t="s">
        <v>13</v>
      </c>
      <c r="B380" s="53">
        <v>7450</v>
      </c>
      <c r="C380" s="52" t="s">
        <v>551</v>
      </c>
      <c r="D380" s="50" t="s">
        <v>14</v>
      </c>
      <c r="E380" s="54">
        <f t="shared" si="30"/>
        <v>0</v>
      </c>
      <c r="F380" s="55"/>
      <c r="G380" s="55"/>
      <c r="H380" s="55"/>
      <c r="I380" s="55"/>
      <c r="J380" s="56">
        <f t="shared" si="28"/>
        <v>0</v>
      </c>
      <c r="K380" s="66"/>
      <c r="L380" s="55">
        <v>0</v>
      </c>
      <c r="M380" s="55">
        <v>0</v>
      </c>
      <c r="N380" s="55">
        <v>0</v>
      </c>
      <c r="O380" s="66">
        <v>0</v>
      </c>
      <c r="P380" s="58">
        <f aca="true" t="shared" si="32" ref="P380:P437">E380+J380</f>
        <v>0</v>
      </c>
      <c r="Q380" s="223"/>
      <c r="R380" s="96"/>
      <c r="S380" s="83"/>
      <c r="T380" s="83"/>
    </row>
    <row r="381" spans="1:20" s="59" customFormat="1" ht="24" customHeight="1">
      <c r="A381" s="52" t="s">
        <v>578</v>
      </c>
      <c r="B381" s="53" t="s">
        <v>381</v>
      </c>
      <c r="C381" s="52" t="s">
        <v>380</v>
      </c>
      <c r="D381" s="50" t="s">
        <v>382</v>
      </c>
      <c r="E381" s="54">
        <f t="shared" si="30"/>
        <v>0</v>
      </c>
      <c r="F381" s="55"/>
      <c r="G381" s="55"/>
      <c r="H381" s="55"/>
      <c r="I381" s="55"/>
      <c r="J381" s="56">
        <f t="shared" si="28"/>
        <v>6000000</v>
      </c>
      <c r="K381" s="66">
        <f>5000000+1000000</f>
        <v>6000000</v>
      </c>
      <c r="L381" s="55"/>
      <c r="M381" s="55"/>
      <c r="N381" s="55"/>
      <c r="O381" s="66">
        <f>5000000+1000000</f>
        <v>6000000</v>
      </c>
      <c r="P381" s="58">
        <f t="shared" si="32"/>
        <v>6000000</v>
      </c>
      <c r="Q381" s="223"/>
      <c r="R381" s="96"/>
      <c r="S381" s="83"/>
      <c r="T381" s="83"/>
    </row>
    <row r="382" spans="1:20" s="138" customFormat="1" ht="33" customHeight="1">
      <c r="A382" s="130" t="s">
        <v>579</v>
      </c>
      <c r="B382" s="134"/>
      <c r="C382" s="128"/>
      <c r="D382" s="135" t="s">
        <v>580</v>
      </c>
      <c r="E382" s="108">
        <f t="shared" si="30"/>
        <v>5279839</v>
      </c>
      <c r="F382" s="108">
        <f>F383</f>
        <v>5279839</v>
      </c>
      <c r="G382" s="108">
        <f>G383</f>
        <v>3541411</v>
      </c>
      <c r="H382" s="108">
        <f>H383</f>
        <v>123235</v>
      </c>
      <c r="I382" s="108">
        <f>I383</f>
        <v>0</v>
      </c>
      <c r="J382" s="108">
        <f t="shared" si="28"/>
        <v>83200</v>
      </c>
      <c r="K382" s="108">
        <f>K383</f>
        <v>83200</v>
      </c>
      <c r="L382" s="108">
        <f>L383</f>
        <v>0</v>
      </c>
      <c r="M382" s="108">
        <f>M383</f>
        <v>0</v>
      </c>
      <c r="N382" s="108">
        <f>N383</f>
        <v>0</v>
      </c>
      <c r="O382" s="108">
        <f>O383</f>
        <v>83200</v>
      </c>
      <c r="P382" s="136">
        <f>E382+J382</f>
        <v>5363039</v>
      </c>
      <c r="Q382" s="223"/>
      <c r="R382" s="226"/>
      <c r="S382" s="137"/>
      <c r="T382" s="137"/>
    </row>
    <row r="383" spans="1:20" s="203" customFormat="1" ht="34.5" customHeight="1">
      <c r="A383" s="195" t="s">
        <v>581</v>
      </c>
      <c r="B383" s="196"/>
      <c r="C383" s="197"/>
      <c r="D383" s="198" t="s">
        <v>18</v>
      </c>
      <c r="E383" s="199">
        <f t="shared" si="30"/>
        <v>5279839</v>
      </c>
      <c r="F383" s="199">
        <f>F384+F385+F386+F387+F388+F389</f>
        <v>5279839</v>
      </c>
      <c r="G383" s="199">
        <f>G384+G385+G386+G387+G388+G389</f>
        <v>3541411</v>
      </c>
      <c r="H383" s="199">
        <f>H384+H385+H386+H387+H388+H389</f>
        <v>123235</v>
      </c>
      <c r="I383" s="199">
        <f>I384+I385+I386+I387+I388+I389</f>
        <v>0</v>
      </c>
      <c r="J383" s="200">
        <f t="shared" si="28"/>
        <v>83200</v>
      </c>
      <c r="K383" s="200">
        <f>K384+K385+K386+K387+K388+K389</f>
        <v>83200</v>
      </c>
      <c r="L383" s="200">
        <f>L384+L385+L386+L387+L388+L389</f>
        <v>0</v>
      </c>
      <c r="M383" s="200">
        <f>M384+M385+M386+M387+M388+M389</f>
        <v>0</v>
      </c>
      <c r="N383" s="200">
        <f>N384+N385+N386+N387+N388+N389</f>
        <v>0</v>
      </c>
      <c r="O383" s="200">
        <f>O384+O385+O386+O387+O388+O389</f>
        <v>83200</v>
      </c>
      <c r="P383" s="201">
        <f>E383+J383</f>
        <v>5363039</v>
      </c>
      <c r="Q383" s="223"/>
      <c r="R383" s="227"/>
      <c r="S383" s="202"/>
      <c r="T383" s="202"/>
    </row>
    <row r="384" spans="1:20" s="59" customFormat="1" ht="35.25" customHeight="1">
      <c r="A384" s="52" t="s">
        <v>582</v>
      </c>
      <c r="B384" s="53" t="s">
        <v>296</v>
      </c>
      <c r="C384" s="52" t="s">
        <v>281</v>
      </c>
      <c r="D384" s="50" t="s">
        <v>297</v>
      </c>
      <c r="E384" s="54">
        <f t="shared" si="30"/>
        <v>4860779</v>
      </c>
      <c r="F384" s="55">
        <f>4767909-15000+77870+20000+10000</f>
        <v>4860779</v>
      </c>
      <c r="G384" s="55">
        <v>3541411</v>
      </c>
      <c r="H384" s="55">
        <f>103235+20000</f>
        <v>123235</v>
      </c>
      <c r="I384" s="55"/>
      <c r="J384" s="56">
        <f t="shared" si="28"/>
        <v>83200</v>
      </c>
      <c r="K384" s="66">
        <f>56200+12000+15000</f>
        <v>83200</v>
      </c>
      <c r="L384" s="55">
        <v>0</v>
      </c>
      <c r="M384" s="55">
        <v>0</v>
      </c>
      <c r="N384" s="55">
        <v>0</v>
      </c>
      <c r="O384" s="66">
        <f>56200+12000+15000</f>
        <v>83200</v>
      </c>
      <c r="P384" s="58">
        <f>E384+J384</f>
        <v>4943979</v>
      </c>
      <c r="Q384" s="223"/>
      <c r="R384" s="96"/>
      <c r="S384" s="83"/>
      <c r="T384" s="83"/>
    </row>
    <row r="385" spans="1:20" s="59" customFormat="1" ht="39" customHeight="1">
      <c r="A385" s="65" t="s">
        <v>250</v>
      </c>
      <c r="B385" s="65" t="s">
        <v>646</v>
      </c>
      <c r="C385" s="65" t="s">
        <v>137</v>
      </c>
      <c r="D385" s="51" t="s">
        <v>138</v>
      </c>
      <c r="E385" s="54">
        <f t="shared" si="30"/>
        <v>3000</v>
      </c>
      <c r="F385" s="66">
        <f>10000-7000</f>
        <v>3000</v>
      </c>
      <c r="G385" s="55"/>
      <c r="H385" s="55"/>
      <c r="I385" s="55"/>
      <c r="J385" s="56">
        <f>L385+O385</f>
        <v>0</v>
      </c>
      <c r="K385" s="66"/>
      <c r="L385" s="55"/>
      <c r="M385" s="55"/>
      <c r="N385" s="55"/>
      <c r="O385" s="66"/>
      <c r="P385" s="58">
        <f>E385+J385</f>
        <v>3000</v>
      </c>
      <c r="Q385" s="223"/>
      <c r="R385" s="96"/>
      <c r="S385" s="83"/>
      <c r="T385" s="83"/>
    </row>
    <row r="386" spans="1:20" s="59" customFormat="1" ht="23.25" customHeight="1">
      <c r="A386" s="52" t="s">
        <v>583</v>
      </c>
      <c r="B386" s="53" t="s">
        <v>286</v>
      </c>
      <c r="C386" s="52" t="s">
        <v>285</v>
      </c>
      <c r="D386" s="50" t="s">
        <v>287</v>
      </c>
      <c r="E386" s="54">
        <f t="shared" si="30"/>
        <v>270772</v>
      </c>
      <c r="F386" s="55">
        <f>182000+30000+50000+8772</f>
        <v>270772</v>
      </c>
      <c r="G386" s="55"/>
      <c r="H386" s="55"/>
      <c r="I386" s="55"/>
      <c r="J386" s="56">
        <f aca="true" t="shared" si="33" ref="J386:J443">L386+O386</f>
        <v>0</v>
      </c>
      <c r="K386" s="66"/>
      <c r="L386" s="55"/>
      <c r="M386" s="55"/>
      <c r="N386" s="55"/>
      <c r="O386" s="66"/>
      <c r="P386" s="58">
        <f t="shared" si="32"/>
        <v>270772</v>
      </c>
      <c r="Q386" s="223"/>
      <c r="R386" s="96"/>
      <c r="S386" s="83"/>
      <c r="T386" s="83"/>
    </row>
    <row r="387" spans="1:20" s="59" customFormat="1" ht="30.75" customHeight="1">
      <c r="A387" s="52" t="s">
        <v>584</v>
      </c>
      <c r="B387" s="53" t="s">
        <v>585</v>
      </c>
      <c r="C387" s="52" t="s">
        <v>376</v>
      </c>
      <c r="D387" s="50" t="s">
        <v>586</v>
      </c>
      <c r="E387" s="54">
        <f t="shared" si="30"/>
        <v>28838</v>
      </c>
      <c r="F387" s="55">
        <f>100000-48400-29762+7000</f>
        <v>28838</v>
      </c>
      <c r="G387" s="55"/>
      <c r="H387" s="55"/>
      <c r="I387" s="55"/>
      <c r="J387" s="56">
        <f t="shared" si="33"/>
        <v>0</v>
      </c>
      <c r="K387" s="66"/>
      <c r="L387" s="55"/>
      <c r="M387" s="55"/>
      <c r="N387" s="55"/>
      <c r="O387" s="66"/>
      <c r="P387" s="58">
        <f t="shared" si="32"/>
        <v>28838</v>
      </c>
      <c r="Q387" s="223"/>
      <c r="R387" s="96"/>
      <c r="S387" s="83"/>
      <c r="T387" s="83"/>
    </row>
    <row r="388" spans="1:20" s="59" customFormat="1" ht="20.25" customHeight="1">
      <c r="A388" s="52" t="s">
        <v>587</v>
      </c>
      <c r="B388" s="53" t="s">
        <v>377</v>
      </c>
      <c r="C388" s="52" t="s">
        <v>376</v>
      </c>
      <c r="D388" s="50" t="s">
        <v>378</v>
      </c>
      <c r="E388" s="54">
        <f t="shared" si="30"/>
        <v>66450</v>
      </c>
      <c r="F388" s="55">
        <f>110000-29470-14080</f>
        <v>66450</v>
      </c>
      <c r="G388" s="55"/>
      <c r="H388" s="55"/>
      <c r="I388" s="55"/>
      <c r="J388" s="56">
        <f t="shared" si="33"/>
        <v>0</v>
      </c>
      <c r="K388" s="66"/>
      <c r="L388" s="55"/>
      <c r="M388" s="55"/>
      <c r="N388" s="55"/>
      <c r="O388" s="66"/>
      <c r="P388" s="58">
        <f t="shared" si="32"/>
        <v>66450</v>
      </c>
      <c r="Q388" s="223"/>
      <c r="R388" s="96"/>
      <c r="S388" s="83"/>
      <c r="T388" s="83"/>
    </row>
    <row r="389" spans="1:20" s="59" customFormat="1" ht="24" customHeight="1">
      <c r="A389" s="52" t="s">
        <v>588</v>
      </c>
      <c r="B389" s="53" t="s">
        <v>589</v>
      </c>
      <c r="C389" s="52" t="s">
        <v>380</v>
      </c>
      <c r="D389" s="50" t="s">
        <v>590</v>
      </c>
      <c r="E389" s="54">
        <f t="shared" si="30"/>
        <v>50000</v>
      </c>
      <c r="F389" s="55">
        <f>2550000+4736-2504736</f>
        <v>50000</v>
      </c>
      <c r="G389" s="55"/>
      <c r="H389" s="55"/>
      <c r="I389" s="55"/>
      <c r="J389" s="56">
        <f t="shared" si="33"/>
        <v>0</v>
      </c>
      <c r="K389" s="66"/>
      <c r="L389" s="55"/>
      <c r="M389" s="55"/>
      <c r="N389" s="55"/>
      <c r="O389" s="66"/>
      <c r="P389" s="58">
        <f t="shared" si="32"/>
        <v>50000</v>
      </c>
      <c r="Q389" s="223"/>
      <c r="R389" s="96"/>
      <c r="S389" s="83"/>
      <c r="T389" s="83"/>
    </row>
    <row r="390" spans="1:20" s="138" customFormat="1" ht="42.75" customHeight="1">
      <c r="A390" s="130" t="s">
        <v>591</v>
      </c>
      <c r="B390" s="134"/>
      <c r="C390" s="128"/>
      <c r="D390" s="135" t="s">
        <v>20</v>
      </c>
      <c r="E390" s="108">
        <f>F390+I390</f>
        <v>3196160</v>
      </c>
      <c r="F390" s="108">
        <f>F391</f>
        <v>3196160</v>
      </c>
      <c r="G390" s="108">
        <f>G391</f>
        <v>1742764</v>
      </c>
      <c r="H390" s="108">
        <f>H391</f>
        <v>77167</v>
      </c>
      <c r="I390" s="108">
        <f>I391</f>
        <v>0</v>
      </c>
      <c r="J390" s="108">
        <f t="shared" si="33"/>
        <v>7312607.84</v>
      </c>
      <c r="K390" s="108">
        <f>K391</f>
        <v>1542000</v>
      </c>
      <c r="L390" s="108">
        <f>L391</f>
        <v>4880000</v>
      </c>
      <c r="M390" s="108">
        <f>M391</f>
        <v>0</v>
      </c>
      <c r="N390" s="108">
        <f>N391</f>
        <v>0</v>
      </c>
      <c r="O390" s="108">
        <f>O391</f>
        <v>2432607.84</v>
      </c>
      <c r="P390" s="136">
        <f>E390+J390</f>
        <v>10508767.84</v>
      </c>
      <c r="Q390" s="223"/>
      <c r="R390" s="226"/>
      <c r="S390" s="137"/>
      <c r="T390" s="137"/>
    </row>
    <row r="391" spans="1:20" s="203" customFormat="1" ht="38.25" customHeight="1">
      <c r="A391" s="195" t="s">
        <v>592</v>
      </c>
      <c r="B391" s="196"/>
      <c r="C391" s="197"/>
      <c r="D391" s="198" t="s">
        <v>21</v>
      </c>
      <c r="E391" s="199">
        <f>E392+E393+E395+E396+E397+E394</f>
        <v>3196160</v>
      </c>
      <c r="F391" s="199">
        <f>F392+F393+F395+F396+F397+F394</f>
        <v>3196160</v>
      </c>
      <c r="G391" s="199">
        <f aca="true" t="shared" si="34" ref="G391:O391">G392+G393+G395+G396+G397</f>
        <v>1742764</v>
      </c>
      <c r="H391" s="199">
        <f t="shared" si="34"/>
        <v>77167</v>
      </c>
      <c r="I391" s="199">
        <f t="shared" si="34"/>
        <v>0</v>
      </c>
      <c r="J391" s="200">
        <f t="shared" si="33"/>
        <v>7312607.84</v>
      </c>
      <c r="K391" s="200">
        <f>K392+K393+K395+K396+K397</f>
        <v>1542000</v>
      </c>
      <c r="L391" s="200">
        <f t="shared" si="34"/>
        <v>4880000</v>
      </c>
      <c r="M391" s="200">
        <f t="shared" si="34"/>
        <v>0</v>
      </c>
      <c r="N391" s="200">
        <f t="shared" si="34"/>
        <v>0</v>
      </c>
      <c r="O391" s="200">
        <f t="shared" si="34"/>
        <v>2432607.84</v>
      </c>
      <c r="P391" s="201">
        <f>P392+P393+P395+P396+P397+P394</f>
        <v>10508767.84</v>
      </c>
      <c r="Q391" s="223"/>
      <c r="R391" s="227"/>
      <c r="S391" s="202"/>
      <c r="T391" s="202"/>
    </row>
    <row r="392" spans="1:20" s="59" customFormat="1" ht="39" customHeight="1">
      <c r="A392" s="52" t="s">
        <v>593</v>
      </c>
      <c r="B392" s="53" t="s">
        <v>296</v>
      </c>
      <c r="C392" s="52" t="s">
        <v>281</v>
      </c>
      <c r="D392" s="50" t="s">
        <v>297</v>
      </c>
      <c r="E392" s="54">
        <f t="shared" si="30"/>
        <v>2835350</v>
      </c>
      <c r="F392" s="55">
        <f>2312850+522500</f>
        <v>2835350</v>
      </c>
      <c r="G392" s="55">
        <v>1742764</v>
      </c>
      <c r="H392" s="55">
        <v>77167</v>
      </c>
      <c r="I392" s="55"/>
      <c r="J392" s="56">
        <f t="shared" si="33"/>
        <v>15000</v>
      </c>
      <c r="K392" s="66">
        <v>15000</v>
      </c>
      <c r="L392" s="55"/>
      <c r="M392" s="55"/>
      <c r="N392" s="55"/>
      <c r="O392" s="66">
        <v>15000</v>
      </c>
      <c r="P392" s="58">
        <f t="shared" si="32"/>
        <v>2850350</v>
      </c>
      <c r="Q392" s="223"/>
      <c r="R392" s="96"/>
      <c r="S392" s="83"/>
      <c r="T392" s="83"/>
    </row>
    <row r="393" spans="1:20" s="59" customFormat="1" ht="33" customHeight="1">
      <c r="A393" s="65" t="s">
        <v>249</v>
      </c>
      <c r="B393" s="65" t="s">
        <v>646</v>
      </c>
      <c r="C393" s="65" t="s">
        <v>137</v>
      </c>
      <c r="D393" s="51" t="s">
        <v>138</v>
      </c>
      <c r="E393" s="54">
        <f>F393+I393</f>
        <v>4400</v>
      </c>
      <c r="F393" s="66">
        <v>4400</v>
      </c>
      <c r="G393" s="55"/>
      <c r="H393" s="55"/>
      <c r="I393" s="55"/>
      <c r="J393" s="56">
        <f t="shared" si="33"/>
        <v>0</v>
      </c>
      <c r="K393" s="66"/>
      <c r="L393" s="55"/>
      <c r="M393" s="55"/>
      <c r="N393" s="55"/>
      <c r="O393" s="66"/>
      <c r="P393" s="58">
        <f t="shared" si="32"/>
        <v>4400</v>
      </c>
      <c r="Q393" s="223"/>
      <c r="R393" s="96"/>
      <c r="S393" s="83"/>
      <c r="T393" s="83"/>
    </row>
    <row r="394" spans="1:20" s="59" customFormat="1" ht="24.75" customHeight="1">
      <c r="A394" s="52" t="s">
        <v>594</v>
      </c>
      <c r="B394" s="53" t="s">
        <v>286</v>
      </c>
      <c r="C394" s="52" t="s">
        <v>285</v>
      </c>
      <c r="D394" s="50" t="s">
        <v>287</v>
      </c>
      <c r="E394" s="54">
        <f>F394+I394</f>
        <v>172410</v>
      </c>
      <c r="F394" s="55">
        <f>151500+20910</f>
        <v>172410</v>
      </c>
      <c r="G394" s="55"/>
      <c r="H394" s="55"/>
      <c r="I394" s="55"/>
      <c r="J394" s="56">
        <f>L394+O394</f>
        <v>0</v>
      </c>
      <c r="K394" s="66"/>
      <c r="L394" s="55">
        <v>0</v>
      </c>
      <c r="M394" s="55">
        <v>0</v>
      </c>
      <c r="N394" s="55">
        <v>0</v>
      </c>
      <c r="O394" s="66">
        <v>0</v>
      </c>
      <c r="P394" s="58">
        <f>E394+J394</f>
        <v>172410</v>
      </c>
      <c r="Q394" s="223"/>
      <c r="R394" s="96"/>
      <c r="S394" s="83"/>
      <c r="T394" s="83"/>
    </row>
    <row r="395" spans="1:20" s="59" customFormat="1" ht="21" customHeight="1">
      <c r="A395" s="52" t="s">
        <v>595</v>
      </c>
      <c r="B395" s="53" t="s">
        <v>381</v>
      </c>
      <c r="C395" s="52" t="s">
        <v>380</v>
      </c>
      <c r="D395" s="50" t="s">
        <v>382</v>
      </c>
      <c r="E395" s="54">
        <f t="shared" si="30"/>
        <v>0</v>
      </c>
      <c r="F395" s="55"/>
      <c r="G395" s="55"/>
      <c r="H395" s="55"/>
      <c r="I395" s="55"/>
      <c r="J395" s="56">
        <f t="shared" si="33"/>
        <v>1527000</v>
      </c>
      <c r="K395" s="66">
        <f>400000+400000+200000+56000+471000</f>
        <v>1527000</v>
      </c>
      <c r="L395" s="55"/>
      <c r="M395" s="55"/>
      <c r="N395" s="55"/>
      <c r="O395" s="66">
        <f>400000+400000+200000+56000+471000</f>
        <v>1527000</v>
      </c>
      <c r="P395" s="58">
        <f t="shared" si="32"/>
        <v>1527000</v>
      </c>
      <c r="Q395" s="223"/>
      <c r="R395" s="96"/>
      <c r="S395" s="83"/>
      <c r="T395" s="83"/>
    </row>
    <row r="396" spans="1:20" s="59" customFormat="1" ht="33" customHeight="1">
      <c r="A396" s="65" t="s">
        <v>139</v>
      </c>
      <c r="B396" s="53">
        <v>8330</v>
      </c>
      <c r="C396" s="65" t="s">
        <v>597</v>
      </c>
      <c r="D396" s="51" t="s">
        <v>140</v>
      </c>
      <c r="E396" s="54">
        <f t="shared" si="30"/>
        <v>184000</v>
      </c>
      <c r="F396" s="55">
        <v>184000</v>
      </c>
      <c r="G396" s="55"/>
      <c r="H396" s="55"/>
      <c r="I396" s="55"/>
      <c r="J396" s="56">
        <f t="shared" si="33"/>
        <v>0</v>
      </c>
      <c r="K396" s="66"/>
      <c r="L396" s="55"/>
      <c r="M396" s="55"/>
      <c r="N396" s="55"/>
      <c r="O396" s="66"/>
      <c r="P396" s="58">
        <f t="shared" si="32"/>
        <v>184000</v>
      </c>
      <c r="Q396" s="223"/>
      <c r="R396" s="96"/>
      <c r="S396" s="83"/>
      <c r="T396" s="83"/>
    </row>
    <row r="397" spans="1:20" s="59" customFormat="1" ht="25.5" customHeight="1">
      <c r="A397" s="52" t="s">
        <v>596</v>
      </c>
      <c r="B397" s="53" t="s">
        <v>598</v>
      </c>
      <c r="C397" s="52" t="s">
        <v>597</v>
      </c>
      <c r="D397" s="50" t="s">
        <v>599</v>
      </c>
      <c r="E397" s="54">
        <f t="shared" si="30"/>
        <v>0</v>
      </c>
      <c r="F397" s="55">
        <v>0</v>
      </c>
      <c r="G397" s="55">
        <v>0</v>
      </c>
      <c r="H397" s="55">
        <v>0</v>
      </c>
      <c r="I397" s="55">
        <v>0</v>
      </c>
      <c r="J397" s="56">
        <f t="shared" si="33"/>
        <v>5770607.84</v>
      </c>
      <c r="K397" s="66"/>
      <c r="L397" s="55">
        <f>4040000+10000+50000+120607.84+259392.16+400000</f>
        <v>4880000</v>
      </c>
      <c r="M397" s="55"/>
      <c r="N397" s="55"/>
      <c r="O397" s="66">
        <f>750000+1000000+500000+400000-1100000-259392.16-400000</f>
        <v>890607.8400000001</v>
      </c>
      <c r="P397" s="58">
        <f t="shared" si="32"/>
        <v>5770607.84</v>
      </c>
      <c r="Q397" s="223"/>
      <c r="R397" s="96"/>
      <c r="S397" s="83"/>
      <c r="T397" s="83"/>
    </row>
    <row r="398" spans="1:20" s="138" customFormat="1" ht="41.25" customHeight="1">
      <c r="A398" s="130" t="s">
        <v>600</v>
      </c>
      <c r="B398" s="134"/>
      <c r="C398" s="128"/>
      <c r="D398" s="135" t="s">
        <v>241</v>
      </c>
      <c r="E398" s="108">
        <f>F398+I398</f>
        <v>2663430</v>
      </c>
      <c r="F398" s="108">
        <f>F399</f>
        <v>2663430</v>
      </c>
      <c r="G398" s="108">
        <f>G399</f>
        <v>1802568</v>
      </c>
      <c r="H398" s="108">
        <f>H399</f>
        <v>103622</v>
      </c>
      <c r="I398" s="108">
        <f>I399</f>
        <v>0</v>
      </c>
      <c r="J398" s="108">
        <f>L398+O398</f>
        <v>35000</v>
      </c>
      <c r="K398" s="108">
        <f>K399</f>
        <v>35000</v>
      </c>
      <c r="L398" s="108">
        <f>L399</f>
        <v>0</v>
      </c>
      <c r="M398" s="108">
        <f>M399</f>
        <v>0</v>
      </c>
      <c r="N398" s="108">
        <f>N399</f>
        <v>0</v>
      </c>
      <c r="O398" s="108">
        <f>O399</f>
        <v>35000</v>
      </c>
      <c r="P398" s="136">
        <f>E398+J398</f>
        <v>2698430</v>
      </c>
      <c r="Q398" s="223"/>
      <c r="R398" s="226"/>
      <c r="S398" s="137"/>
      <c r="T398" s="137"/>
    </row>
    <row r="399" spans="1:20" s="203" customFormat="1" ht="35.25" customHeight="1">
      <c r="A399" s="195" t="s">
        <v>601</v>
      </c>
      <c r="B399" s="196"/>
      <c r="C399" s="197"/>
      <c r="D399" s="198" t="s">
        <v>25</v>
      </c>
      <c r="E399" s="199">
        <f>E400+E401+E402+E403</f>
        <v>2663430</v>
      </c>
      <c r="F399" s="199">
        <f>F400+F401+F402+F403</f>
        <v>2663430</v>
      </c>
      <c r="G399" s="199">
        <f>G400+G401+G402+G403</f>
        <v>1802568</v>
      </c>
      <c r="H399" s="199">
        <f>H400+H401+H402+H403</f>
        <v>103622</v>
      </c>
      <c r="I399" s="199">
        <f>I400+I401+I402+I403</f>
        <v>0</v>
      </c>
      <c r="J399" s="200">
        <f t="shared" si="33"/>
        <v>35000</v>
      </c>
      <c r="K399" s="199">
        <f>K400+K401+K402+K403</f>
        <v>35000</v>
      </c>
      <c r="L399" s="199">
        <f>L400+L401+L402+L403</f>
        <v>0</v>
      </c>
      <c r="M399" s="199">
        <f>M400+M401+M402+M403</f>
        <v>0</v>
      </c>
      <c r="N399" s="199">
        <f>N400+N401+N402+N403</f>
        <v>0</v>
      </c>
      <c r="O399" s="199">
        <f>O400+O401+O402+O403</f>
        <v>35000</v>
      </c>
      <c r="P399" s="201">
        <f>E399+J399</f>
        <v>2698430</v>
      </c>
      <c r="Q399" s="223"/>
      <c r="R399" s="227"/>
      <c r="S399" s="202"/>
      <c r="T399" s="202"/>
    </row>
    <row r="400" spans="1:20" s="59" customFormat="1" ht="42" customHeight="1">
      <c r="A400" s="52" t="s">
        <v>602</v>
      </c>
      <c r="B400" s="53" t="s">
        <v>296</v>
      </c>
      <c r="C400" s="52" t="s">
        <v>281</v>
      </c>
      <c r="D400" s="50" t="s">
        <v>297</v>
      </c>
      <c r="E400" s="54">
        <f t="shared" si="30"/>
        <v>2535551</v>
      </c>
      <c r="F400" s="55">
        <f>2418351+104700+12500</f>
        <v>2535551</v>
      </c>
      <c r="G400" s="55">
        <f>1711868+90700</f>
        <v>1802568</v>
      </c>
      <c r="H400" s="55">
        <f>91122+12500</f>
        <v>103622</v>
      </c>
      <c r="I400" s="55"/>
      <c r="J400" s="56">
        <f t="shared" si="33"/>
        <v>35000</v>
      </c>
      <c r="K400" s="66">
        <f>15000+20000</f>
        <v>35000</v>
      </c>
      <c r="L400" s="55"/>
      <c r="M400" s="55"/>
      <c r="N400" s="55"/>
      <c r="O400" s="66">
        <f>15000+20000</f>
        <v>35000</v>
      </c>
      <c r="P400" s="58">
        <f>E400+J400</f>
        <v>2570551</v>
      </c>
      <c r="Q400" s="223"/>
      <c r="R400" s="96"/>
      <c r="S400" s="83"/>
      <c r="T400" s="83"/>
    </row>
    <row r="401" spans="1:20" s="59" customFormat="1" ht="27" customHeight="1">
      <c r="A401" s="52" t="s">
        <v>603</v>
      </c>
      <c r="B401" s="53" t="s">
        <v>286</v>
      </c>
      <c r="C401" s="52" t="s">
        <v>285</v>
      </c>
      <c r="D401" s="50" t="s">
        <v>287</v>
      </c>
      <c r="E401" s="54">
        <f t="shared" si="30"/>
        <v>107879</v>
      </c>
      <c r="F401" s="55">
        <f>92000+10000+5879</f>
        <v>107879</v>
      </c>
      <c r="G401" s="55"/>
      <c r="H401" s="55"/>
      <c r="I401" s="55"/>
      <c r="J401" s="56">
        <f t="shared" si="33"/>
        <v>0</v>
      </c>
      <c r="K401" s="66"/>
      <c r="L401" s="55"/>
      <c r="M401" s="55"/>
      <c r="N401" s="55"/>
      <c r="O401" s="66"/>
      <c r="P401" s="58">
        <f t="shared" si="32"/>
        <v>107879</v>
      </c>
      <c r="Q401" s="223"/>
      <c r="R401" s="96"/>
      <c r="S401" s="83"/>
      <c r="T401" s="83"/>
    </row>
    <row r="402" spans="1:20" s="59" customFormat="1" ht="36.75" customHeight="1" hidden="1">
      <c r="A402" s="52" t="s">
        <v>604</v>
      </c>
      <c r="B402" s="53" t="s">
        <v>606</v>
      </c>
      <c r="C402" s="52" t="s">
        <v>605</v>
      </c>
      <c r="D402" s="50" t="s">
        <v>123</v>
      </c>
      <c r="E402" s="54">
        <f t="shared" si="30"/>
        <v>0</v>
      </c>
      <c r="F402" s="55">
        <f>160940-160000-940</f>
        <v>0</v>
      </c>
      <c r="G402" s="55"/>
      <c r="H402" s="55"/>
      <c r="I402" s="55"/>
      <c r="J402" s="56">
        <f t="shared" si="33"/>
        <v>0</v>
      </c>
      <c r="K402" s="66"/>
      <c r="L402" s="55"/>
      <c r="M402" s="55"/>
      <c r="N402" s="55"/>
      <c r="O402" s="66"/>
      <c r="P402" s="58">
        <f t="shared" si="32"/>
        <v>0</v>
      </c>
      <c r="Q402" s="223"/>
      <c r="R402" s="96"/>
      <c r="S402" s="83"/>
      <c r="T402" s="83"/>
    </row>
    <row r="403" spans="1:20" s="59" customFormat="1" ht="24" customHeight="1">
      <c r="A403" s="52" t="s">
        <v>216</v>
      </c>
      <c r="B403" s="53">
        <v>9770</v>
      </c>
      <c r="C403" s="52" t="s">
        <v>286</v>
      </c>
      <c r="D403" s="50" t="s">
        <v>217</v>
      </c>
      <c r="E403" s="54">
        <f>F403+I403</f>
        <v>20000</v>
      </c>
      <c r="F403" s="55">
        <v>20000</v>
      </c>
      <c r="G403" s="55"/>
      <c r="H403" s="55"/>
      <c r="I403" s="55"/>
      <c r="J403" s="56">
        <f t="shared" si="33"/>
        <v>0</v>
      </c>
      <c r="K403" s="66"/>
      <c r="L403" s="55"/>
      <c r="M403" s="55"/>
      <c r="N403" s="55"/>
      <c r="O403" s="66"/>
      <c r="P403" s="58">
        <f>E403+J403</f>
        <v>20000</v>
      </c>
      <c r="Q403" s="223"/>
      <c r="R403" s="96"/>
      <c r="S403" s="83"/>
      <c r="T403" s="83"/>
    </row>
    <row r="404" spans="1:20" s="82" customFormat="1" ht="51" customHeight="1">
      <c r="A404" s="18"/>
      <c r="B404" s="19"/>
      <c r="C404" s="18"/>
      <c r="D404" s="3" t="s">
        <v>208</v>
      </c>
      <c r="E404" s="22">
        <f>F404+I404</f>
        <v>20000</v>
      </c>
      <c r="F404" s="23">
        <v>20000</v>
      </c>
      <c r="G404" s="23"/>
      <c r="H404" s="23"/>
      <c r="I404" s="23"/>
      <c r="J404" s="24">
        <f>L404+O404</f>
        <v>0</v>
      </c>
      <c r="K404" s="48"/>
      <c r="L404" s="23"/>
      <c r="M404" s="23"/>
      <c r="N404" s="23"/>
      <c r="O404" s="48"/>
      <c r="P404" s="25">
        <f>E404+J404</f>
        <v>20000</v>
      </c>
      <c r="Q404" s="223"/>
      <c r="R404" s="17"/>
      <c r="S404" s="81"/>
      <c r="T404" s="81"/>
    </row>
    <row r="405" spans="1:20" s="138" customFormat="1" ht="30.75" customHeight="1">
      <c r="A405" s="130" t="s">
        <v>607</v>
      </c>
      <c r="B405" s="134"/>
      <c r="C405" s="128"/>
      <c r="D405" s="135" t="s">
        <v>608</v>
      </c>
      <c r="E405" s="108">
        <f>F405+I405</f>
        <v>9269172</v>
      </c>
      <c r="F405" s="108">
        <f>F406</f>
        <v>9161772</v>
      </c>
      <c r="G405" s="108">
        <f>G406</f>
        <v>6559323</v>
      </c>
      <c r="H405" s="108">
        <f>H406</f>
        <v>276309</v>
      </c>
      <c r="I405" s="108">
        <f>I406</f>
        <v>107400</v>
      </c>
      <c r="J405" s="108">
        <f t="shared" si="33"/>
        <v>1122000</v>
      </c>
      <c r="K405" s="108">
        <f>K406</f>
        <v>1122000</v>
      </c>
      <c r="L405" s="108">
        <f>L406</f>
        <v>0</v>
      </c>
      <c r="M405" s="108">
        <f>M406</f>
        <v>0</v>
      </c>
      <c r="N405" s="108">
        <f>N406</f>
        <v>0</v>
      </c>
      <c r="O405" s="108">
        <f>O406</f>
        <v>1122000</v>
      </c>
      <c r="P405" s="136">
        <f t="shared" si="32"/>
        <v>10391172</v>
      </c>
      <c r="Q405" s="223"/>
      <c r="R405" s="226"/>
      <c r="S405" s="137"/>
      <c r="T405" s="137"/>
    </row>
    <row r="406" spans="1:20" s="203" customFormat="1" ht="48" customHeight="1">
      <c r="A406" s="195" t="s">
        <v>609</v>
      </c>
      <c r="B406" s="196"/>
      <c r="C406" s="197"/>
      <c r="D406" s="198" t="s">
        <v>19</v>
      </c>
      <c r="E406" s="199">
        <f t="shared" si="30"/>
        <v>9269172</v>
      </c>
      <c r="F406" s="199">
        <f>F407+F408+F409+F410+F411+F412+F413+F414</f>
        <v>9161772</v>
      </c>
      <c r="G406" s="199">
        <f>G407+G408+G409+G410+G411+G412+G413+G414</f>
        <v>6559323</v>
      </c>
      <c r="H406" s="199">
        <f>H407+H408+H409+H410+H411+H412+H413+H414</f>
        <v>276309</v>
      </c>
      <c r="I406" s="199">
        <f>I407+I408+I409+I410+I411+I412+I413+I414</f>
        <v>107400</v>
      </c>
      <c r="J406" s="200">
        <f t="shared" si="33"/>
        <v>1122000</v>
      </c>
      <c r="K406" s="200">
        <f>K407+K408+K409+K410+K411+K412+K413+K414</f>
        <v>1122000</v>
      </c>
      <c r="L406" s="200">
        <f>L407+L408+L409+L410+L411+L412+L413+L414</f>
        <v>0</v>
      </c>
      <c r="M406" s="200">
        <f>M407+M408+M409+M410+M411+M412+M413+M414</f>
        <v>0</v>
      </c>
      <c r="N406" s="200">
        <f>N407+N408+N409+N410+N411+N412+N413+N414</f>
        <v>0</v>
      </c>
      <c r="O406" s="200">
        <f>O407+O408+O409+O410+O411+O412+O413+O414</f>
        <v>1122000</v>
      </c>
      <c r="P406" s="201">
        <f>E406+J406</f>
        <v>10391172</v>
      </c>
      <c r="Q406" s="223"/>
      <c r="R406" s="227"/>
      <c r="S406" s="202"/>
      <c r="T406" s="202"/>
    </row>
    <row r="407" spans="1:20" s="59" customFormat="1" ht="39" customHeight="1">
      <c r="A407" s="52" t="s">
        <v>610</v>
      </c>
      <c r="B407" s="53" t="s">
        <v>296</v>
      </c>
      <c r="C407" s="52" t="s">
        <v>281</v>
      </c>
      <c r="D407" s="50" t="s">
        <v>297</v>
      </c>
      <c r="E407" s="54">
        <f t="shared" si="30"/>
        <v>8688852</v>
      </c>
      <c r="F407" s="55">
        <f>8414854+50000+185998+38000</f>
        <v>8688852</v>
      </c>
      <c r="G407" s="55">
        <f>6406866+152457</f>
        <v>6559323</v>
      </c>
      <c r="H407" s="55">
        <v>276309</v>
      </c>
      <c r="I407" s="55"/>
      <c r="J407" s="56">
        <f t="shared" si="33"/>
        <v>80000</v>
      </c>
      <c r="K407" s="66">
        <v>80000</v>
      </c>
      <c r="L407" s="55">
        <v>0</v>
      </c>
      <c r="M407" s="55">
        <v>0</v>
      </c>
      <c r="N407" s="55">
        <v>0</v>
      </c>
      <c r="O407" s="66">
        <v>80000</v>
      </c>
      <c r="P407" s="58">
        <f t="shared" si="32"/>
        <v>8768852</v>
      </c>
      <c r="Q407" s="223"/>
      <c r="R407" s="96"/>
      <c r="S407" s="83"/>
      <c r="T407" s="83"/>
    </row>
    <row r="408" spans="1:20" s="59" customFormat="1" ht="24.75" customHeight="1">
      <c r="A408" s="52" t="s">
        <v>611</v>
      </c>
      <c r="B408" s="53" t="s">
        <v>286</v>
      </c>
      <c r="C408" s="52" t="s">
        <v>285</v>
      </c>
      <c r="D408" s="50" t="s">
        <v>287</v>
      </c>
      <c r="E408" s="54">
        <f t="shared" si="30"/>
        <v>143000</v>
      </c>
      <c r="F408" s="55">
        <v>143000</v>
      </c>
      <c r="G408" s="55"/>
      <c r="H408" s="55"/>
      <c r="I408" s="55"/>
      <c r="J408" s="56">
        <f t="shared" si="33"/>
        <v>0</v>
      </c>
      <c r="K408" s="66"/>
      <c r="L408" s="55">
        <v>0</v>
      </c>
      <c r="M408" s="55">
        <v>0</v>
      </c>
      <c r="N408" s="55">
        <v>0</v>
      </c>
      <c r="O408" s="66">
        <v>0</v>
      </c>
      <c r="P408" s="58">
        <f t="shared" si="32"/>
        <v>143000</v>
      </c>
      <c r="Q408" s="223"/>
      <c r="R408" s="96"/>
      <c r="S408" s="83"/>
      <c r="T408" s="83"/>
    </row>
    <row r="409" spans="1:20" s="59" customFormat="1" ht="34.5" customHeight="1">
      <c r="A409" s="52" t="s">
        <v>612</v>
      </c>
      <c r="B409" s="53" t="s">
        <v>613</v>
      </c>
      <c r="C409" s="52" t="s">
        <v>534</v>
      </c>
      <c r="D409" s="50" t="s">
        <v>614</v>
      </c>
      <c r="E409" s="54">
        <f t="shared" si="30"/>
        <v>0</v>
      </c>
      <c r="F409" s="55"/>
      <c r="G409" s="55"/>
      <c r="H409" s="55"/>
      <c r="I409" s="55"/>
      <c r="J409" s="56">
        <f t="shared" si="33"/>
        <v>742000</v>
      </c>
      <c r="K409" s="66">
        <f>3569000-2450000-39000-338000</f>
        <v>742000</v>
      </c>
      <c r="L409" s="55"/>
      <c r="M409" s="55"/>
      <c r="N409" s="55"/>
      <c r="O409" s="66">
        <f>3569000-2450000-39000-338000</f>
        <v>742000</v>
      </c>
      <c r="P409" s="58">
        <f t="shared" si="32"/>
        <v>742000</v>
      </c>
      <c r="Q409" s="223"/>
      <c r="R409" s="96"/>
      <c r="S409" s="83"/>
      <c r="T409" s="83"/>
    </row>
    <row r="410" spans="1:20" s="59" customFormat="1" ht="22.5" customHeight="1">
      <c r="A410" s="52" t="s">
        <v>615</v>
      </c>
      <c r="B410" s="53" t="s">
        <v>535</v>
      </c>
      <c r="C410" s="52" t="s">
        <v>534</v>
      </c>
      <c r="D410" s="50" t="s">
        <v>536</v>
      </c>
      <c r="E410" s="54">
        <f t="shared" si="30"/>
        <v>100000</v>
      </c>
      <c r="F410" s="55">
        <f>50000+50000</f>
        <v>100000</v>
      </c>
      <c r="G410" s="55"/>
      <c r="H410" s="55"/>
      <c r="I410" s="55"/>
      <c r="J410" s="56">
        <f t="shared" si="33"/>
        <v>0</v>
      </c>
      <c r="K410" s="66"/>
      <c r="L410" s="55"/>
      <c r="M410" s="55"/>
      <c r="N410" s="55"/>
      <c r="O410" s="66"/>
      <c r="P410" s="58">
        <f t="shared" si="32"/>
        <v>100000</v>
      </c>
      <c r="Q410" s="223"/>
      <c r="R410" s="96"/>
      <c r="S410" s="83"/>
      <c r="T410" s="83"/>
    </row>
    <row r="411" spans="1:20" s="59" customFormat="1" ht="24.75" customHeight="1">
      <c r="A411" s="52" t="s">
        <v>616</v>
      </c>
      <c r="B411" s="53" t="s">
        <v>618</v>
      </c>
      <c r="C411" s="52" t="s">
        <v>617</v>
      </c>
      <c r="D411" s="50" t="s">
        <v>619</v>
      </c>
      <c r="E411" s="54">
        <f t="shared" si="30"/>
        <v>107400</v>
      </c>
      <c r="F411" s="55"/>
      <c r="G411" s="55"/>
      <c r="H411" s="55"/>
      <c r="I411" s="55">
        <v>107400</v>
      </c>
      <c r="J411" s="56">
        <f t="shared" si="33"/>
        <v>0</v>
      </c>
      <c r="K411" s="66"/>
      <c r="L411" s="55"/>
      <c r="M411" s="55"/>
      <c r="N411" s="55"/>
      <c r="O411" s="66"/>
      <c r="P411" s="58">
        <f t="shared" si="32"/>
        <v>107400</v>
      </c>
      <c r="Q411" s="223"/>
      <c r="R411" s="96"/>
      <c r="S411" s="83"/>
      <c r="T411" s="83"/>
    </row>
    <row r="412" spans="1:20" s="59" customFormat="1" ht="34.5" customHeight="1">
      <c r="A412" s="65" t="s">
        <v>128</v>
      </c>
      <c r="B412" s="53">
        <v>7650</v>
      </c>
      <c r="C412" s="52" t="s">
        <v>380</v>
      </c>
      <c r="D412" s="51" t="s">
        <v>129</v>
      </c>
      <c r="E412" s="54">
        <f t="shared" si="30"/>
        <v>0</v>
      </c>
      <c r="F412" s="55"/>
      <c r="G412" s="55"/>
      <c r="H412" s="55"/>
      <c r="I412" s="55"/>
      <c r="J412" s="56">
        <f t="shared" si="33"/>
        <v>100000</v>
      </c>
      <c r="K412" s="66">
        <v>100000</v>
      </c>
      <c r="L412" s="55"/>
      <c r="M412" s="55"/>
      <c r="N412" s="55"/>
      <c r="O412" s="66">
        <v>100000</v>
      </c>
      <c r="P412" s="58">
        <f t="shared" si="32"/>
        <v>100000</v>
      </c>
      <c r="Q412" s="223"/>
      <c r="R412" s="96"/>
      <c r="S412" s="83"/>
      <c r="T412" s="83"/>
    </row>
    <row r="413" spans="1:20" s="59" customFormat="1" ht="51" customHeight="1">
      <c r="A413" s="52" t="s">
        <v>620</v>
      </c>
      <c r="B413" s="53" t="s">
        <v>621</v>
      </c>
      <c r="C413" s="52" t="s">
        <v>380</v>
      </c>
      <c r="D413" s="50" t="s">
        <v>622</v>
      </c>
      <c r="E413" s="54">
        <f t="shared" si="30"/>
        <v>0</v>
      </c>
      <c r="F413" s="55"/>
      <c r="G413" s="55"/>
      <c r="H413" s="55"/>
      <c r="I413" s="55"/>
      <c r="J413" s="56">
        <f t="shared" si="33"/>
        <v>200000</v>
      </c>
      <c r="K413" s="66">
        <v>200000</v>
      </c>
      <c r="L413" s="55"/>
      <c r="M413" s="55"/>
      <c r="N413" s="55"/>
      <c r="O413" s="66">
        <v>200000</v>
      </c>
      <c r="P413" s="58">
        <f t="shared" si="32"/>
        <v>200000</v>
      </c>
      <c r="Q413" s="223"/>
      <c r="R413" s="96"/>
      <c r="S413" s="83"/>
      <c r="T413" s="83"/>
    </row>
    <row r="414" spans="1:20" s="59" customFormat="1" ht="24.75" customHeight="1">
      <c r="A414" s="52" t="s">
        <v>623</v>
      </c>
      <c r="B414" s="53" t="s">
        <v>589</v>
      </c>
      <c r="C414" s="52" t="s">
        <v>380</v>
      </c>
      <c r="D414" s="50" t="s">
        <v>590</v>
      </c>
      <c r="E414" s="54">
        <f t="shared" si="30"/>
        <v>229920</v>
      </c>
      <c r="F414" s="55">
        <f>1718400-300000-1202950+14470</f>
        <v>229920</v>
      </c>
      <c r="G414" s="55"/>
      <c r="H414" s="55"/>
      <c r="I414" s="55"/>
      <c r="J414" s="56">
        <f t="shared" si="33"/>
        <v>0</v>
      </c>
      <c r="K414" s="66"/>
      <c r="L414" s="55"/>
      <c r="M414" s="55"/>
      <c r="N414" s="55"/>
      <c r="O414" s="66"/>
      <c r="P414" s="58">
        <f t="shared" si="32"/>
        <v>229920</v>
      </c>
      <c r="Q414" s="223"/>
      <c r="R414" s="96"/>
      <c r="S414" s="83"/>
      <c r="T414" s="83"/>
    </row>
    <row r="415" spans="1:20" s="138" customFormat="1" ht="21.75" customHeight="1">
      <c r="A415" s="130" t="s">
        <v>624</v>
      </c>
      <c r="B415" s="134"/>
      <c r="C415" s="128"/>
      <c r="D415" s="135" t="s">
        <v>625</v>
      </c>
      <c r="E415" s="108">
        <f t="shared" si="30"/>
        <v>4762219</v>
      </c>
      <c r="F415" s="108">
        <f>SUM(F416)</f>
        <v>4762219</v>
      </c>
      <c r="G415" s="108">
        <f>SUM(G416)</f>
        <v>527145</v>
      </c>
      <c r="H415" s="108">
        <f>SUM(H416)</f>
        <v>33090</v>
      </c>
      <c r="I415" s="108">
        <f>SUM(I416)</f>
        <v>0</v>
      </c>
      <c r="J415" s="108">
        <f t="shared" si="33"/>
        <v>0</v>
      </c>
      <c r="K415" s="108">
        <f>SUM(K416)</f>
        <v>0</v>
      </c>
      <c r="L415" s="108">
        <f>SUM(L416)</f>
        <v>0</v>
      </c>
      <c r="M415" s="108">
        <f>SUM(M416)</f>
        <v>0</v>
      </c>
      <c r="N415" s="108">
        <f>SUM(N416)</f>
        <v>0</v>
      </c>
      <c r="O415" s="108">
        <f>SUM(O416)</f>
        <v>0</v>
      </c>
      <c r="P415" s="136">
        <f t="shared" si="32"/>
        <v>4762219</v>
      </c>
      <c r="Q415" s="223"/>
      <c r="R415" s="226"/>
      <c r="S415" s="137"/>
      <c r="T415" s="137"/>
    </row>
    <row r="416" spans="1:20" s="203" customFormat="1" ht="21" customHeight="1">
      <c r="A416" s="195" t="s">
        <v>626</v>
      </c>
      <c r="B416" s="196"/>
      <c r="C416" s="197"/>
      <c r="D416" s="198" t="s">
        <v>43</v>
      </c>
      <c r="E416" s="199">
        <f>F416+I416</f>
        <v>4762219</v>
      </c>
      <c r="F416" s="199">
        <f>SUM(F417+F419+F420+F418)</f>
        <v>4762219</v>
      </c>
      <c r="G416" s="199">
        <f>SUM(G417+G419+G420+G418)</f>
        <v>527145</v>
      </c>
      <c r="H416" s="199">
        <f>SUM(H417+H419+H420+H418)</f>
        <v>33090</v>
      </c>
      <c r="I416" s="199">
        <f>SUM(I417+I419+I420+I418)</f>
        <v>0</v>
      </c>
      <c r="J416" s="200">
        <f t="shared" si="33"/>
        <v>0</v>
      </c>
      <c r="K416" s="200">
        <f>SUM(K417+K419+K420)</f>
        <v>0</v>
      </c>
      <c r="L416" s="200">
        <f>SUM(L417+L419+L420)</f>
        <v>0</v>
      </c>
      <c r="M416" s="200">
        <f>SUM(M417+M419+M420)</f>
        <v>0</v>
      </c>
      <c r="N416" s="200">
        <f>SUM(N417+N419+N420)</f>
        <v>0</v>
      </c>
      <c r="O416" s="200">
        <f>SUM(O417+O419+O420)</f>
        <v>0</v>
      </c>
      <c r="P416" s="211">
        <f>E416+J416</f>
        <v>4762219</v>
      </c>
      <c r="Q416" s="223"/>
      <c r="R416" s="227"/>
      <c r="S416" s="202"/>
      <c r="T416" s="202"/>
    </row>
    <row r="417" spans="1:20" s="59" customFormat="1" ht="36" customHeight="1">
      <c r="A417" s="52" t="s">
        <v>627</v>
      </c>
      <c r="B417" s="53" t="s">
        <v>296</v>
      </c>
      <c r="C417" s="52" t="s">
        <v>281</v>
      </c>
      <c r="D417" s="50" t="s">
        <v>297</v>
      </c>
      <c r="E417" s="54">
        <f t="shared" si="30"/>
        <v>792719</v>
      </c>
      <c r="F417" s="55">
        <f>733519+34200+25000</f>
        <v>792719</v>
      </c>
      <c r="G417" s="55">
        <v>527145</v>
      </c>
      <c r="H417" s="55">
        <v>33090</v>
      </c>
      <c r="I417" s="55"/>
      <c r="J417" s="56">
        <f t="shared" si="33"/>
        <v>0</v>
      </c>
      <c r="K417" s="66"/>
      <c r="L417" s="55"/>
      <c r="M417" s="55"/>
      <c r="N417" s="55"/>
      <c r="O417" s="66"/>
      <c r="P417" s="58">
        <f t="shared" si="32"/>
        <v>792719</v>
      </c>
      <c r="Q417" s="223"/>
      <c r="R417" s="96"/>
      <c r="S417" s="83"/>
      <c r="T417" s="83"/>
    </row>
    <row r="418" spans="1:20" s="59" customFormat="1" ht="36" customHeight="1">
      <c r="A418" s="65" t="s">
        <v>224</v>
      </c>
      <c r="B418" s="65" t="s">
        <v>646</v>
      </c>
      <c r="C418" s="65" t="s">
        <v>137</v>
      </c>
      <c r="D418" s="51" t="s">
        <v>138</v>
      </c>
      <c r="E418" s="54">
        <f t="shared" si="30"/>
        <v>4500</v>
      </c>
      <c r="F418" s="55">
        <v>4500</v>
      </c>
      <c r="G418" s="55"/>
      <c r="H418" s="55"/>
      <c r="I418" s="55"/>
      <c r="J418" s="56">
        <f t="shared" si="33"/>
        <v>0</v>
      </c>
      <c r="K418" s="66"/>
      <c r="L418" s="55"/>
      <c r="M418" s="55"/>
      <c r="N418" s="55"/>
      <c r="O418" s="66"/>
      <c r="P418" s="58">
        <f t="shared" si="32"/>
        <v>4500</v>
      </c>
      <c r="Q418" s="223"/>
      <c r="R418" s="96"/>
      <c r="S418" s="83"/>
      <c r="T418" s="83"/>
    </row>
    <row r="419" spans="1:20" s="59" customFormat="1" ht="27.75" customHeight="1">
      <c r="A419" s="52" t="s">
        <v>628</v>
      </c>
      <c r="B419" s="53" t="s">
        <v>286</v>
      </c>
      <c r="C419" s="52" t="s">
        <v>285</v>
      </c>
      <c r="D419" s="50" t="s">
        <v>287</v>
      </c>
      <c r="E419" s="54">
        <f t="shared" si="30"/>
        <v>3965000</v>
      </c>
      <c r="F419" s="55">
        <f>55000+800000+3000000+110000</f>
        <v>3965000</v>
      </c>
      <c r="G419" s="55"/>
      <c r="H419" s="55"/>
      <c r="I419" s="55"/>
      <c r="J419" s="56">
        <f t="shared" si="33"/>
        <v>0</v>
      </c>
      <c r="K419" s="66"/>
      <c r="L419" s="55"/>
      <c r="M419" s="55"/>
      <c r="N419" s="55"/>
      <c r="O419" s="66"/>
      <c r="P419" s="58">
        <f t="shared" si="32"/>
        <v>3965000</v>
      </c>
      <c r="Q419" s="223"/>
      <c r="R419" s="96"/>
      <c r="S419" s="83"/>
      <c r="T419" s="83"/>
    </row>
    <row r="420" spans="1:20" s="59" customFormat="1" ht="27.75" customHeight="1" hidden="1">
      <c r="A420" s="52" t="s">
        <v>629</v>
      </c>
      <c r="B420" s="53" t="s">
        <v>531</v>
      </c>
      <c r="C420" s="52" t="s">
        <v>524</v>
      </c>
      <c r="D420" s="50" t="s">
        <v>532</v>
      </c>
      <c r="E420" s="54">
        <f t="shared" si="30"/>
        <v>0</v>
      </c>
      <c r="F420" s="55">
        <f>50000-50000</f>
        <v>0</v>
      </c>
      <c r="G420" s="55"/>
      <c r="H420" s="55"/>
      <c r="I420" s="55"/>
      <c r="J420" s="56">
        <f t="shared" si="33"/>
        <v>0</v>
      </c>
      <c r="K420" s="66"/>
      <c r="L420" s="55"/>
      <c r="M420" s="55"/>
      <c r="N420" s="55"/>
      <c r="O420" s="66"/>
      <c r="P420" s="58">
        <f t="shared" si="32"/>
        <v>0</v>
      </c>
      <c r="Q420" s="223"/>
      <c r="R420" s="96"/>
      <c r="S420" s="83"/>
      <c r="T420" s="83"/>
    </row>
    <row r="421" spans="1:20" s="138" customFormat="1" ht="33.75" customHeight="1">
      <c r="A421" s="130" t="s">
        <v>630</v>
      </c>
      <c r="B421" s="134"/>
      <c r="C421" s="128"/>
      <c r="D421" s="135" t="s">
        <v>631</v>
      </c>
      <c r="E421" s="108">
        <f t="shared" si="30"/>
        <v>11539208</v>
      </c>
      <c r="F421" s="108">
        <f>F422</f>
        <v>11539208</v>
      </c>
      <c r="G421" s="108">
        <f>G422</f>
        <v>6677608</v>
      </c>
      <c r="H421" s="108">
        <f>H422</f>
        <v>708217</v>
      </c>
      <c r="I421" s="108">
        <f>I422</f>
        <v>0</v>
      </c>
      <c r="J421" s="108">
        <f t="shared" si="33"/>
        <v>541749</v>
      </c>
      <c r="K421" s="108">
        <f>K422</f>
        <v>535199</v>
      </c>
      <c r="L421" s="108">
        <f>L422</f>
        <v>6550</v>
      </c>
      <c r="M421" s="108">
        <f>M422</f>
        <v>0</v>
      </c>
      <c r="N421" s="108">
        <f>N422</f>
        <v>0</v>
      </c>
      <c r="O421" s="108">
        <f>O422</f>
        <v>535199</v>
      </c>
      <c r="P421" s="136">
        <f t="shared" si="32"/>
        <v>12080957</v>
      </c>
      <c r="Q421" s="223"/>
      <c r="R421" s="226"/>
      <c r="S421" s="137"/>
      <c r="T421" s="137"/>
    </row>
    <row r="422" spans="1:20" s="203" customFormat="1" ht="31.5" customHeight="1">
      <c r="A422" s="195" t="s">
        <v>632</v>
      </c>
      <c r="B422" s="196"/>
      <c r="C422" s="197"/>
      <c r="D422" s="198" t="s">
        <v>47</v>
      </c>
      <c r="E422" s="199">
        <f>E423+E424+E425+E426</f>
        <v>11539208</v>
      </c>
      <c r="F422" s="199">
        <f>F423+F424+F425+F426</f>
        <v>11539208</v>
      </c>
      <c r="G422" s="199">
        <f>G423+G424+G425+G426</f>
        <v>6677608</v>
      </c>
      <c r="H422" s="199">
        <f>H423+H424+H425+H426</f>
        <v>708217</v>
      </c>
      <c r="I422" s="199">
        <f>I423+I424+I425+I426</f>
        <v>0</v>
      </c>
      <c r="J422" s="200">
        <f t="shared" si="33"/>
        <v>541749</v>
      </c>
      <c r="K422" s="199">
        <f>K423+K424+K425+K426</f>
        <v>535199</v>
      </c>
      <c r="L422" s="199">
        <f>L423+L424+L425+L426</f>
        <v>6550</v>
      </c>
      <c r="M422" s="199">
        <f>M423+M424+M425+M426</f>
        <v>0</v>
      </c>
      <c r="N422" s="199">
        <f>N423+N424+N425+N426</f>
        <v>0</v>
      </c>
      <c r="O422" s="199">
        <f>O423+O424+O425+O426</f>
        <v>535199</v>
      </c>
      <c r="P422" s="201">
        <f>E422+J422</f>
        <v>12080957</v>
      </c>
      <c r="Q422" s="223"/>
      <c r="R422" s="227"/>
      <c r="S422" s="202"/>
      <c r="T422" s="202"/>
    </row>
    <row r="423" spans="1:20" s="59" customFormat="1" ht="42" customHeight="1">
      <c r="A423" s="52" t="s">
        <v>633</v>
      </c>
      <c r="B423" s="53" t="s">
        <v>296</v>
      </c>
      <c r="C423" s="52" t="s">
        <v>281</v>
      </c>
      <c r="D423" s="50" t="s">
        <v>297</v>
      </c>
      <c r="E423" s="54">
        <f>F423+I423</f>
        <v>10059088</v>
      </c>
      <c r="F423" s="55">
        <f>9524168+66580+75340+36000+20000+200000+137000</f>
        <v>10059088</v>
      </c>
      <c r="G423" s="55">
        <v>6677608</v>
      </c>
      <c r="H423" s="55">
        <f>369290+60587+75340+3000+200000</f>
        <v>708217</v>
      </c>
      <c r="I423" s="55"/>
      <c r="J423" s="56">
        <f t="shared" si="33"/>
        <v>529550</v>
      </c>
      <c r="K423" s="66">
        <f>300000+190000+33000</f>
        <v>523000</v>
      </c>
      <c r="L423" s="55">
        <v>6550</v>
      </c>
      <c r="M423" s="55"/>
      <c r="N423" s="55"/>
      <c r="O423" s="66">
        <f>300000+190000+33000</f>
        <v>523000</v>
      </c>
      <c r="P423" s="58">
        <f t="shared" si="32"/>
        <v>10588638</v>
      </c>
      <c r="Q423" s="223"/>
      <c r="R423" s="96"/>
      <c r="S423" s="83"/>
      <c r="T423" s="83"/>
    </row>
    <row r="424" spans="1:20" s="59" customFormat="1" ht="24" customHeight="1">
      <c r="A424" s="52" t="s">
        <v>634</v>
      </c>
      <c r="B424" s="53" t="s">
        <v>286</v>
      </c>
      <c r="C424" s="52" t="s">
        <v>285</v>
      </c>
      <c r="D424" s="50" t="s">
        <v>287</v>
      </c>
      <c r="E424" s="54">
        <f t="shared" si="30"/>
        <v>165000</v>
      </c>
      <c r="F424" s="55">
        <f>120000+45000</f>
        <v>165000</v>
      </c>
      <c r="G424" s="55"/>
      <c r="H424" s="55"/>
      <c r="I424" s="55"/>
      <c r="J424" s="56">
        <f t="shared" si="33"/>
        <v>0</v>
      </c>
      <c r="K424" s="66"/>
      <c r="L424" s="55"/>
      <c r="M424" s="55"/>
      <c r="N424" s="55"/>
      <c r="O424" s="66"/>
      <c r="P424" s="58">
        <f t="shared" si="32"/>
        <v>165000</v>
      </c>
      <c r="Q424" s="223"/>
      <c r="R424" s="96"/>
      <c r="S424" s="83"/>
      <c r="T424" s="83"/>
    </row>
    <row r="425" spans="1:20" s="59" customFormat="1" ht="47.25" customHeight="1">
      <c r="A425" s="52" t="s">
        <v>220</v>
      </c>
      <c r="B425" s="53" t="s">
        <v>528</v>
      </c>
      <c r="C425" s="52" t="s">
        <v>524</v>
      </c>
      <c r="D425" s="50" t="s">
        <v>529</v>
      </c>
      <c r="E425" s="54">
        <f t="shared" si="30"/>
        <v>1304420</v>
      </c>
      <c r="F425" s="55">
        <f>1000000+200000+100000+4420</f>
        <v>1304420</v>
      </c>
      <c r="G425" s="55"/>
      <c r="H425" s="55"/>
      <c r="I425" s="55"/>
      <c r="J425" s="56">
        <f t="shared" si="33"/>
        <v>12199</v>
      </c>
      <c r="K425" s="66">
        <f>12199</f>
        <v>12199</v>
      </c>
      <c r="L425" s="55"/>
      <c r="M425" s="55"/>
      <c r="N425" s="55"/>
      <c r="O425" s="66">
        <f>12199</f>
        <v>12199</v>
      </c>
      <c r="P425" s="58">
        <f t="shared" si="32"/>
        <v>1316619</v>
      </c>
      <c r="Q425" s="223"/>
      <c r="R425" s="96"/>
      <c r="S425" s="83"/>
      <c r="T425" s="83"/>
    </row>
    <row r="426" spans="1:20" s="59" customFormat="1" ht="23.25" customHeight="1">
      <c r="A426" s="52" t="s">
        <v>635</v>
      </c>
      <c r="B426" s="53" t="s">
        <v>637</v>
      </c>
      <c r="C426" s="52" t="s">
        <v>636</v>
      </c>
      <c r="D426" s="50" t="s">
        <v>638</v>
      </c>
      <c r="E426" s="54">
        <f t="shared" si="30"/>
        <v>10700</v>
      </c>
      <c r="F426" s="55">
        <v>10700</v>
      </c>
      <c r="G426" s="55"/>
      <c r="H426" s="55"/>
      <c r="I426" s="55"/>
      <c r="J426" s="56">
        <f t="shared" si="33"/>
        <v>0</v>
      </c>
      <c r="K426" s="66"/>
      <c r="L426" s="55"/>
      <c r="M426" s="55"/>
      <c r="N426" s="55"/>
      <c r="O426" s="66"/>
      <c r="P426" s="58">
        <f t="shared" si="32"/>
        <v>10700</v>
      </c>
      <c r="Q426" s="223"/>
      <c r="R426" s="96"/>
      <c r="S426" s="83"/>
      <c r="T426" s="83"/>
    </row>
    <row r="427" spans="1:20" s="138" customFormat="1" ht="26.25" customHeight="1">
      <c r="A427" s="130" t="s">
        <v>639</v>
      </c>
      <c r="B427" s="134"/>
      <c r="C427" s="128"/>
      <c r="D427" s="135" t="s">
        <v>640</v>
      </c>
      <c r="E427" s="108">
        <f>F427+I427+E434</f>
        <v>11620189.71</v>
      </c>
      <c r="F427" s="108">
        <f>F428</f>
        <v>11520189.71</v>
      </c>
      <c r="G427" s="108">
        <f>G428</f>
        <v>4764970</v>
      </c>
      <c r="H427" s="108">
        <f>H428</f>
        <v>245222</v>
      </c>
      <c r="I427" s="108">
        <f>I428</f>
        <v>100000</v>
      </c>
      <c r="J427" s="108">
        <f t="shared" si="33"/>
        <v>1295515</v>
      </c>
      <c r="K427" s="108">
        <f>K428</f>
        <v>1295515</v>
      </c>
      <c r="L427" s="108">
        <f>L428</f>
        <v>0</v>
      </c>
      <c r="M427" s="108">
        <f>M428</f>
        <v>0</v>
      </c>
      <c r="N427" s="108">
        <f>N428</f>
        <v>0</v>
      </c>
      <c r="O427" s="108">
        <f>O428</f>
        <v>1295515</v>
      </c>
      <c r="P427" s="136">
        <f t="shared" si="32"/>
        <v>12915704.71</v>
      </c>
      <c r="Q427" s="223"/>
      <c r="R427" s="226"/>
      <c r="S427" s="137"/>
      <c r="T427" s="137"/>
    </row>
    <row r="428" spans="1:20" s="203" customFormat="1" ht="23.25" customHeight="1">
      <c r="A428" s="195" t="s">
        <v>641</v>
      </c>
      <c r="B428" s="196"/>
      <c r="C428" s="197"/>
      <c r="D428" s="204" t="s">
        <v>48</v>
      </c>
      <c r="E428" s="199">
        <f>F428+I428</f>
        <v>11620189.71</v>
      </c>
      <c r="F428" s="199">
        <f>F429+F430+F433+F434+F435+F436+F438+F441+F431</f>
        <v>11520189.71</v>
      </c>
      <c r="G428" s="199">
        <f>G429+G430+G433+G434+G435+G436+G438+G441+G431</f>
        <v>4764970</v>
      </c>
      <c r="H428" s="199">
        <f>H429+H430+H433+H434+H435+H436+H438+H441+H431</f>
        <v>245222</v>
      </c>
      <c r="I428" s="199">
        <f>I429+I430+I433+I434+I435+I436+I438+I441+I431</f>
        <v>100000</v>
      </c>
      <c r="J428" s="200">
        <f>L428+O428</f>
        <v>1295515</v>
      </c>
      <c r="K428" s="199">
        <f>K429+K430+K433+K434+K435+K436+K438+K441+K431</f>
        <v>1295515</v>
      </c>
      <c r="L428" s="199">
        <f>L429+L430+L433+L434+L435+L436+L438+L441+L431</f>
        <v>0</v>
      </c>
      <c r="M428" s="199">
        <f>M429+M430+M433+M434+M435+M436+M438+M441+M431</f>
        <v>0</v>
      </c>
      <c r="N428" s="199">
        <f>N429+N430+N433+N434+N435+N436+N438+N441+N431</f>
        <v>0</v>
      </c>
      <c r="O428" s="199">
        <f>O429+O430+O433+O434+O435+O436+O438+O441+O431</f>
        <v>1295515</v>
      </c>
      <c r="P428" s="201">
        <f>E428+J428</f>
        <v>12915704.71</v>
      </c>
      <c r="Q428" s="223"/>
      <c r="R428" s="227"/>
      <c r="S428" s="202"/>
      <c r="T428" s="202"/>
    </row>
    <row r="429" spans="1:20" s="59" customFormat="1" ht="36" customHeight="1">
      <c r="A429" s="52" t="s">
        <v>642</v>
      </c>
      <c r="B429" s="53" t="s">
        <v>296</v>
      </c>
      <c r="C429" s="52" t="s">
        <v>281</v>
      </c>
      <c r="D429" s="50" t="s">
        <v>297</v>
      </c>
      <c r="E429" s="54">
        <f aca="true" t="shared" si="35" ref="E429:E463">F429+I429</f>
        <v>6626178</v>
      </c>
      <c r="F429" s="55">
        <f>6433178+33400+159600</f>
        <v>6626178</v>
      </c>
      <c r="G429" s="55">
        <f>4634150+130820</f>
        <v>4764970</v>
      </c>
      <c r="H429" s="55">
        <f>211822+33400</f>
        <v>245222</v>
      </c>
      <c r="I429" s="55"/>
      <c r="J429" s="56">
        <f t="shared" si="33"/>
        <v>600000</v>
      </c>
      <c r="K429" s="66">
        <v>600000</v>
      </c>
      <c r="L429" s="55"/>
      <c r="M429" s="55"/>
      <c r="N429" s="55"/>
      <c r="O429" s="66">
        <v>600000</v>
      </c>
      <c r="P429" s="58">
        <f t="shared" si="32"/>
        <v>7226178</v>
      </c>
      <c r="Q429" s="223"/>
      <c r="R429" s="96"/>
      <c r="S429" s="83"/>
      <c r="T429" s="83"/>
    </row>
    <row r="430" spans="1:20" s="59" customFormat="1" ht="22.5" customHeight="1">
      <c r="A430" s="52" t="s">
        <v>643</v>
      </c>
      <c r="B430" s="53" t="s">
        <v>286</v>
      </c>
      <c r="C430" s="52" t="s">
        <v>285</v>
      </c>
      <c r="D430" s="50" t="s">
        <v>287</v>
      </c>
      <c r="E430" s="54">
        <f t="shared" si="35"/>
        <v>164728</v>
      </c>
      <c r="F430" s="55">
        <f>140800+3928+20000</f>
        <v>164728</v>
      </c>
      <c r="G430" s="55">
        <v>0</v>
      </c>
      <c r="H430" s="55">
        <v>0</v>
      </c>
      <c r="I430" s="55">
        <v>0</v>
      </c>
      <c r="J430" s="56">
        <f t="shared" si="33"/>
        <v>0</v>
      </c>
      <c r="K430" s="66"/>
      <c r="L430" s="55">
        <v>0</v>
      </c>
      <c r="M430" s="55">
        <v>0</v>
      </c>
      <c r="N430" s="55">
        <v>0</v>
      </c>
      <c r="O430" s="66">
        <v>0</v>
      </c>
      <c r="P430" s="58">
        <f t="shared" si="32"/>
        <v>164728</v>
      </c>
      <c r="Q430" s="223"/>
      <c r="R430" s="96"/>
      <c r="S430" s="83"/>
      <c r="T430" s="83"/>
    </row>
    <row r="431" spans="1:20" s="296" customFormat="1" ht="24.75" customHeight="1">
      <c r="A431" s="113" t="s">
        <v>644</v>
      </c>
      <c r="B431" s="114" t="s">
        <v>589</v>
      </c>
      <c r="C431" s="113" t="s">
        <v>380</v>
      </c>
      <c r="D431" s="292" t="s">
        <v>590</v>
      </c>
      <c r="E431" s="54">
        <f>F431+I431</f>
        <v>153292.36000000173</v>
      </c>
      <c r="F431" s="57">
        <f>F432+50000+199500+109485+90700-90700-358985+17154.72+97233-3000-10000+2950000-3051387.72</f>
        <v>153292.36000000173</v>
      </c>
      <c r="G431" s="57"/>
      <c r="H431" s="57"/>
      <c r="I431" s="57"/>
      <c r="J431" s="56">
        <f t="shared" si="33"/>
        <v>0</v>
      </c>
      <c r="K431" s="57"/>
      <c r="L431" s="57"/>
      <c r="M431" s="57"/>
      <c r="N431" s="57"/>
      <c r="O431" s="57"/>
      <c r="P431" s="56">
        <f>E431+J431</f>
        <v>153292.36000000173</v>
      </c>
      <c r="Q431" s="293"/>
      <c r="R431" s="294"/>
      <c r="S431" s="295"/>
      <c r="T431" s="295"/>
    </row>
    <row r="432" spans="1:20" s="82" customFormat="1" ht="33.75" customHeight="1">
      <c r="A432" s="18"/>
      <c r="B432" s="19"/>
      <c r="C432" s="18"/>
      <c r="D432" s="3" t="s">
        <v>209</v>
      </c>
      <c r="E432" s="22">
        <f t="shared" si="35"/>
        <v>153292.36000000173</v>
      </c>
      <c r="F432" s="23">
        <f>14700000-1031066.28-3515377.11-1563966.13-151947-1242276.05-982662.84-602325.12-419346.56-934889.06-761238.82-1044150.38+11410-981589.99-300783.08-181880+18000-540335.22-322284</f>
        <v>153292.36000000173</v>
      </c>
      <c r="G432" s="23"/>
      <c r="H432" s="23"/>
      <c r="I432" s="23"/>
      <c r="J432" s="24">
        <f t="shared" si="33"/>
        <v>0</v>
      </c>
      <c r="K432" s="48"/>
      <c r="L432" s="23"/>
      <c r="M432" s="23"/>
      <c r="N432" s="23"/>
      <c r="O432" s="48"/>
      <c r="P432" s="25">
        <f t="shared" si="32"/>
        <v>153292.36000000173</v>
      </c>
      <c r="Q432" s="223"/>
      <c r="R432" s="17"/>
      <c r="S432" s="81"/>
      <c r="T432" s="81"/>
    </row>
    <row r="433" spans="1:20" s="59" customFormat="1" ht="26.25" customHeight="1">
      <c r="A433" s="52" t="s">
        <v>645</v>
      </c>
      <c r="B433" s="53" t="s">
        <v>647</v>
      </c>
      <c r="C433" s="52" t="s">
        <v>646</v>
      </c>
      <c r="D433" s="50" t="s">
        <v>648</v>
      </c>
      <c r="E433" s="54">
        <f>F433+I433</f>
        <v>17995</v>
      </c>
      <c r="F433" s="55">
        <f>373028-355033</f>
        <v>17995</v>
      </c>
      <c r="G433" s="55"/>
      <c r="H433" s="55"/>
      <c r="I433" s="55"/>
      <c r="J433" s="56">
        <f t="shared" si="33"/>
        <v>0</v>
      </c>
      <c r="K433" s="66"/>
      <c r="L433" s="55"/>
      <c r="M433" s="55"/>
      <c r="N433" s="55"/>
      <c r="O433" s="66"/>
      <c r="P433" s="58">
        <f t="shared" si="32"/>
        <v>17995</v>
      </c>
      <c r="Q433" s="223"/>
      <c r="R433" s="96"/>
      <c r="S433" s="83"/>
      <c r="T433" s="83"/>
    </row>
    <row r="434" spans="1:20" s="59" customFormat="1" ht="23.25" customHeight="1">
      <c r="A434" s="52" t="s">
        <v>649</v>
      </c>
      <c r="B434" s="53" t="s">
        <v>650</v>
      </c>
      <c r="C434" s="52" t="s">
        <v>285</v>
      </c>
      <c r="D434" s="50" t="s">
        <v>651</v>
      </c>
      <c r="E434" s="54">
        <f>10000000-10000000</f>
        <v>0</v>
      </c>
      <c r="F434" s="55"/>
      <c r="G434" s="55"/>
      <c r="H434" s="55"/>
      <c r="I434" s="55"/>
      <c r="J434" s="56">
        <f t="shared" si="33"/>
        <v>0</v>
      </c>
      <c r="K434" s="66"/>
      <c r="L434" s="55"/>
      <c r="M434" s="55"/>
      <c r="N434" s="55"/>
      <c r="O434" s="66"/>
      <c r="P434" s="58">
        <f t="shared" si="32"/>
        <v>0</v>
      </c>
      <c r="Q434" s="223"/>
      <c r="R434" s="96"/>
      <c r="S434" s="83"/>
      <c r="T434" s="83"/>
    </row>
    <row r="435" spans="1:20" s="59" customFormat="1" ht="23.25" customHeight="1">
      <c r="A435" s="65" t="s">
        <v>221</v>
      </c>
      <c r="B435" s="53">
        <v>9150</v>
      </c>
      <c r="C435" s="65" t="s">
        <v>286</v>
      </c>
      <c r="D435" s="51" t="s">
        <v>222</v>
      </c>
      <c r="E435" s="54">
        <f>F435+I435</f>
        <v>1000000</v>
      </c>
      <c r="F435" s="55">
        <v>1000000</v>
      </c>
      <c r="G435" s="55"/>
      <c r="H435" s="55"/>
      <c r="I435" s="55"/>
      <c r="J435" s="56">
        <f t="shared" si="33"/>
        <v>0</v>
      </c>
      <c r="K435" s="66"/>
      <c r="L435" s="55"/>
      <c r="M435" s="55"/>
      <c r="N435" s="55"/>
      <c r="O435" s="66"/>
      <c r="P435" s="58">
        <f t="shared" si="32"/>
        <v>1000000</v>
      </c>
      <c r="Q435" s="223"/>
      <c r="R435" s="96"/>
      <c r="S435" s="83"/>
      <c r="T435" s="83"/>
    </row>
    <row r="436" spans="1:18" s="59" customFormat="1" ht="51" customHeight="1">
      <c r="A436" s="65" t="s">
        <v>36</v>
      </c>
      <c r="B436" s="53">
        <v>9510</v>
      </c>
      <c r="C436" s="65" t="s">
        <v>286</v>
      </c>
      <c r="D436" s="51" t="s">
        <v>37</v>
      </c>
      <c r="E436" s="54">
        <f>F436+I436</f>
        <v>100000</v>
      </c>
      <c r="F436" s="55"/>
      <c r="G436" s="55"/>
      <c r="H436" s="55"/>
      <c r="I436" s="55">
        <v>100000</v>
      </c>
      <c r="J436" s="54">
        <f>K436+N436</f>
        <v>0</v>
      </c>
      <c r="K436" s="66"/>
      <c r="L436" s="55"/>
      <c r="M436" s="55"/>
      <c r="N436" s="55"/>
      <c r="O436" s="66"/>
      <c r="P436" s="54">
        <f t="shared" si="32"/>
        <v>100000</v>
      </c>
      <c r="Q436" s="241"/>
      <c r="R436" s="241"/>
    </row>
    <row r="437" spans="1:18" s="82" customFormat="1" ht="45.75" customHeight="1">
      <c r="A437" s="34"/>
      <c r="B437" s="19"/>
      <c r="C437" s="34"/>
      <c r="D437" s="21" t="s">
        <v>199</v>
      </c>
      <c r="E437" s="22">
        <f>F437+I437</f>
        <v>100000</v>
      </c>
      <c r="F437" s="23"/>
      <c r="G437" s="23"/>
      <c r="H437" s="23"/>
      <c r="I437" s="23">
        <v>100000</v>
      </c>
      <c r="J437" s="22">
        <f>K437+N437</f>
        <v>0</v>
      </c>
      <c r="K437" s="48"/>
      <c r="L437" s="23"/>
      <c r="M437" s="23"/>
      <c r="N437" s="23"/>
      <c r="O437" s="48"/>
      <c r="P437" s="22">
        <f t="shared" si="32"/>
        <v>100000</v>
      </c>
      <c r="Q437" s="242"/>
      <c r="R437" s="264" t="s">
        <v>443</v>
      </c>
    </row>
    <row r="438" spans="1:20" s="59" customFormat="1" ht="22.5" customHeight="1">
      <c r="A438" s="52" t="s">
        <v>152</v>
      </c>
      <c r="B438" s="53" t="s">
        <v>553</v>
      </c>
      <c r="C438" s="52" t="s">
        <v>286</v>
      </c>
      <c r="D438" s="50" t="s">
        <v>554</v>
      </c>
      <c r="E438" s="54">
        <f>F438</f>
        <v>53511.35000000009</v>
      </c>
      <c r="F438" s="55">
        <f>F439+F440</f>
        <v>53511.35000000009</v>
      </c>
      <c r="G438" s="55"/>
      <c r="H438" s="55"/>
      <c r="I438" s="55"/>
      <c r="J438" s="56">
        <f t="shared" si="33"/>
        <v>0</v>
      </c>
      <c r="K438" s="66"/>
      <c r="L438" s="55"/>
      <c r="M438" s="55"/>
      <c r="N438" s="55"/>
      <c r="O438" s="66"/>
      <c r="P438" s="58">
        <f>E438+J438</f>
        <v>53511.35000000009</v>
      </c>
      <c r="Q438" s="223"/>
      <c r="R438" s="96"/>
      <c r="S438" s="83"/>
      <c r="T438" s="83"/>
    </row>
    <row r="439" spans="1:20" s="82" customFormat="1" ht="30" customHeight="1">
      <c r="A439" s="18"/>
      <c r="B439" s="19"/>
      <c r="C439" s="18"/>
      <c r="D439" s="3" t="s">
        <v>226</v>
      </c>
      <c r="E439" s="22">
        <f>F439+I439</f>
        <v>3511.350000000093</v>
      </c>
      <c r="F439" s="23">
        <f>2705000+20000-515000-35000-204000-10000-118527-18000-128200-48500-66000-8000-27500-53000-30000-40000-26422-71065-88000-113902.89-16000-671800-50000-17525-4000+10000-78849.76-100000-22050-30000-140147</f>
        <v>3511.350000000093</v>
      </c>
      <c r="G439" s="23"/>
      <c r="H439" s="23"/>
      <c r="I439" s="23"/>
      <c r="J439" s="24">
        <f>L439+O439</f>
        <v>0</v>
      </c>
      <c r="K439" s="48"/>
      <c r="L439" s="23"/>
      <c r="M439" s="23"/>
      <c r="N439" s="23"/>
      <c r="O439" s="48"/>
      <c r="P439" s="25">
        <f>E439+J439</f>
        <v>3511.350000000093</v>
      </c>
      <c r="Q439" s="223">
        <f>P439+P30+P40+P59+P62+P130+P133+P330+P334+P225</f>
        <v>2640513</v>
      </c>
      <c r="R439" s="264" t="s">
        <v>439</v>
      </c>
      <c r="S439" s="81"/>
      <c r="T439" s="81"/>
    </row>
    <row r="440" spans="1:20" s="82" customFormat="1" ht="36.75" customHeight="1">
      <c r="A440" s="18"/>
      <c r="B440" s="19"/>
      <c r="C440" s="18"/>
      <c r="D440" s="3" t="s">
        <v>210</v>
      </c>
      <c r="E440" s="22">
        <f>F440+I440</f>
        <v>50000</v>
      </c>
      <c r="F440" s="23">
        <v>50000</v>
      </c>
      <c r="G440" s="23"/>
      <c r="H440" s="23"/>
      <c r="I440" s="23"/>
      <c r="J440" s="24">
        <f>L440+O440</f>
        <v>0</v>
      </c>
      <c r="K440" s="48"/>
      <c r="L440" s="23"/>
      <c r="M440" s="23"/>
      <c r="N440" s="23"/>
      <c r="O440" s="48"/>
      <c r="P440" s="25">
        <f>E440+J440</f>
        <v>50000</v>
      </c>
      <c r="Q440" s="223"/>
      <c r="R440" s="17"/>
      <c r="S440" s="81"/>
      <c r="T440" s="81"/>
    </row>
    <row r="441" spans="1:20" s="59" customFormat="1" ht="41.25" customHeight="1">
      <c r="A441" s="52" t="s">
        <v>150</v>
      </c>
      <c r="B441" s="53">
        <v>9800</v>
      </c>
      <c r="C441" s="52" t="s">
        <v>286</v>
      </c>
      <c r="D441" s="50" t="s">
        <v>151</v>
      </c>
      <c r="E441" s="54">
        <f>F441+I441</f>
        <v>3504485</v>
      </c>
      <c r="F441" s="66">
        <f>0+3654485-150000</f>
        <v>3504485</v>
      </c>
      <c r="G441" s="55"/>
      <c r="H441" s="55"/>
      <c r="I441" s="55"/>
      <c r="J441" s="56">
        <f t="shared" si="33"/>
        <v>695515</v>
      </c>
      <c r="K441" s="66">
        <f>0+545515+150000</f>
        <v>695515</v>
      </c>
      <c r="L441" s="55"/>
      <c r="M441" s="55"/>
      <c r="N441" s="55"/>
      <c r="O441" s="66">
        <f>0+545515+150000</f>
        <v>695515</v>
      </c>
      <c r="P441" s="58">
        <f aca="true" t="shared" si="36" ref="P441:P450">E441+J441</f>
        <v>4200000</v>
      </c>
      <c r="Q441" s="223"/>
      <c r="R441" s="96"/>
      <c r="S441" s="83"/>
      <c r="T441" s="83"/>
    </row>
    <row r="442" spans="1:20" s="138" customFormat="1" ht="39.75" customHeight="1">
      <c r="A442" s="130" t="s">
        <v>652</v>
      </c>
      <c r="B442" s="134"/>
      <c r="C442" s="128"/>
      <c r="D442" s="135" t="s">
        <v>653</v>
      </c>
      <c r="E442" s="108">
        <f t="shared" si="35"/>
        <v>12914413</v>
      </c>
      <c r="F442" s="108">
        <f>F443</f>
        <v>12914413</v>
      </c>
      <c r="G442" s="108">
        <f>G443</f>
        <v>5010023</v>
      </c>
      <c r="H442" s="108">
        <f>H443</f>
        <v>826072</v>
      </c>
      <c r="I442" s="108">
        <f>I443</f>
        <v>0</v>
      </c>
      <c r="J442" s="108">
        <f t="shared" si="33"/>
        <v>161340</v>
      </c>
      <c r="K442" s="108">
        <f>K443</f>
        <v>156340</v>
      </c>
      <c r="L442" s="108">
        <f>L443</f>
        <v>5000</v>
      </c>
      <c r="M442" s="108">
        <f>M443</f>
        <v>0</v>
      </c>
      <c r="N442" s="108">
        <f>N443</f>
        <v>0</v>
      </c>
      <c r="O442" s="108">
        <f>O443</f>
        <v>156340</v>
      </c>
      <c r="P442" s="136">
        <f t="shared" si="36"/>
        <v>13075753</v>
      </c>
      <c r="Q442" s="223"/>
      <c r="R442" s="226"/>
      <c r="S442" s="137"/>
      <c r="T442" s="137"/>
    </row>
    <row r="443" spans="1:20" s="203" customFormat="1" ht="27.75" customHeight="1">
      <c r="A443" s="195" t="s">
        <v>654</v>
      </c>
      <c r="B443" s="196"/>
      <c r="C443" s="197"/>
      <c r="D443" s="198" t="s">
        <v>49</v>
      </c>
      <c r="E443" s="199">
        <f>F443+I443</f>
        <v>12914413</v>
      </c>
      <c r="F443" s="199">
        <f>F444+F445+F446+F447+F448+F449</f>
        <v>12914413</v>
      </c>
      <c r="G443" s="199">
        <f>G444+G445+G446+G447+G448+G449</f>
        <v>5010023</v>
      </c>
      <c r="H443" s="199">
        <f>H444+H445+H446+H447+H448+H449</f>
        <v>826072</v>
      </c>
      <c r="I443" s="199">
        <f>I444+I445+I446+I447+I448+I449</f>
        <v>0</v>
      </c>
      <c r="J443" s="200">
        <f t="shared" si="33"/>
        <v>161340</v>
      </c>
      <c r="K443" s="200">
        <f>K444+K445+K446+K447+K448+K449</f>
        <v>156340</v>
      </c>
      <c r="L443" s="200">
        <f>L444+L445+L446+L447+L448+L449</f>
        <v>5000</v>
      </c>
      <c r="M443" s="200">
        <f>M444+M445+M446+M447+M448+M449</f>
        <v>0</v>
      </c>
      <c r="N443" s="200">
        <f>N444+N445+N446+N447+N448+N449</f>
        <v>0</v>
      </c>
      <c r="O443" s="200">
        <f>O444+O445+O446+O447+O448+O449</f>
        <v>156340</v>
      </c>
      <c r="P443" s="201">
        <f t="shared" si="36"/>
        <v>13075753</v>
      </c>
      <c r="Q443" s="223"/>
      <c r="R443" s="227"/>
      <c r="S443" s="202"/>
      <c r="T443" s="202"/>
    </row>
    <row r="444" spans="1:20" s="59" customFormat="1" ht="32.25" customHeight="1">
      <c r="A444" s="52" t="s">
        <v>655</v>
      </c>
      <c r="B444" s="53" t="s">
        <v>296</v>
      </c>
      <c r="C444" s="52" t="s">
        <v>281</v>
      </c>
      <c r="D444" s="50" t="s">
        <v>297</v>
      </c>
      <c r="E444" s="54">
        <f>F444+I444</f>
        <v>7460686</v>
      </c>
      <c r="F444" s="55">
        <f>7889297-7000-65000+40000-18500-151280-116013-110818</f>
        <v>7460686</v>
      </c>
      <c r="G444" s="55">
        <f>5229011-65000-124000-14000-29359</f>
        <v>4996652</v>
      </c>
      <c r="H444" s="55">
        <f>948585-7000-18500-22013-75000</f>
        <v>826072</v>
      </c>
      <c r="I444" s="55"/>
      <c r="J444" s="56">
        <f aca="true" t="shared" si="37" ref="J444:J465">L444+O444</f>
        <v>5000</v>
      </c>
      <c r="K444" s="66"/>
      <c r="L444" s="55">
        <v>5000</v>
      </c>
      <c r="M444" s="55"/>
      <c r="N444" s="55"/>
      <c r="O444" s="66"/>
      <c r="P444" s="58">
        <f t="shared" si="36"/>
        <v>7465686</v>
      </c>
      <c r="Q444" s="223"/>
      <c r="R444" s="96"/>
      <c r="S444" s="83"/>
      <c r="T444" s="83"/>
    </row>
    <row r="445" spans="1:20" s="59" customFormat="1" ht="24.75" customHeight="1">
      <c r="A445" s="52" t="s">
        <v>656</v>
      </c>
      <c r="B445" s="53" t="s">
        <v>286</v>
      </c>
      <c r="C445" s="52" t="s">
        <v>285</v>
      </c>
      <c r="D445" s="50" t="s">
        <v>287</v>
      </c>
      <c r="E445" s="54">
        <f t="shared" si="35"/>
        <v>1200154</v>
      </c>
      <c r="F445" s="55">
        <f>1174419+15000+10735</f>
        <v>1200154</v>
      </c>
      <c r="G445" s="55"/>
      <c r="H445" s="55"/>
      <c r="I445" s="55"/>
      <c r="J445" s="56">
        <f t="shared" si="37"/>
        <v>0</v>
      </c>
      <c r="K445" s="66"/>
      <c r="L445" s="55"/>
      <c r="M445" s="55"/>
      <c r="N445" s="55"/>
      <c r="O445" s="66"/>
      <c r="P445" s="58">
        <f t="shared" si="36"/>
        <v>1200154</v>
      </c>
      <c r="Q445" s="223"/>
      <c r="R445" s="96"/>
      <c r="S445" s="83"/>
      <c r="T445" s="83"/>
    </row>
    <row r="446" spans="1:20" s="296" customFormat="1" ht="21" customHeight="1">
      <c r="A446" s="333">
        <v>4113133</v>
      </c>
      <c r="B446" s="333" t="s">
        <v>227</v>
      </c>
      <c r="C446" s="333" t="s">
        <v>315</v>
      </c>
      <c r="D446" s="298" t="s">
        <v>258</v>
      </c>
      <c r="E446" s="54">
        <f t="shared" si="35"/>
        <v>705000</v>
      </c>
      <c r="F446" s="57">
        <f>1000000+25000-199500-70500-50000</f>
        <v>705000</v>
      </c>
      <c r="G446" s="57"/>
      <c r="H446" s="57"/>
      <c r="I446" s="57"/>
      <c r="J446" s="54">
        <f t="shared" si="37"/>
        <v>0</v>
      </c>
      <c r="K446" s="57"/>
      <c r="L446" s="57"/>
      <c r="M446" s="57"/>
      <c r="N446" s="57"/>
      <c r="O446" s="57"/>
      <c r="P446" s="54">
        <f t="shared" si="36"/>
        <v>705000</v>
      </c>
      <c r="Q446" s="293"/>
      <c r="R446" s="294"/>
      <c r="S446" s="295"/>
      <c r="T446" s="295"/>
    </row>
    <row r="447" spans="1:20" s="59" customFormat="1" ht="19.5" customHeight="1">
      <c r="A447" s="52" t="s">
        <v>75</v>
      </c>
      <c r="B447" s="53" t="s">
        <v>76</v>
      </c>
      <c r="C447" s="52" t="s">
        <v>521</v>
      </c>
      <c r="D447" s="50" t="s">
        <v>522</v>
      </c>
      <c r="E447" s="54">
        <f t="shared" si="35"/>
        <v>16313</v>
      </c>
      <c r="F447" s="55">
        <f>40300-10000-13987</f>
        <v>16313</v>
      </c>
      <c r="G447" s="55">
        <f>33033-8200-11462</f>
        <v>13371</v>
      </c>
      <c r="H447" s="55"/>
      <c r="I447" s="55"/>
      <c r="J447" s="56">
        <f t="shared" si="37"/>
        <v>0</v>
      </c>
      <c r="K447" s="66"/>
      <c r="L447" s="55"/>
      <c r="M447" s="55"/>
      <c r="N447" s="55"/>
      <c r="O447" s="66"/>
      <c r="P447" s="58">
        <f t="shared" si="36"/>
        <v>16313</v>
      </c>
      <c r="Q447" s="223"/>
      <c r="R447" s="96"/>
      <c r="S447" s="83"/>
      <c r="T447" s="83"/>
    </row>
    <row r="448" spans="1:20" s="59" customFormat="1" ht="27.75" customHeight="1" hidden="1">
      <c r="A448" s="65" t="s">
        <v>164</v>
      </c>
      <c r="B448" s="53">
        <v>6017</v>
      </c>
      <c r="C448" s="65" t="s">
        <v>524</v>
      </c>
      <c r="D448" s="68" t="s">
        <v>53</v>
      </c>
      <c r="E448" s="54">
        <f t="shared" si="35"/>
        <v>0</v>
      </c>
      <c r="F448" s="55"/>
      <c r="G448" s="55"/>
      <c r="H448" s="55"/>
      <c r="I448" s="55"/>
      <c r="J448" s="56">
        <f t="shared" si="37"/>
        <v>0</v>
      </c>
      <c r="K448" s="66"/>
      <c r="L448" s="55"/>
      <c r="M448" s="55"/>
      <c r="N448" s="55"/>
      <c r="O448" s="66"/>
      <c r="P448" s="58">
        <f t="shared" si="36"/>
        <v>0</v>
      </c>
      <c r="Q448" s="223"/>
      <c r="R448" s="96"/>
      <c r="S448" s="83"/>
      <c r="T448" s="83"/>
    </row>
    <row r="449" spans="1:20" s="59" customFormat="1" ht="22.5" customHeight="1">
      <c r="A449" s="52" t="s">
        <v>657</v>
      </c>
      <c r="B449" s="53" t="s">
        <v>531</v>
      </c>
      <c r="C449" s="52" t="s">
        <v>524</v>
      </c>
      <c r="D449" s="50" t="s">
        <v>532</v>
      </c>
      <c r="E449" s="54">
        <f t="shared" si="35"/>
        <v>3532260</v>
      </c>
      <c r="F449" s="55">
        <f>3218600+64660+199500+49500</f>
        <v>3532260</v>
      </c>
      <c r="G449" s="55"/>
      <c r="H449" s="55"/>
      <c r="I449" s="55"/>
      <c r="J449" s="56">
        <f t="shared" si="37"/>
        <v>156340</v>
      </c>
      <c r="K449" s="66">
        <f>420500-199500-64660</f>
        <v>156340</v>
      </c>
      <c r="L449" s="55"/>
      <c r="M449" s="55"/>
      <c r="N449" s="55"/>
      <c r="O449" s="66">
        <f>420500-199500-64660</f>
        <v>156340</v>
      </c>
      <c r="P449" s="58">
        <f t="shared" si="36"/>
        <v>3688600</v>
      </c>
      <c r="Q449" s="223"/>
      <c r="R449" s="96"/>
      <c r="S449" s="83"/>
      <c r="T449" s="83"/>
    </row>
    <row r="450" spans="1:20" s="138" customFormat="1" ht="30" customHeight="1">
      <c r="A450" s="130" t="s">
        <v>658</v>
      </c>
      <c r="B450" s="134"/>
      <c r="C450" s="128"/>
      <c r="D450" s="135" t="s">
        <v>653</v>
      </c>
      <c r="E450" s="108">
        <f t="shared" si="35"/>
        <v>11588042</v>
      </c>
      <c r="F450" s="108">
        <f>F451</f>
        <v>11588042</v>
      </c>
      <c r="G450" s="108">
        <f>G451</f>
        <v>5590700</v>
      </c>
      <c r="H450" s="108">
        <f>H451</f>
        <v>1118785</v>
      </c>
      <c r="I450" s="108">
        <f>I451</f>
        <v>0</v>
      </c>
      <c r="J450" s="108">
        <f t="shared" si="37"/>
        <v>586408.7</v>
      </c>
      <c r="K450" s="108">
        <f>K451</f>
        <v>445108.7</v>
      </c>
      <c r="L450" s="108">
        <f>L451</f>
        <v>141300</v>
      </c>
      <c r="M450" s="108">
        <f>M451</f>
        <v>0</v>
      </c>
      <c r="N450" s="108">
        <f>N451</f>
        <v>65800</v>
      </c>
      <c r="O450" s="108">
        <f>O451</f>
        <v>445108.7</v>
      </c>
      <c r="P450" s="136">
        <f t="shared" si="36"/>
        <v>12174450.7</v>
      </c>
      <c r="Q450" s="223"/>
      <c r="R450" s="226"/>
      <c r="S450" s="137"/>
      <c r="T450" s="137"/>
    </row>
    <row r="451" spans="1:20" s="203" customFormat="1" ht="27" customHeight="1">
      <c r="A451" s="195" t="s">
        <v>659</v>
      </c>
      <c r="B451" s="196"/>
      <c r="C451" s="197"/>
      <c r="D451" s="204" t="s">
        <v>50</v>
      </c>
      <c r="E451" s="199">
        <f t="shared" si="35"/>
        <v>11588042</v>
      </c>
      <c r="F451" s="199">
        <f>F452+F453+F454+F455+F456+F458</f>
        <v>11588042</v>
      </c>
      <c r="G451" s="199">
        <f>G452+G453+G454+G455+G456+G458</f>
        <v>5590700</v>
      </c>
      <c r="H451" s="199">
        <f>H452+H453+H454+H455+H456+H458</f>
        <v>1118785</v>
      </c>
      <c r="I451" s="199">
        <f>I452+I453+I454+I455+I456+I458</f>
        <v>0</v>
      </c>
      <c r="J451" s="200">
        <f>L451+O451</f>
        <v>586408.7</v>
      </c>
      <c r="K451" s="200">
        <f>K452+K453+K454+K455+K456+K458</f>
        <v>445108.7</v>
      </c>
      <c r="L451" s="200">
        <f>L452+L453+L454+L455+L456+L458</f>
        <v>141300</v>
      </c>
      <c r="M451" s="200">
        <f>M452+M453+M454+M455+M456+M458</f>
        <v>0</v>
      </c>
      <c r="N451" s="200">
        <f>N452+N453+N454+N455+N456+N458</f>
        <v>65800</v>
      </c>
      <c r="O451" s="200">
        <f>O452+O453+O454+O455+O456+O458</f>
        <v>445108.7</v>
      </c>
      <c r="P451" s="201">
        <f>E451+J451</f>
        <v>12174450.7</v>
      </c>
      <c r="Q451" s="223"/>
      <c r="R451" s="227"/>
      <c r="S451" s="202"/>
      <c r="T451" s="202"/>
    </row>
    <row r="452" spans="1:20" s="59" customFormat="1" ht="35.25" customHeight="1">
      <c r="A452" s="52" t="s">
        <v>660</v>
      </c>
      <c r="B452" s="53" t="s">
        <v>296</v>
      </c>
      <c r="C452" s="52" t="s">
        <v>281</v>
      </c>
      <c r="D452" s="50" t="s">
        <v>297</v>
      </c>
      <c r="E452" s="54">
        <f t="shared" si="35"/>
        <v>8387016</v>
      </c>
      <c r="F452" s="55">
        <f>8983951-9000-50000-6595-161540-70000-39800-260000</f>
        <v>8387016</v>
      </c>
      <c r="G452" s="55">
        <v>5587846</v>
      </c>
      <c r="H452" s="55">
        <f>1610325-161540-70000-260000</f>
        <v>1118785</v>
      </c>
      <c r="I452" s="55"/>
      <c r="J452" s="56">
        <f t="shared" si="37"/>
        <v>141300</v>
      </c>
      <c r="K452" s="66"/>
      <c r="L452" s="55">
        <v>141300</v>
      </c>
      <c r="M452" s="55"/>
      <c r="N452" s="55">
        <v>65800</v>
      </c>
      <c r="O452" s="66"/>
      <c r="P452" s="58">
        <f aca="true" t="shared" si="38" ref="P452:P465">E452+J452</f>
        <v>8528316</v>
      </c>
      <c r="Q452" s="223"/>
      <c r="R452" s="96"/>
      <c r="S452" s="83"/>
      <c r="T452" s="83"/>
    </row>
    <row r="453" spans="1:20" s="59" customFormat="1" ht="39" customHeight="1">
      <c r="A453" s="65" t="s">
        <v>136</v>
      </c>
      <c r="B453" s="65" t="s">
        <v>646</v>
      </c>
      <c r="C453" s="65" t="s">
        <v>137</v>
      </c>
      <c r="D453" s="51" t="s">
        <v>138</v>
      </c>
      <c r="E453" s="54">
        <f t="shared" si="35"/>
        <v>3300</v>
      </c>
      <c r="F453" s="66">
        <v>3300</v>
      </c>
      <c r="G453" s="55"/>
      <c r="H453" s="55"/>
      <c r="I453" s="55"/>
      <c r="J453" s="56">
        <f t="shared" si="37"/>
        <v>0</v>
      </c>
      <c r="K453" s="66"/>
      <c r="L453" s="55"/>
      <c r="M453" s="55"/>
      <c r="N453" s="55"/>
      <c r="O453" s="66"/>
      <c r="P453" s="58">
        <f t="shared" si="38"/>
        <v>3300</v>
      </c>
      <c r="Q453" s="223"/>
      <c r="R453" s="96"/>
      <c r="S453" s="83"/>
      <c r="T453" s="83"/>
    </row>
    <row r="454" spans="1:20" s="59" customFormat="1" ht="19.5" customHeight="1">
      <c r="A454" s="52" t="s">
        <v>661</v>
      </c>
      <c r="B454" s="53" t="s">
        <v>286</v>
      </c>
      <c r="C454" s="52" t="s">
        <v>285</v>
      </c>
      <c r="D454" s="50" t="s">
        <v>287</v>
      </c>
      <c r="E454" s="54">
        <f t="shared" si="35"/>
        <v>992880</v>
      </c>
      <c r="F454" s="55">
        <f>972300+20580</f>
        <v>992880</v>
      </c>
      <c r="G454" s="55"/>
      <c r="H454" s="55"/>
      <c r="I454" s="55"/>
      <c r="J454" s="56">
        <f t="shared" si="37"/>
        <v>0</v>
      </c>
      <c r="K454" s="66"/>
      <c r="L454" s="55"/>
      <c r="M454" s="55"/>
      <c r="N454" s="55"/>
      <c r="O454" s="66"/>
      <c r="P454" s="58">
        <f t="shared" si="38"/>
        <v>992880</v>
      </c>
      <c r="Q454" s="223"/>
      <c r="R454" s="96"/>
      <c r="S454" s="83"/>
      <c r="T454" s="83"/>
    </row>
    <row r="455" spans="1:20" s="59" customFormat="1" ht="22.5" customHeight="1">
      <c r="A455" s="52" t="s">
        <v>77</v>
      </c>
      <c r="B455" s="53" t="s">
        <v>76</v>
      </c>
      <c r="C455" s="52" t="s">
        <v>521</v>
      </c>
      <c r="D455" s="50" t="s">
        <v>522</v>
      </c>
      <c r="E455" s="54">
        <f t="shared" si="35"/>
        <v>3482</v>
      </c>
      <c r="F455" s="55">
        <f>19300-15818</f>
        <v>3482</v>
      </c>
      <c r="G455" s="55">
        <f>15820-12966</f>
        <v>2854</v>
      </c>
      <c r="H455" s="55"/>
      <c r="I455" s="55"/>
      <c r="J455" s="56">
        <f t="shared" si="37"/>
        <v>0</v>
      </c>
      <c r="K455" s="66"/>
      <c r="L455" s="55"/>
      <c r="M455" s="55"/>
      <c r="N455" s="55"/>
      <c r="O455" s="66"/>
      <c r="P455" s="58">
        <f t="shared" si="38"/>
        <v>3482</v>
      </c>
      <c r="Q455" s="223"/>
      <c r="R455" s="96"/>
      <c r="S455" s="83"/>
      <c r="T455" s="83"/>
    </row>
    <row r="456" spans="1:20" s="145" customFormat="1" ht="35.25" customHeight="1">
      <c r="A456" s="69" t="s">
        <v>58</v>
      </c>
      <c r="B456" s="67">
        <v>6017</v>
      </c>
      <c r="C456" s="62" t="s">
        <v>524</v>
      </c>
      <c r="D456" s="68" t="s">
        <v>53</v>
      </c>
      <c r="E456" s="54">
        <f t="shared" si="35"/>
        <v>337164</v>
      </c>
      <c r="F456" s="66">
        <f>170000+4914+38500+66000+19250+16500+15000+7000</f>
        <v>337164</v>
      </c>
      <c r="G456" s="66"/>
      <c r="H456" s="66"/>
      <c r="I456" s="66"/>
      <c r="J456" s="56">
        <f t="shared" si="37"/>
        <v>364417.02</v>
      </c>
      <c r="K456" s="66">
        <f>197891.7+19850+78880+42373.32-1000+26422</f>
        <v>364417.02</v>
      </c>
      <c r="L456" s="66"/>
      <c r="M456" s="66"/>
      <c r="N456" s="66"/>
      <c r="O456" s="66">
        <f>197891.7+19850+78880+42373.32-1000+26422</f>
        <v>364417.02</v>
      </c>
      <c r="P456" s="58">
        <f t="shared" si="38"/>
        <v>701581.02</v>
      </c>
      <c r="Q456" s="223"/>
      <c r="R456" s="243"/>
      <c r="S456" s="144"/>
      <c r="T456" s="144"/>
    </row>
    <row r="457" spans="1:20" s="145" customFormat="1" ht="35.25" customHeight="1">
      <c r="A457" s="69"/>
      <c r="B457" s="67"/>
      <c r="C457" s="62"/>
      <c r="D457" s="3" t="s">
        <v>209</v>
      </c>
      <c r="E457" s="28">
        <f t="shared" si="35"/>
        <v>7000</v>
      </c>
      <c r="F457" s="31">
        <v>7000</v>
      </c>
      <c r="G457" s="31"/>
      <c r="H457" s="31"/>
      <c r="I457" s="31"/>
      <c r="J457" s="30">
        <f t="shared" si="37"/>
        <v>26422</v>
      </c>
      <c r="K457" s="31">
        <v>26422</v>
      </c>
      <c r="L457" s="31"/>
      <c r="M457" s="31"/>
      <c r="N457" s="31"/>
      <c r="O457" s="31">
        <v>26422</v>
      </c>
      <c r="P457" s="32">
        <f t="shared" si="38"/>
        <v>33422</v>
      </c>
      <c r="Q457" s="223"/>
      <c r="R457" s="243"/>
      <c r="S457" s="144"/>
      <c r="T457" s="144"/>
    </row>
    <row r="458" spans="1:20" s="59" customFormat="1" ht="23.25" customHeight="1">
      <c r="A458" s="52" t="s">
        <v>662</v>
      </c>
      <c r="B458" s="53" t="s">
        <v>531</v>
      </c>
      <c r="C458" s="52" t="s">
        <v>524</v>
      </c>
      <c r="D458" s="50" t="s">
        <v>532</v>
      </c>
      <c r="E458" s="54">
        <f t="shared" si="35"/>
        <v>1864200</v>
      </c>
      <c r="F458" s="55">
        <f>2040300-50000+150000+9900-300000+14000</f>
        <v>1864200</v>
      </c>
      <c r="G458" s="55"/>
      <c r="H458" s="55"/>
      <c r="I458" s="55"/>
      <c r="J458" s="56">
        <f t="shared" si="37"/>
        <v>80691.68</v>
      </c>
      <c r="K458" s="66">
        <f>60626.68-1000+21065</f>
        <v>80691.68</v>
      </c>
      <c r="L458" s="57"/>
      <c r="M458" s="57"/>
      <c r="N458" s="57"/>
      <c r="O458" s="66">
        <f>60626.68-1000+21065</f>
        <v>80691.68</v>
      </c>
      <c r="P458" s="58">
        <f t="shared" si="38"/>
        <v>1944891.68</v>
      </c>
      <c r="Q458" s="223"/>
      <c r="R458" s="96"/>
      <c r="S458" s="83"/>
      <c r="T458" s="83"/>
    </row>
    <row r="459" spans="1:20" s="59" customFormat="1" ht="33.75" customHeight="1">
      <c r="A459" s="52"/>
      <c r="B459" s="53"/>
      <c r="C459" s="52"/>
      <c r="D459" s="3" t="s">
        <v>209</v>
      </c>
      <c r="E459" s="28">
        <f t="shared" si="35"/>
        <v>14000</v>
      </c>
      <c r="F459" s="29">
        <v>14000</v>
      </c>
      <c r="G459" s="29"/>
      <c r="H459" s="29"/>
      <c r="I459" s="29"/>
      <c r="J459" s="30">
        <f t="shared" si="37"/>
        <v>21065</v>
      </c>
      <c r="K459" s="31">
        <v>21065</v>
      </c>
      <c r="L459" s="312"/>
      <c r="M459" s="312"/>
      <c r="N459" s="312"/>
      <c r="O459" s="31">
        <v>21065</v>
      </c>
      <c r="P459" s="32">
        <f t="shared" si="38"/>
        <v>35065</v>
      </c>
      <c r="Q459" s="223"/>
      <c r="R459" s="96"/>
      <c r="S459" s="83"/>
      <c r="T459" s="83"/>
    </row>
    <row r="460" spans="1:20" s="138" customFormat="1" ht="31.5" customHeight="1">
      <c r="A460" s="130" t="s">
        <v>663</v>
      </c>
      <c r="B460" s="134"/>
      <c r="C460" s="128"/>
      <c r="D460" s="135" t="s">
        <v>653</v>
      </c>
      <c r="E460" s="108">
        <f>E461</f>
        <v>10694895</v>
      </c>
      <c r="F460" s="108">
        <f>F461</f>
        <v>10694895</v>
      </c>
      <c r="G460" s="108">
        <f>G461</f>
        <v>5498768</v>
      </c>
      <c r="H460" s="108">
        <f>H461</f>
        <v>525188</v>
      </c>
      <c r="I460" s="108">
        <f>I461</f>
        <v>0</v>
      </c>
      <c r="J460" s="108">
        <f t="shared" si="37"/>
        <v>25000</v>
      </c>
      <c r="K460" s="108">
        <f>K461</f>
        <v>25000</v>
      </c>
      <c r="L460" s="108">
        <f>L461</f>
        <v>0</v>
      </c>
      <c r="M460" s="108">
        <f>M461</f>
        <v>0</v>
      </c>
      <c r="N460" s="108">
        <f>N461</f>
        <v>0</v>
      </c>
      <c r="O460" s="108">
        <f>O461</f>
        <v>25000</v>
      </c>
      <c r="P460" s="136">
        <f t="shared" si="38"/>
        <v>10719895</v>
      </c>
      <c r="Q460" s="223"/>
      <c r="R460" s="226"/>
      <c r="S460" s="137"/>
      <c r="T460" s="137"/>
    </row>
    <row r="461" spans="1:20" s="203" customFormat="1" ht="27" customHeight="1">
      <c r="A461" s="195" t="s">
        <v>664</v>
      </c>
      <c r="B461" s="196"/>
      <c r="C461" s="197"/>
      <c r="D461" s="204" t="s">
        <v>51</v>
      </c>
      <c r="E461" s="199">
        <f t="shared" si="35"/>
        <v>10694895</v>
      </c>
      <c r="F461" s="199">
        <f>F462+F463+F464+F465</f>
        <v>10694895</v>
      </c>
      <c r="G461" s="199">
        <f>G462+G463+G464+G465</f>
        <v>5498768</v>
      </c>
      <c r="H461" s="199">
        <f>H462+H463+H464+H465</f>
        <v>525188</v>
      </c>
      <c r="I461" s="199">
        <f>I462+I463+I464+I465</f>
        <v>0</v>
      </c>
      <c r="J461" s="200">
        <f t="shared" si="37"/>
        <v>25000</v>
      </c>
      <c r="K461" s="199">
        <f>K462+K463+K464+K465</f>
        <v>25000</v>
      </c>
      <c r="L461" s="199">
        <f>L462+L463+L464+L465</f>
        <v>0</v>
      </c>
      <c r="M461" s="199">
        <f>M462+M463+M464+M465</f>
        <v>0</v>
      </c>
      <c r="N461" s="199">
        <f>N462+N463+N464+N465</f>
        <v>0</v>
      </c>
      <c r="O461" s="199">
        <f>O462+O463+O464+O465</f>
        <v>25000</v>
      </c>
      <c r="P461" s="201">
        <f>E461+J461</f>
        <v>10719895</v>
      </c>
      <c r="Q461" s="223"/>
      <c r="R461" s="227"/>
      <c r="S461" s="202"/>
      <c r="T461" s="202"/>
    </row>
    <row r="462" spans="1:20" s="59" customFormat="1" ht="33.75" customHeight="1">
      <c r="A462" s="52" t="s">
        <v>665</v>
      </c>
      <c r="B462" s="53" t="s">
        <v>296</v>
      </c>
      <c r="C462" s="52" t="s">
        <v>281</v>
      </c>
      <c r="D462" s="50" t="s">
        <v>297</v>
      </c>
      <c r="E462" s="54">
        <f t="shared" si="35"/>
        <v>7806697</v>
      </c>
      <c r="F462" s="55">
        <f>7781697+10000+65000-50000</f>
        <v>7806697</v>
      </c>
      <c r="G462" s="55">
        <f>5385068+53300</f>
        <v>5438368</v>
      </c>
      <c r="H462" s="55">
        <f>646988+200-50000-72000</f>
        <v>525188</v>
      </c>
      <c r="I462" s="55"/>
      <c r="J462" s="56">
        <f t="shared" si="37"/>
        <v>25000</v>
      </c>
      <c r="K462" s="66">
        <v>25000</v>
      </c>
      <c r="L462" s="55">
        <v>0</v>
      </c>
      <c r="M462" s="55">
        <v>0</v>
      </c>
      <c r="N462" s="55">
        <v>0</v>
      </c>
      <c r="O462" s="66">
        <v>25000</v>
      </c>
      <c r="P462" s="58">
        <f t="shared" si="38"/>
        <v>7831697</v>
      </c>
      <c r="Q462" s="223"/>
      <c r="R462" s="96"/>
      <c r="S462" s="83"/>
      <c r="T462" s="83"/>
    </row>
    <row r="463" spans="1:20" s="59" customFormat="1" ht="22.5" customHeight="1">
      <c r="A463" s="52" t="s">
        <v>666</v>
      </c>
      <c r="B463" s="53" t="s">
        <v>286</v>
      </c>
      <c r="C463" s="52" t="s">
        <v>285</v>
      </c>
      <c r="D463" s="50" t="s">
        <v>287</v>
      </c>
      <c r="E463" s="54">
        <f t="shared" si="35"/>
        <v>851998</v>
      </c>
      <c r="F463" s="55">
        <f>848070+3928</f>
        <v>851998</v>
      </c>
      <c r="G463" s="55"/>
      <c r="H463" s="55"/>
      <c r="I463" s="55"/>
      <c r="J463" s="56">
        <f t="shared" si="37"/>
        <v>0</v>
      </c>
      <c r="K463" s="66"/>
      <c r="L463" s="55">
        <v>0</v>
      </c>
      <c r="M463" s="55">
        <v>0</v>
      </c>
      <c r="N463" s="55">
        <v>0</v>
      </c>
      <c r="O463" s="66">
        <v>0</v>
      </c>
      <c r="P463" s="58">
        <f t="shared" si="38"/>
        <v>851998</v>
      </c>
      <c r="Q463" s="223"/>
      <c r="R463" s="96"/>
      <c r="S463" s="83"/>
      <c r="T463" s="83"/>
    </row>
    <row r="464" spans="1:20" s="59" customFormat="1" ht="26.25" customHeight="1">
      <c r="A464" s="52" t="s">
        <v>78</v>
      </c>
      <c r="B464" s="53" t="s">
        <v>76</v>
      </c>
      <c r="C464" s="52" t="s">
        <v>521</v>
      </c>
      <c r="D464" s="50" t="s">
        <v>522</v>
      </c>
      <c r="E464" s="54">
        <f>F464+I464</f>
        <v>73700</v>
      </c>
      <c r="F464" s="55">
        <v>73700</v>
      </c>
      <c r="G464" s="55">
        <v>60400</v>
      </c>
      <c r="H464" s="55"/>
      <c r="I464" s="55"/>
      <c r="J464" s="56">
        <f t="shared" si="37"/>
        <v>0</v>
      </c>
      <c r="K464" s="66"/>
      <c r="L464" s="55">
        <v>0</v>
      </c>
      <c r="M464" s="55">
        <v>0</v>
      </c>
      <c r="N464" s="55">
        <v>0</v>
      </c>
      <c r="O464" s="66">
        <v>0</v>
      </c>
      <c r="P464" s="58">
        <f t="shared" si="38"/>
        <v>73700</v>
      </c>
      <c r="Q464" s="223"/>
      <c r="R464" s="96"/>
      <c r="S464" s="83"/>
      <c r="T464" s="83"/>
    </row>
    <row r="465" spans="1:20" s="59" customFormat="1" ht="26.25" customHeight="1">
      <c r="A465" s="52" t="s">
        <v>667</v>
      </c>
      <c r="B465" s="53" t="s">
        <v>531</v>
      </c>
      <c r="C465" s="52" t="s">
        <v>524</v>
      </c>
      <c r="D465" s="50" t="s">
        <v>532</v>
      </c>
      <c r="E465" s="54">
        <f>F465+I465</f>
        <v>1962500</v>
      </c>
      <c r="F465" s="55">
        <f>2062500-100000</f>
        <v>1962500</v>
      </c>
      <c r="G465" s="57"/>
      <c r="H465" s="55"/>
      <c r="I465" s="55"/>
      <c r="J465" s="56">
        <f t="shared" si="37"/>
        <v>0</v>
      </c>
      <c r="K465" s="66"/>
      <c r="L465" s="55">
        <v>0</v>
      </c>
      <c r="M465" s="55">
        <v>0</v>
      </c>
      <c r="N465" s="55">
        <v>0</v>
      </c>
      <c r="O465" s="66">
        <v>0</v>
      </c>
      <c r="P465" s="58">
        <f t="shared" si="38"/>
        <v>1962500</v>
      </c>
      <c r="Q465" s="223"/>
      <c r="R465" s="96"/>
      <c r="S465" s="83"/>
      <c r="T465" s="83"/>
    </row>
    <row r="466" spans="1:21" s="100" customFormat="1" ht="36" customHeight="1">
      <c r="A466" s="35" t="s">
        <v>267</v>
      </c>
      <c r="B466" s="36" t="s">
        <v>267</v>
      </c>
      <c r="C466" s="35" t="s">
        <v>267</v>
      </c>
      <c r="D466" s="37" t="s">
        <v>268</v>
      </c>
      <c r="E466" s="38">
        <f>F466+I466+E434</f>
        <v>2390154066.73</v>
      </c>
      <c r="F466" s="38">
        <f>F14+F20+F24+F79+F116+F281+F312+F362+F370+F374+F382+F390+F398+F405+F415+F421+F427+F442+F450+F460+F300</f>
        <v>2326398271.29</v>
      </c>
      <c r="G466" s="38">
        <f>G14+G20+G24+G79+G116+G312+G362+G370+G374+G382+G390+G398+G405+G415+G421+G427+G442+G450+G460+G281+G300</f>
        <v>671126048</v>
      </c>
      <c r="H466" s="38">
        <f>H14+H20+H24+H79+H116+H312+H362+H370+H374+H382+H390+H398+H405+H415+H421+H427+H442+H450+H460+H281+H300</f>
        <v>154667445.72</v>
      </c>
      <c r="I466" s="38">
        <f>I14+I20+I24+I79+I116+I312+I362+I370+I374+I382+I390+I398+I405+I415+I421+I427+I442+I450+I460+I281+I300</f>
        <v>63755795.44</v>
      </c>
      <c r="J466" s="39">
        <f>L466+O466</f>
        <v>545989838.47</v>
      </c>
      <c r="K466" s="39">
        <f>K14+K20+K24+K79+K116+K312+K362+K370+K374+K382+K390+K398+K405+K415+K421+K427+K442+K450+K460+K281+K300</f>
        <v>438462742.44</v>
      </c>
      <c r="L466" s="39">
        <f>L14+L20+L24+L79+L116+L312+L362+L370+L374+L382+L390+L398+L405+L415+L421+L427+L442+L450+L460+L281+L300</f>
        <v>70068909.19</v>
      </c>
      <c r="M466" s="39">
        <f>M14+M20+M24+M79+M116+M312+M362+M370+M374+M382+M390+M398+M405+M415+M421+M427+M442+M450+M460+M281+M300</f>
        <v>1600524</v>
      </c>
      <c r="N466" s="39">
        <f>N14+N20+N24+N79+N116+N312+N362+N370+N374+N382+N390+N398+N405+N415+N421+N427+N442+N450+N460+N281+N300</f>
        <v>156624</v>
      </c>
      <c r="O466" s="39">
        <f>O14+O20+O24+O79+O116+O312+O362+O370+O374+O382+O390+O398+O405+O415+O421+O427+O442+O450+O460+O281+O300</f>
        <v>475920929.28</v>
      </c>
      <c r="P466" s="97">
        <f>P14+P20+P24+P79+P116+P281+P300+P312+P362+P370+P374+P382+P390+P398+P405+P415+P421+P427+P442+P450+P460</f>
        <v>2936143905.2</v>
      </c>
      <c r="Q466" s="244">
        <f>'[1]12'!$C$208-P466</f>
        <v>-46162613.19999981</v>
      </c>
      <c r="R466" s="256">
        <f>29404805.93+650000+4084222+1028800+2512566.24</f>
        <v>37680394.17</v>
      </c>
      <c r="S466" s="98">
        <f>4845954.31+96264.72</f>
        <v>4942219.029999999</v>
      </c>
      <c r="T466" s="98">
        <f>3540000</f>
        <v>3540000</v>
      </c>
      <c r="U466" s="99">
        <f>R466+S466+T466</f>
        <v>46162613.2</v>
      </c>
    </row>
    <row r="467" spans="9:21" ht="24.75" customHeight="1">
      <c r="I467" s="101"/>
      <c r="J467" s="12"/>
      <c r="Q467" s="225"/>
      <c r="U467" s="155">
        <f>Q466+U466</f>
        <v>1.9371509552001953E-07</v>
      </c>
    </row>
    <row r="468" spans="9:10" ht="26.25" customHeight="1">
      <c r="I468" s="101"/>
      <c r="J468" s="12"/>
    </row>
    <row r="469" spans="1:19" ht="37.5" customHeight="1">
      <c r="A469" s="372" t="s">
        <v>229</v>
      </c>
      <c r="B469" s="372"/>
      <c r="C469" s="372"/>
      <c r="D469" s="372"/>
      <c r="E469" s="372"/>
      <c r="F469" s="372"/>
      <c r="G469" s="13"/>
      <c r="I469" s="101"/>
      <c r="J469" s="12"/>
      <c r="L469" s="365" t="s">
        <v>230</v>
      </c>
      <c r="M469" s="365"/>
      <c r="N469" s="366"/>
      <c r="O469" s="366"/>
      <c r="Q469" s="246">
        <f>J466-K466-L397-O397-L361-O361-L358-O358-L113</f>
        <v>56819684.00000003</v>
      </c>
      <c r="R469" s="247" t="s">
        <v>236</v>
      </c>
      <c r="S469" s="156"/>
    </row>
    <row r="470" spans="9:21" ht="15.75">
      <c r="I470" s="157"/>
      <c r="J470" s="40"/>
      <c r="K470" s="269"/>
      <c r="P470" s="72">
        <f>E466+J466</f>
        <v>2936143905.2</v>
      </c>
      <c r="Q470" s="248">
        <f>7150000+150000</f>
        <v>7300000</v>
      </c>
      <c r="R470" s="247" t="s">
        <v>181</v>
      </c>
      <c r="S470" s="156"/>
      <c r="U470" s="75"/>
    </row>
    <row r="471" spans="10:19" ht="15.75">
      <c r="J471" s="14"/>
      <c r="Q471" s="248">
        <v>3070607.84</v>
      </c>
      <c r="R471" s="247" t="s">
        <v>182</v>
      </c>
      <c r="S471" s="156"/>
    </row>
    <row r="472" spans="1:21" s="159" customFormat="1" ht="21.75" customHeight="1">
      <c r="A472" s="158"/>
      <c r="C472" s="158"/>
      <c r="E472" s="160" t="s">
        <v>26</v>
      </c>
      <c r="F472" s="160">
        <f aca="true" t="shared" si="39" ref="F472:P472">F14+F20+F24+F79+F116+F281+F300+F312+F362+F370+F374+F382+F390+F398+F405+F415+F421+F427+F442+F450+F460</f>
        <v>2326398271.29</v>
      </c>
      <c r="G472" s="160">
        <f t="shared" si="39"/>
        <v>671126048</v>
      </c>
      <c r="H472" s="160">
        <f t="shared" si="39"/>
        <v>154667445.71999997</v>
      </c>
      <c r="I472" s="160">
        <f t="shared" si="39"/>
        <v>63755795.44</v>
      </c>
      <c r="J472" s="160">
        <f t="shared" si="39"/>
        <v>545989838.47</v>
      </c>
      <c r="K472" s="270">
        <f t="shared" si="39"/>
        <v>438462742.44</v>
      </c>
      <c r="L472" s="160">
        <f t="shared" si="39"/>
        <v>70068909.19</v>
      </c>
      <c r="M472" s="160">
        <f t="shared" si="39"/>
        <v>1600524</v>
      </c>
      <c r="N472" s="160">
        <f t="shared" si="39"/>
        <v>156624</v>
      </c>
      <c r="O472" s="270">
        <f t="shared" si="39"/>
        <v>475920929.28</v>
      </c>
      <c r="P472" s="160">
        <f t="shared" si="39"/>
        <v>2936143905.2</v>
      </c>
      <c r="Q472" s="249">
        <v>336804.19</v>
      </c>
      <c r="R472" s="250" t="s">
        <v>183</v>
      </c>
      <c r="S472" s="161"/>
      <c r="T472" s="162"/>
      <c r="U472" s="348"/>
    </row>
    <row r="473" spans="5:19" ht="15.75">
      <c r="E473" s="163" t="s">
        <v>27</v>
      </c>
      <c r="F473" s="160">
        <f>F466-F472</f>
        <v>0</v>
      </c>
      <c r="G473" s="160">
        <f>G466-G472</f>
        <v>0</v>
      </c>
      <c r="H473" s="160">
        <f>H466-H472</f>
        <v>0</v>
      </c>
      <c r="I473" s="160">
        <f aca="true" t="shared" si="40" ref="I473:P473">I466-I472</f>
        <v>0</v>
      </c>
      <c r="J473" s="160">
        <f t="shared" si="40"/>
        <v>0</v>
      </c>
      <c r="K473" s="270">
        <f t="shared" si="40"/>
        <v>0</v>
      </c>
      <c r="L473" s="160">
        <f t="shared" si="40"/>
        <v>0</v>
      </c>
      <c r="M473" s="160">
        <f t="shared" si="40"/>
        <v>0</v>
      </c>
      <c r="N473" s="160">
        <f t="shared" si="40"/>
        <v>0</v>
      </c>
      <c r="O473" s="270">
        <f t="shared" si="40"/>
        <v>0</v>
      </c>
      <c r="P473" s="160">
        <f t="shared" si="40"/>
        <v>0</v>
      </c>
      <c r="Q473" s="248">
        <v>40000000</v>
      </c>
      <c r="R473" s="247" t="s">
        <v>184</v>
      </c>
      <c r="S473" s="156"/>
    </row>
    <row r="474" spans="6:19" ht="15.75">
      <c r="F474" s="75"/>
      <c r="G474" s="75"/>
      <c r="H474" s="75"/>
      <c r="I474" s="75"/>
      <c r="J474" s="7"/>
      <c r="K474" s="271"/>
      <c r="L474" s="75"/>
      <c r="M474" s="75"/>
      <c r="N474" s="75"/>
      <c r="O474" s="271"/>
      <c r="P474" s="75"/>
      <c r="Q474" s="245">
        <f>Q469+Q470+Q471+Q472+Q473</f>
        <v>107527096.03000003</v>
      </c>
      <c r="R474" s="251"/>
      <c r="S474" s="156"/>
    </row>
    <row r="475" spans="4:19" ht="15.75">
      <c r="D475" s="164" t="s">
        <v>54</v>
      </c>
      <c r="E475" s="165">
        <f aca="true" t="shared" si="41" ref="E475:E492">F475+I475</f>
        <v>5376305</v>
      </c>
      <c r="F475" s="157">
        <f aca="true" t="shared" si="42" ref="F475:K475">F19</f>
        <v>5376305</v>
      </c>
      <c r="G475" s="157">
        <f t="shared" si="42"/>
        <v>0</v>
      </c>
      <c r="H475" s="157">
        <f t="shared" si="42"/>
        <v>0</v>
      </c>
      <c r="I475" s="157">
        <f t="shared" si="42"/>
        <v>0</v>
      </c>
      <c r="J475" s="217">
        <f>L475+O475</f>
        <v>700000</v>
      </c>
      <c r="K475" s="272">
        <f t="shared" si="42"/>
        <v>700000</v>
      </c>
      <c r="L475" s="157">
        <f>L19</f>
        <v>0</v>
      </c>
      <c r="M475" s="157">
        <f>M19</f>
        <v>0</v>
      </c>
      <c r="N475" s="157">
        <f>N19</f>
        <v>0</v>
      </c>
      <c r="O475" s="272">
        <f>O19</f>
        <v>700000</v>
      </c>
      <c r="P475" s="166">
        <f>E475+J475</f>
        <v>6076305</v>
      </c>
      <c r="Q475" s="245">
        <f>J466-K466-Q474</f>
        <v>0</v>
      </c>
      <c r="R475" s="245" t="s">
        <v>185</v>
      </c>
      <c r="S475" s="156"/>
    </row>
    <row r="476" spans="4:19" ht="15.75">
      <c r="D476" s="164" t="s">
        <v>55</v>
      </c>
      <c r="E476" s="165">
        <f t="shared" si="41"/>
        <v>160576526.88</v>
      </c>
      <c r="F476" s="157">
        <f aca="true" t="shared" si="43" ref="F476:P476">SUM(F16+F22+F26+F81+F118+F135+F183+F230+F283+F289+F293+F297+F314+F364+F372+F376+F384+F392+F400+F407+F417+F423+F429+F444+F452+F462+F278+F302)</f>
        <v>160576526.88</v>
      </c>
      <c r="G476" s="157">
        <f t="shared" si="43"/>
        <v>113349590</v>
      </c>
      <c r="H476" s="157">
        <f t="shared" si="43"/>
        <v>8208725</v>
      </c>
      <c r="I476" s="157">
        <f t="shared" si="43"/>
        <v>0</v>
      </c>
      <c r="J476" s="218">
        <f t="shared" si="43"/>
        <v>3860060</v>
      </c>
      <c r="K476" s="272">
        <f t="shared" si="43"/>
        <v>3695810</v>
      </c>
      <c r="L476" s="157">
        <f t="shared" si="43"/>
        <v>164250</v>
      </c>
      <c r="M476" s="157">
        <f t="shared" si="43"/>
        <v>0</v>
      </c>
      <c r="N476" s="157">
        <f t="shared" si="43"/>
        <v>65800</v>
      </c>
      <c r="O476" s="272">
        <f t="shared" si="43"/>
        <v>3695810</v>
      </c>
      <c r="P476" s="157">
        <f t="shared" si="43"/>
        <v>164436586.88</v>
      </c>
      <c r="Q476" s="251"/>
      <c r="R476" s="245"/>
      <c r="S476" s="167"/>
    </row>
    <row r="477" spans="1:18" ht="15.75">
      <c r="A477" s="360" t="s">
        <v>251</v>
      </c>
      <c r="B477" s="361"/>
      <c r="C477" s="168"/>
      <c r="D477" s="164" t="s">
        <v>244</v>
      </c>
      <c r="E477" s="165">
        <f t="shared" si="41"/>
        <v>73100</v>
      </c>
      <c r="F477" s="157">
        <f aca="true" t="shared" si="44" ref="F477:O477">F82+F119+F315+F365+F385+F393+F418+F453+F279</f>
        <v>73100</v>
      </c>
      <c r="G477" s="157">
        <f t="shared" si="44"/>
        <v>0</v>
      </c>
      <c r="H477" s="157">
        <f t="shared" si="44"/>
        <v>0</v>
      </c>
      <c r="I477" s="157">
        <f t="shared" si="44"/>
        <v>0</v>
      </c>
      <c r="J477" s="218">
        <f t="shared" si="44"/>
        <v>0</v>
      </c>
      <c r="K477" s="272">
        <f t="shared" si="44"/>
        <v>0</v>
      </c>
      <c r="L477" s="157">
        <f t="shared" si="44"/>
        <v>0</v>
      </c>
      <c r="M477" s="157">
        <f t="shared" si="44"/>
        <v>0</v>
      </c>
      <c r="N477" s="157">
        <f t="shared" si="44"/>
        <v>0</v>
      </c>
      <c r="O477" s="272">
        <f t="shared" si="44"/>
        <v>0</v>
      </c>
      <c r="P477" s="166">
        <f aca="true" t="shared" si="45" ref="P477:P492">E477+J477</f>
        <v>73100</v>
      </c>
      <c r="R477" s="225"/>
    </row>
    <row r="478" spans="1:18" ht="15" customHeight="1">
      <c r="A478" s="364">
        <f>SUM(P476:P479)</f>
        <v>176272749.88</v>
      </c>
      <c r="B478" s="364"/>
      <c r="C478" s="169"/>
      <c r="D478" s="164" t="s">
        <v>56</v>
      </c>
      <c r="E478" s="165">
        <f t="shared" si="41"/>
        <v>11535267</v>
      </c>
      <c r="F478" s="157">
        <f>F17+F23+F27+F83+F120+F136+F184+F231+F284+F290+F294+F298+F316+F366+F373+F377+F386+F394+F401+F408+F419+F424+F430+F445+F454+F463+F280+F303</f>
        <v>11535267</v>
      </c>
      <c r="G478" s="157">
        <f>G17+G23+G27+G83+G120+G136+G184+G231+G284+G290+G294+G298+G316+G366+G373+G377+G386+G394+G401+G408+G419+G424+G430+G445+G454+G463+G280+G303</f>
        <v>0</v>
      </c>
      <c r="H478" s="157">
        <f>H17+H23+H27+H83+H120+H136+H184+H231+H284+H290+H294+H298+H316+H366+H373+H377+H386+H394+H401+H408+H419+H424+H430+H445+H454+H463+H280+H303</f>
        <v>0</v>
      </c>
      <c r="I478" s="157">
        <f>I17+I23+I27+I83+I120+I136+I184+I231+I284+I290+I294+I298+I316+I366+I373+I377+I386+I394+I401+I408+I419+I424+I430+I445+I454+I463+I280+I303</f>
        <v>0</v>
      </c>
      <c r="J478" s="218">
        <f>J17+J23+J27+J83+J120+J136+J184+J231+J284+J290+J294+J298+J316+J366+J373+J377+J386+J394+J401+J408+J419+J424+J430+J445+J454+J463+J280</f>
        <v>0</v>
      </c>
      <c r="K478" s="272">
        <f>K17+K23+K27+K83+K120+K136+K184+K231+K284+K290+K294+K298+K316+K366+K373+K377+K386+K394+K401+K408+K419+K424+K430+K445+K454+K463+K280+K303</f>
        <v>0</v>
      </c>
      <c r="L478" s="157">
        <f>L17+L23+L27+L83+L120+L136+L184+L231+L284+L290+L294+L298+L316+L366+L373+L377+L386+L394+L401+L408+L419+L424+L430+L445+L454+L463+L280+L303</f>
        <v>0</v>
      </c>
      <c r="M478" s="157">
        <f>M17+M23+M27+M83+M120+M136+M184+M231+M284+M290+M294+M298+M316+M366+M373+M377+M386+M394+M401+M408+M419+M424+M430+M445+M454+M463+M280+M303</f>
        <v>0</v>
      </c>
      <c r="N478" s="157">
        <f>N17+N23+N27+N83+N120+N136+N184+N231+N284+N290+N294+N298+N316+N366+N373+N377+N386+N394+N401+N408+N419+N424+N430+N445+N454+N463+N280+N303</f>
        <v>0</v>
      </c>
      <c r="O478" s="272">
        <f>O17+O23+O27+O83+O120+O136+O184+O231+O284+O290+O294+O298+O316+O366+O373+O377+O386+O394+O401+O408+O419+O424+O430+O445+O454+O463+O280+O303</f>
        <v>0</v>
      </c>
      <c r="P478" s="166">
        <f t="shared" si="45"/>
        <v>11535267</v>
      </c>
      <c r="R478" s="225"/>
    </row>
    <row r="479" spans="1:18" ht="15.75">
      <c r="A479" s="170"/>
      <c r="B479" s="170"/>
      <c r="D479" s="164" t="s">
        <v>245</v>
      </c>
      <c r="E479" s="165">
        <f t="shared" si="41"/>
        <v>227796</v>
      </c>
      <c r="F479" s="157">
        <f>SUM(F18)</f>
        <v>227796</v>
      </c>
      <c r="G479" s="157">
        <f>SUM(G18)</f>
        <v>0</v>
      </c>
      <c r="H479" s="157">
        <f>SUM(H18)</f>
        <v>0</v>
      </c>
      <c r="I479" s="157">
        <f>SUM(I18)</f>
        <v>0</v>
      </c>
      <c r="J479" s="217">
        <f aca="true" t="shared" si="46" ref="J479:J492">L479+O479</f>
        <v>0</v>
      </c>
      <c r="K479" s="272">
        <f>SUM(K18)</f>
        <v>0</v>
      </c>
      <c r="L479" s="157">
        <f>SUM(L18)</f>
        <v>0</v>
      </c>
      <c r="M479" s="157">
        <f>SUM(M18)</f>
        <v>0</v>
      </c>
      <c r="N479" s="157">
        <f>SUM(N18)</f>
        <v>0</v>
      </c>
      <c r="O479" s="272">
        <f>SUM(O18)</f>
        <v>0</v>
      </c>
      <c r="P479" s="166">
        <f t="shared" si="45"/>
        <v>227796</v>
      </c>
      <c r="R479" s="225"/>
    </row>
    <row r="480" spans="4:18" ht="15.75">
      <c r="D480" s="171" t="s">
        <v>189</v>
      </c>
      <c r="E480" s="165">
        <f t="shared" si="41"/>
        <v>830788545.2599999</v>
      </c>
      <c r="F480" s="157">
        <f>F28+F31+F41+F46+F47+F48+F49+F50+F51+F43</f>
        <v>830788545.2599999</v>
      </c>
      <c r="G480" s="157">
        <f>G28+G31+G41+G46+G47+G48+G49+G50+G51+G43</f>
        <v>513247329</v>
      </c>
      <c r="H480" s="157">
        <f>H28+H31+H41+H46+H47+H48+H49+H50+H51+H43</f>
        <v>120583046.71999998</v>
      </c>
      <c r="I480" s="157">
        <f>I28+I31+I41+I46+I47+I48+I49+I50+I51</f>
        <v>0</v>
      </c>
      <c r="J480" s="217">
        <f t="shared" si="46"/>
        <v>80369612.12</v>
      </c>
      <c r="K480" s="272">
        <f>K28+K31+K41+K46+K47+K48+K49+K50+K51+K43</f>
        <v>37069780.120000005</v>
      </c>
      <c r="L480" s="157">
        <f>L28+L31+L41+L46+L47+L48+L49+L50+L51+L43</f>
        <v>42885653</v>
      </c>
      <c r="M480" s="157">
        <f>M28+M31+M41+M46+M47+M48+M49+M50+M51+M43</f>
        <v>1441624</v>
      </c>
      <c r="N480" s="157">
        <f>N28+N31+N41+N46+N47+N48+N49+N50+N51+N43</f>
        <v>89324</v>
      </c>
      <c r="O480" s="272">
        <f>O28+O31+O41+O46+O47+O48+O49+O50+O51+O43</f>
        <v>37483959.120000005</v>
      </c>
      <c r="P480" s="166">
        <f>E480+J480</f>
        <v>911158157.3799999</v>
      </c>
      <c r="R480" s="225"/>
    </row>
    <row r="481" spans="1:19" ht="15" customHeight="1">
      <c r="A481" s="360" t="s">
        <v>30</v>
      </c>
      <c r="B481" s="361"/>
      <c r="C481" s="172"/>
      <c r="D481" s="104" t="s">
        <v>190</v>
      </c>
      <c r="E481" s="165">
        <f t="shared" si="41"/>
        <v>48126915.82</v>
      </c>
      <c r="F481" s="157">
        <f>F57+F63+F58+F60+F61</f>
        <v>48126915.82</v>
      </c>
      <c r="G481" s="157">
        <f>G57+G63+G58+G60+G61</f>
        <v>5891927</v>
      </c>
      <c r="H481" s="157">
        <f>H57+H63+H58+H60+H61</f>
        <v>1427008</v>
      </c>
      <c r="I481" s="157">
        <f>I57+I63+I58+I60+I61</f>
        <v>0</v>
      </c>
      <c r="J481" s="217">
        <f t="shared" si="46"/>
        <v>3535825</v>
      </c>
      <c r="K481" s="272">
        <f>K57+K63+K58+K60+K61</f>
        <v>3462400</v>
      </c>
      <c r="L481" s="157">
        <f>L57+L63+L58+L60+L61</f>
        <v>66925</v>
      </c>
      <c r="M481" s="157">
        <f>M57+M63+M58+M60+M61</f>
        <v>1000</v>
      </c>
      <c r="N481" s="157">
        <f>N57+N63+N58+N60+N61</f>
        <v>1500</v>
      </c>
      <c r="O481" s="272">
        <f>O57+O63+O58+O60+O61</f>
        <v>3468900</v>
      </c>
      <c r="P481" s="166">
        <f t="shared" si="45"/>
        <v>51662740.82</v>
      </c>
      <c r="R481" s="225"/>
      <c r="S481" s="76"/>
    </row>
    <row r="482" spans="1:19" ht="15.75">
      <c r="A482" s="362">
        <f>K480+K481</f>
        <v>40532180.120000005</v>
      </c>
      <c r="B482" s="363"/>
      <c r="D482" s="104" t="s">
        <v>192</v>
      </c>
      <c r="E482" s="165">
        <f t="shared" si="41"/>
        <v>367300406.75000006</v>
      </c>
      <c r="F482" s="157">
        <f>F84+F89+F93+F97+F101+F103+F106+F108+F111</f>
        <v>367300406.75000006</v>
      </c>
      <c r="G482" s="157">
        <f>G84+G89+G93+G97+G101+G103+G106+G108+G111</f>
        <v>0</v>
      </c>
      <c r="H482" s="157">
        <f>H84+H89+H93+H97+H101+H103+H106+H108+H111</f>
        <v>0</v>
      </c>
      <c r="I482" s="157">
        <f>I84+I89+I93+I97+I101+I103+I106+I108+I111</f>
        <v>0</v>
      </c>
      <c r="J482" s="217">
        <f t="shared" si="46"/>
        <v>23340359</v>
      </c>
      <c r="K482" s="272">
        <f>K84+K89+K93+K97+K101+K103+K106+K108+K111</f>
        <v>11056782</v>
      </c>
      <c r="L482" s="157">
        <f>L84+L89+L93+L97+L101+L103+L106+L108+L111</f>
        <v>12236677</v>
      </c>
      <c r="M482" s="157">
        <f>M84+M89+M93+M97+M101+M103+M106+M108+M111</f>
        <v>0</v>
      </c>
      <c r="N482" s="157">
        <f>N84+N89+N93+N97+N101+N103+N106+N108+N111</f>
        <v>0</v>
      </c>
      <c r="O482" s="272">
        <f>O84+O89+O93+O97+O101+O103+O106+O108+O111</f>
        <v>11103682</v>
      </c>
      <c r="P482" s="166">
        <f t="shared" si="45"/>
        <v>390640765.75000006</v>
      </c>
      <c r="R482" s="225"/>
      <c r="S482" s="76"/>
    </row>
    <row r="483" spans="4:19" ht="15.75">
      <c r="D483" s="173" t="s">
        <v>191</v>
      </c>
      <c r="E483" s="165">
        <f t="shared" si="41"/>
        <v>36517209</v>
      </c>
      <c r="F483" s="157">
        <f>F306+F307+F308+F309+F310+F311+F64+F65+F66+F67+F68+F69+F70+F71+F318+F319+F321</f>
        <v>36517209</v>
      </c>
      <c r="G483" s="157">
        <f aca="true" t="shared" si="47" ref="G483:O483">G306+G307+G308+G309+G310+G311+G64+G65+G66+G67+G68+G69+G70+G71+G318+G319+G321</f>
        <v>16574880</v>
      </c>
      <c r="H483" s="157">
        <f t="shared" si="47"/>
        <v>3452900</v>
      </c>
      <c r="I483" s="157">
        <f t="shared" si="47"/>
        <v>0</v>
      </c>
      <c r="J483" s="217">
        <f t="shared" si="46"/>
        <v>69694178.16</v>
      </c>
      <c r="K483" s="157">
        <f t="shared" si="47"/>
        <v>69694178.16</v>
      </c>
      <c r="L483" s="157">
        <f t="shared" si="47"/>
        <v>0</v>
      </c>
      <c r="M483" s="157">
        <f t="shared" si="47"/>
        <v>0</v>
      </c>
      <c r="N483" s="157">
        <f t="shared" si="47"/>
        <v>0</v>
      </c>
      <c r="O483" s="157">
        <f t="shared" si="47"/>
        <v>69694178.16</v>
      </c>
      <c r="P483" s="166">
        <f t="shared" si="45"/>
        <v>106211387.16</v>
      </c>
      <c r="R483" s="225"/>
      <c r="S483" s="76"/>
    </row>
    <row r="484" spans="3:20" s="281" customFormat="1" ht="15.75">
      <c r="C484" s="282"/>
      <c r="D484" s="283" t="s">
        <v>238</v>
      </c>
      <c r="E484" s="284">
        <f>F484+I484</f>
        <v>483209495.4</v>
      </c>
      <c r="F484" s="285">
        <f>F55+F127+F128+F137+F177+F178+F185+F193+F226+F227+F232+F274+F275+F317+F447+F455+F464+F54+F304+F305+F242+F56+F121+F122+F123+F124+F126+F125+F129+F132+F131+F141+F139+F143+F145+F147+F160+F158+F156+F154+F152+F150+F148+F174+F172+F170+F168+F164+F162+F166+F176+F179+F187+F189+F191+F208+F206+F204+F202+F200+F198+F196+F194+F222+F220+F218+F216+F214+F212+F210+F224+F228+F234+F236+F240+F238+F257+F255+F253+F251+F249+F247+F245+F243+F271+F269+F267+F265+F263+F261+F259+F273+F276+F286+F285+F287+F291+F295+F299+F446</f>
        <v>483209495.4</v>
      </c>
      <c r="G484" s="285">
        <f>G55+G127+G128+G137+G177+G178+G185+G193+G226+G227+G232+G274+G275+G317+G447+G455+G464+G54+G304+G305+G242+G56+G121+G122+G123+G124+G126+G125+G129+G132+G131+G141+G139+G143+G145+G147+G160+G158+G156+G154+G152+G150+G148+G174+G172+G170+G168+G164+G162+G166+G176+G179+G187+G189+G191+G208+G206+G204+G202+G200+G198+G196+G194+G222+G220+G218+G216+G214+G212+G210+G224+G228+G234+G236+G240+G238+G257+G255+G253+G251+G249+G247+G245+G243+G271+G269+G267+G265+G263+G261+G259+G273+G276+G286+G285+G287+G291+G295+G299+G446</f>
        <v>22062322</v>
      </c>
      <c r="H484" s="285">
        <f>H55+H127+H128+H137+H177+H178+H185+H193+H226+H227+H232+H274+H275+H317+H447+H455+H464+H54+H304+H305+H242+H56+H121+H122+H123+H124+H126+H125+H129+H132+H131+H141+H139+H143+H145+H147+H160+H158+H156+H154+H152+H150+H148+H174+H172+H170+H168+H164+H162+H166+H176+H179+H187+H189+H191+H208+H206+H204+H202+H200+H198+H196+H194+H222+H220+H218+H216+H214+H212+H210+H224+H228+H234+H236+H240+H238+H257+H255+H253+H251+H249+H247+H245+H243+H271+H269+H267+H265+H263+H261+H259+H273+H276+H286+H285+H287+H291+H295+H299+H446</f>
        <v>2962684</v>
      </c>
      <c r="I484" s="285">
        <f>I55+I127+I128+I137+I177+I178+I185+I193+I226+I227+I232+I274+I275+I317+I447+I455+I464+I54+I304+I305+I242+I56+I121+I122+I123+I124+I126+I125+I129+I132+I131+I141+I139+I143+I145+I147+I160+I158+I156+I154+I152+I150+I148+I174+I172+I170+I168+I164+I162+I166+I176+I179+I187+I189+I191+I208+I206+I204+I202+I200+I198+I196+I194+I222+I220+I218+I216+I214+I212+I210+I224+I228+I234+I236+I240+I238+I257+I255+I253+I251+I249+I247+I245+I243+I271+I269+I267+I265+I263+I261+I259+I273+I276+I286+I285+I287+I291+I295+I299+I446</f>
        <v>0</v>
      </c>
      <c r="J484" s="286">
        <f t="shared" si="46"/>
        <v>3467257</v>
      </c>
      <c r="K484" s="285">
        <f>K464+K455+K447+K446+K305+K304+K299+K295+K291+K287+K286+K285+K276+K275+K274+K273+K228+K227+K226+K224+K179+K178+K177+K176+K132+K131+K129+K128+K127+K126+K125+K124+K123+K122+K121+K55+K304+K54+K180</f>
        <v>2474157</v>
      </c>
      <c r="L484" s="285">
        <f>L464+L455+L447+L446+L305+L304+L299+L295+L291+L287+L286+L285+L276+L275+L274+L273+L228+L227+L226+L224+L179+L178+L177+L176+L132+L131+L129+L128+L127+L126+L125+L124+L123+L122+L121+L55+L304+L54</f>
        <v>993100</v>
      </c>
      <c r="M484" s="285">
        <f>M464+M455+M447+M446+M305+M304+M299+M295+M291+M287+M286+M285+M276+M275+M274+M273+M228+M227+M226+M224+M179+M178+M177+M176+M132+M131+M129+M128+M127+M126+M125+M124+M123+M122+M121+M55+M304+M54</f>
        <v>157900</v>
      </c>
      <c r="N484" s="285">
        <f>N464+N455+N447+N446+N305+N304+N299+N295+N291+N287+N286+N285+N276+N275+N274+N273+N228+N227+N226+N224+N179+N178+N177+N176+N132+N131+N129+N128+N127+N126+N125+N124+N123+N122+N121+N55+N304+N54</f>
        <v>0</v>
      </c>
      <c r="O484" s="285">
        <f>O464+O455+O447+O446+O305+O304+O299+O295+O291+O287+O286+O285+O276+O275+O274+O273+O228+O227+O226+O224+O179+O178+O177+O176+O132+O131+O129+O128+O127+O126+O125+O124+O123+O122+O121+O55+O304+O54+O180</f>
        <v>2474157</v>
      </c>
      <c r="P484" s="287">
        <f t="shared" si="45"/>
        <v>486676752.4</v>
      </c>
      <c r="Q484" s="288"/>
      <c r="R484" s="289"/>
      <c r="S484" s="290"/>
      <c r="T484" s="291"/>
    </row>
    <row r="485" spans="1:19" ht="15.75">
      <c r="A485" s="359" t="s">
        <v>33</v>
      </c>
      <c r="B485" s="359"/>
      <c r="D485" s="173" t="s">
        <v>28</v>
      </c>
      <c r="E485" s="165">
        <f t="shared" si="41"/>
        <v>437320</v>
      </c>
      <c r="F485" s="41">
        <f>F409+F410+F411+F412+F413+F414</f>
        <v>329920</v>
      </c>
      <c r="G485" s="41">
        <f>G409+G410+G411+G412+G413+G414</f>
        <v>0</v>
      </c>
      <c r="H485" s="41">
        <f>H409+H410+H411+H412+H413+H414</f>
        <v>0</v>
      </c>
      <c r="I485" s="41">
        <f>I409+I410+I411+I412+I413+I414</f>
        <v>107400</v>
      </c>
      <c r="J485" s="217">
        <f t="shared" si="46"/>
        <v>1042000</v>
      </c>
      <c r="K485" s="273">
        <f>K409+K410+K411+K412+K413+K414</f>
        <v>1042000</v>
      </c>
      <c r="L485" s="41">
        <f>L409+L410+L411+L412+L413+L414</f>
        <v>0</v>
      </c>
      <c r="M485" s="41">
        <f>M409+M410+M411+M412+M413+M414</f>
        <v>0</v>
      </c>
      <c r="N485" s="41">
        <f>N409+N410+N411+N412+N413+N414</f>
        <v>0</v>
      </c>
      <c r="O485" s="273">
        <f>O409+O410+O411+O412+O413+O414</f>
        <v>1042000</v>
      </c>
      <c r="P485" s="166">
        <f t="shared" si="45"/>
        <v>1479320</v>
      </c>
      <c r="R485" s="225"/>
      <c r="S485" s="76"/>
    </row>
    <row r="486" spans="1:20" ht="15.75">
      <c r="A486" s="358" t="e">
        <f>P77+P357+P381+P395+#REF!</f>
        <v>#REF!</v>
      </c>
      <c r="B486" s="358"/>
      <c r="D486" s="173" t="s">
        <v>103</v>
      </c>
      <c r="E486" s="165">
        <f t="shared" si="41"/>
        <v>280616244.91</v>
      </c>
      <c r="F486" s="41">
        <f>F465+F458+F456+F449+F448+F425+F420+F336+F337+F335+F333+F332+F329+F327+F325+F323</f>
        <v>276067849.47</v>
      </c>
      <c r="G486" s="41">
        <f>G465+G458+G456+G449+G448+G425+G420+G336+G337+G335+G333+G332+G329+G327+G325+G323</f>
        <v>0</v>
      </c>
      <c r="H486" s="41">
        <f>H465+H458+H456+H449+H448+H425+H420+H336+H337+H335+H333+H332+H329+H327+H325+H323</f>
        <v>18033082</v>
      </c>
      <c r="I486" s="41">
        <f>I465+I458+I456+I449+I448+I425+I420+I336+I337+I335+I333+I332+I329+I327+I325+I323</f>
        <v>4548395.4399999995</v>
      </c>
      <c r="J486" s="217">
        <f t="shared" si="46"/>
        <v>132741269.8</v>
      </c>
      <c r="K486" s="41">
        <f>K465+K458+K456+K449+K448+K425+K420+K336+K337+K335+K333+K332+K329+K327+K325+K323</f>
        <v>132741269.8</v>
      </c>
      <c r="L486" s="41">
        <f>L465+L458+L456+L449+L448+L425+L420+L336+L337+L335+L333+L332+L329+L327+L325+L323</f>
        <v>0</v>
      </c>
      <c r="M486" s="41">
        <f>M465+M458+M456+M449+M448+M425+M420+M336+M337+M335+M333+M332+M329+M327+M325+M323</f>
        <v>0</v>
      </c>
      <c r="N486" s="41">
        <f>N465+N458+N456+N449+N448+N425+N420+N336+N337+N335+N333+N332+N329+N327+N325+N323</f>
        <v>0</v>
      </c>
      <c r="O486" s="41">
        <f>O465+O458+O456+O449+O448+O425+O420+O336+O337+O335+O333+O332+O329+O327+O325+O323</f>
        <v>132741269.8</v>
      </c>
      <c r="P486" s="166">
        <f t="shared" si="45"/>
        <v>413357514.71000004</v>
      </c>
      <c r="R486" s="225"/>
      <c r="S486" s="76"/>
      <c r="T486" s="76"/>
    </row>
    <row r="487" spans="4:19" ht="15.75">
      <c r="D487" s="173" t="s">
        <v>64</v>
      </c>
      <c r="E487" s="165">
        <f t="shared" si="41"/>
        <v>190140</v>
      </c>
      <c r="F487" s="41">
        <f>F72+F73+F74+F112+F338+F340+F341+F342+F343+F344+F345+F349+F367</f>
        <v>190140</v>
      </c>
      <c r="G487" s="41">
        <f>G72+G73+G74+G112+G338+G340+G341+G342+G343+G344+G345+G349+G367</f>
        <v>0</v>
      </c>
      <c r="H487" s="41">
        <f>H72+H73+H74+H112+H338+H340+H341+H342+H343+H344+H345+H349+H367</f>
        <v>0</v>
      </c>
      <c r="I487" s="41">
        <f>I72+I73+I74+I112+I338+I340+I341+I342+I343+I344+I345+I349+I367</f>
        <v>0</v>
      </c>
      <c r="J487" s="217">
        <f t="shared" si="46"/>
        <v>43173894.230000004</v>
      </c>
      <c r="K487" s="273">
        <f>K72+K73+K74+K112+K338+K340+K341+K342+K343+K344+K345+K349+K367+K347</f>
        <v>43173894.230000004</v>
      </c>
      <c r="L487" s="273">
        <f>L72+L73+L74+L112+L338+L340+L341+L342+L343+L344+L345+L349+L367+L347</f>
        <v>0</v>
      </c>
      <c r="M487" s="273">
        <f>M72+M73+M74+M112+M338+M340+M341+M342+M343+M344+M345+M349+M367+M347</f>
        <v>0</v>
      </c>
      <c r="N487" s="273">
        <f>N72+N73+N74+N112+N338+N340+N341+N342+N343+N344+N345+N349+N367+N347</f>
        <v>0</v>
      </c>
      <c r="O487" s="273">
        <f>O72+O73+O74+O112+O338+O340+O341+O342+O343+O344+O345+O349+O367+O347</f>
        <v>43173894.230000004</v>
      </c>
      <c r="P487" s="166">
        <f t="shared" si="45"/>
        <v>43364034.230000004</v>
      </c>
      <c r="Q487" s="252"/>
      <c r="R487" s="225"/>
      <c r="S487" s="76"/>
    </row>
    <row r="488" spans="1:19" ht="15.75">
      <c r="A488" s="349"/>
      <c r="B488" s="349"/>
      <c r="D488" s="173" t="s">
        <v>242</v>
      </c>
      <c r="E488" s="165">
        <f t="shared" si="41"/>
        <v>151732053</v>
      </c>
      <c r="F488" s="41">
        <f>F380+F379+F378+F351+F352</f>
        <v>92732053</v>
      </c>
      <c r="G488" s="41">
        <f>G380+G379+G378+G351+G352</f>
        <v>0</v>
      </c>
      <c r="H488" s="41">
        <f>H380+H379+H378+H351+H352</f>
        <v>0</v>
      </c>
      <c r="I488" s="41">
        <f>I380+I379+I378+I351+I352</f>
        <v>59000000</v>
      </c>
      <c r="J488" s="217">
        <f t="shared" si="46"/>
        <v>255500</v>
      </c>
      <c r="K488" s="273">
        <f>K380+K379+K378+K351+K352</f>
        <v>250000</v>
      </c>
      <c r="L488" s="41">
        <f>L380+L379+L378+L351+L352</f>
        <v>5500</v>
      </c>
      <c r="M488" s="41">
        <f>M380+M379+M378+M351+M352</f>
        <v>0</v>
      </c>
      <c r="N488" s="41">
        <f>N380+N379+N378+N351+N352</f>
        <v>0</v>
      </c>
      <c r="O488" s="273">
        <f>O380+O379+O378+O351+O352</f>
        <v>250000</v>
      </c>
      <c r="P488" s="166">
        <f t="shared" si="45"/>
        <v>151987553</v>
      </c>
      <c r="R488" s="225"/>
      <c r="S488" s="76"/>
    </row>
    <row r="489" spans="1:19" ht="15.75">
      <c r="A489" s="350"/>
      <c r="B489" s="350"/>
      <c r="D489" s="173" t="s">
        <v>161</v>
      </c>
      <c r="E489" s="165">
        <f t="shared" si="41"/>
        <v>6454944</v>
      </c>
      <c r="F489" s="41">
        <f>F354</f>
        <v>6454944</v>
      </c>
      <c r="G489" s="41">
        <f>G354</f>
        <v>0</v>
      </c>
      <c r="H489" s="41">
        <f>H354</f>
        <v>0</v>
      </c>
      <c r="I489" s="41">
        <f>I354</f>
        <v>0</v>
      </c>
      <c r="J489" s="217">
        <f t="shared" si="46"/>
        <v>0</v>
      </c>
      <c r="K489" s="273">
        <f>K354</f>
        <v>0</v>
      </c>
      <c r="L489" s="41">
        <f>L354</f>
        <v>0</v>
      </c>
      <c r="M489" s="41">
        <f>M354</f>
        <v>0</v>
      </c>
      <c r="N489" s="41">
        <f>N354</f>
        <v>0</v>
      </c>
      <c r="O489" s="273">
        <f>O354</f>
        <v>0</v>
      </c>
      <c r="P489" s="166">
        <f t="shared" si="45"/>
        <v>6454944</v>
      </c>
      <c r="R489" s="225"/>
      <c r="S489" s="76"/>
    </row>
    <row r="490" spans="1:20" ht="15.75">
      <c r="A490" s="174"/>
      <c r="B490" s="175"/>
      <c r="D490" s="173" t="s">
        <v>65</v>
      </c>
      <c r="E490" s="165">
        <f t="shared" si="41"/>
        <v>1045198.3600000017</v>
      </c>
      <c r="F490" s="41">
        <f>F431+F426+F395+F389+F388+F387+F381+F359+F357+F355+F77+F113+F358</f>
        <v>1045198.3600000017</v>
      </c>
      <c r="G490" s="41">
        <f>G431+G426+G395+G389+G388+G387+G381+G359+G357+G355+G77+G113+G358</f>
        <v>0</v>
      </c>
      <c r="H490" s="41">
        <f>H431+H426+H395+H389+H388+H387+H381+H359+H357+H355+H77+H113+H358</f>
        <v>0</v>
      </c>
      <c r="I490" s="41">
        <f>I431+I426+I395+I389+I388+I387+I381+I359+I357+I355+I77+I113+I358</f>
        <v>0</v>
      </c>
      <c r="J490" s="217">
        <f t="shared" si="46"/>
        <v>172743760.32</v>
      </c>
      <c r="K490" s="273">
        <f>K431+K426+K395+K389+K388+K387+K381+K359+K357+K355+K77+K113+K358</f>
        <v>132406956.13</v>
      </c>
      <c r="L490" s="273">
        <f>L431+L426+L395+L389+L388+L387+L381+L359+L357+L355+L77+L113+L358</f>
        <v>5336804.19</v>
      </c>
      <c r="M490" s="273">
        <f>M431+M426+M395+M389+M388+M387+M381+M359+M357+M355+M77+M113+M358</f>
        <v>0</v>
      </c>
      <c r="N490" s="273">
        <f>N431+N426+N395+N389+N388+N387+N381+N359+N357+N355+N77+N113+N358</f>
        <v>0</v>
      </c>
      <c r="O490" s="273">
        <f>O431+O426+O395+O389+O388+O387+O381+O359+O357+O355+O77+O113+O358</f>
        <v>167406956.13</v>
      </c>
      <c r="P490" s="166">
        <f t="shared" si="45"/>
        <v>173788958.68</v>
      </c>
      <c r="R490" s="225"/>
      <c r="T490" s="76"/>
    </row>
    <row r="491" spans="4:18" ht="15.75">
      <c r="D491" s="173" t="s">
        <v>57</v>
      </c>
      <c r="E491" s="165">
        <f>F491+I491+10000000-10000000</f>
        <v>1118603</v>
      </c>
      <c r="F491" s="41">
        <f>F434+F433+F402+F396+F397+F361+F360+F78</f>
        <v>1118603</v>
      </c>
      <c r="G491" s="41">
        <f>G434+G433+G402+G396+G397+G361+G360+G78</f>
        <v>0</v>
      </c>
      <c r="H491" s="41">
        <f>H434+H433+H402+H396+H397+H361+H360+H78</f>
        <v>0</v>
      </c>
      <c r="I491" s="41">
        <f>I434+I433+I402+I396+I397+I361+I360+I78</f>
        <v>0</v>
      </c>
      <c r="J491" s="217">
        <f t="shared" si="46"/>
        <v>10370607.84</v>
      </c>
      <c r="K491" s="41">
        <f>K434+K433+K402+K396+K397+K361+K360+K78</f>
        <v>0</v>
      </c>
      <c r="L491" s="41">
        <f>L434+L433+L402+L396+L397+L361+L360+L78</f>
        <v>8380000</v>
      </c>
      <c r="M491" s="41">
        <f>M434+M433+M402+M396+M397+M361+M360+M78</f>
        <v>0</v>
      </c>
      <c r="N491" s="41">
        <f>N434+N433+N402+N396+N397+N361+N360+N78</f>
        <v>0</v>
      </c>
      <c r="O491" s="41">
        <f>O434+O433+O402+O396+O397+O361+O360+O78</f>
        <v>1990607.84</v>
      </c>
      <c r="P491" s="166">
        <f t="shared" si="45"/>
        <v>11489210.84</v>
      </c>
      <c r="R491" s="225"/>
    </row>
    <row r="492" spans="4:19" ht="15.75">
      <c r="D492" s="173" t="s">
        <v>235</v>
      </c>
      <c r="E492" s="165">
        <f t="shared" si="41"/>
        <v>4827996.35</v>
      </c>
      <c r="F492" s="41">
        <f>F441+F438+F435+F436+F403+F114</f>
        <v>4727996.35</v>
      </c>
      <c r="G492" s="41">
        <f>G441+G438+G435+G436+G403+G114</f>
        <v>0</v>
      </c>
      <c r="H492" s="41">
        <f>H441+H438+H435+H436+H403+H114</f>
        <v>0</v>
      </c>
      <c r="I492" s="41">
        <f>I441+I438+I435+I436+I403+I114</f>
        <v>100000</v>
      </c>
      <c r="J492" s="217">
        <f t="shared" si="46"/>
        <v>695515</v>
      </c>
      <c r="K492" s="273">
        <f>K441+K438+K435+K436+K403</f>
        <v>695515</v>
      </c>
      <c r="L492" s="41">
        <f>L441+L438+L435+L436+L403</f>
        <v>0</v>
      </c>
      <c r="M492" s="41">
        <f>M441+M438+M435+M436+M403</f>
        <v>0</v>
      </c>
      <c r="N492" s="41">
        <f>N441+N438+N435+N436+N403</f>
        <v>0</v>
      </c>
      <c r="O492" s="273">
        <f>O441+O438+O435+O436+O403</f>
        <v>695515</v>
      </c>
      <c r="P492" s="166">
        <f t="shared" si="45"/>
        <v>5523511.35</v>
      </c>
      <c r="R492" s="225"/>
      <c r="S492" s="76"/>
    </row>
    <row r="493" spans="1:20" s="182" customFormat="1" ht="20.25" customHeight="1">
      <c r="A493" s="176"/>
      <c r="B493" s="177"/>
      <c r="C493" s="176"/>
      <c r="D493" s="178" t="s">
        <v>29</v>
      </c>
      <c r="E493" s="179">
        <f>SUM(E475:E492)</f>
        <v>2390154066.73</v>
      </c>
      <c r="F493" s="179">
        <f aca="true" t="shared" si="48" ref="F493:O493">SUM(F475:F492)</f>
        <v>2326398271.29</v>
      </c>
      <c r="G493" s="179">
        <f t="shared" si="48"/>
        <v>671126048</v>
      </c>
      <c r="H493" s="179">
        <f>SUM(H475:H492)</f>
        <v>154667445.71999997</v>
      </c>
      <c r="I493" s="179">
        <f t="shared" si="48"/>
        <v>63755795.44</v>
      </c>
      <c r="J493" s="179">
        <f>SUM(J475:J492)</f>
        <v>545989838.47</v>
      </c>
      <c r="K493" s="274">
        <f t="shared" si="48"/>
        <v>438462742.44</v>
      </c>
      <c r="L493" s="179">
        <f t="shared" si="48"/>
        <v>70068909.19</v>
      </c>
      <c r="M493" s="179">
        <f t="shared" si="48"/>
        <v>1600524</v>
      </c>
      <c r="N493" s="179">
        <f t="shared" si="48"/>
        <v>156624</v>
      </c>
      <c r="O493" s="274">
        <f t="shared" si="48"/>
        <v>475920929.28</v>
      </c>
      <c r="P493" s="179">
        <f>SUM(P475:P492)</f>
        <v>2936143905.2</v>
      </c>
      <c r="Q493" s="253"/>
      <c r="R493" s="225"/>
      <c r="S493" s="180"/>
      <c r="T493" s="181"/>
    </row>
    <row r="494" spans="5:19" ht="15.75">
      <c r="E494" s="183"/>
      <c r="F494" s="184"/>
      <c r="G494" s="184"/>
      <c r="H494" s="184"/>
      <c r="I494" s="184"/>
      <c r="J494" s="183"/>
      <c r="K494" s="275"/>
      <c r="L494" s="184"/>
      <c r="M494" s="184"/>
      <c r="N494" s="184"/>
      <c r="O494" s="275"/>
      <c r="P494" s="184"/>
      <c r="Q494" s="225"/>
      <c r="R494" s="225"/>
      <c r="S494" s="76"/>
    </row>
    <row r="495" spans="1:20" s="189" customFormat="1" ht="20.25" customHeight="1">
      <c r="A495" s="185"/>
      <c r="B495" s="185"/>
      <c r="C495" s="185"/>
      <c r="D495" s="186" t="s">
        <v>27</v>
      </c>
      <c r="E495" s="187">
        <f aca="true" t="shared" si="49" ref="E495:P495">E493-E466</f>
        <v>0</v>
      </c>
      <c r="F495" s="187">
        <f t="shared" si="49"/>
        <v>0</v>
      </c>
      <c r="G495" s="187">
        <f t="shared" si="49"/>
        <v>0</v>
      </c>
      <c r="H495" s="187">
        <f t="shared" si="49"/>
        <v>0</v>
      </c>
      <c r="I495" s="187">
        <f t="shared" si="49"/>
        <v>0</v>
      </c>
      <c r="J495" s="187">
        <f t="shared" si="49"/>
        <v>0</v>
      </c>
      <c r="K495" s="276">
        <f t="shared" si="49"/>
        <v>0</v>
      </c>
      <c r="L495" s="187">
        <f t="shared" si="49"/>
        <v>0</v>
      </c>
      <c r="M495" s="187">
        <f t="shared" si="49"/>
        <v>0</v>
      </c>
      <c r="N495" s="187">
        <f t="shared" si="49"/>
        <v>0</v>
      </c>
      <c r="O495" s="276">
        <f t="shared" si="49"/>
        <v>0</v>
      </c>
      <c r="P495" s="187">
        <f t="shared" si="49"/>
        <v>0</v>
      </c>
      <c r="Q495" s="254"/>
      <c r="R495" s="254"/>
      <c r="S495" s="188"/>
      <c r="T495" s="188"/>
    </row>
    <row r="496" spans="1:20" s="189" customFormat="1" ht="20.25" customHeight="1">
      <c r="A496" s="185"/>
      <c r="B496" s="185"/>
      <c r="C496" s="185"/>
      <c r="I496" s="187"/>
      <c r="J496" s="187"/>
      <c r="K496" s="276"/>
      <c r="L496" s="187"/>
      <c r="M496" s="187"/>
      <c r="N496" s="187"/>
      <c r="O496" s="276"/>
      <c r="P496" s="187"/>
      <c r="Q496" s="254"/>
      <c r="R496" s="254"/>
      <c r="S496" s="188"/>
      <c r="T496" s="188"/>
    </row>
    <row r="497" ht="19.5" customHeight="1"/>
    <row r="499" spans="13:16" ht="15.75">
      <c r="M499" s="190"/>
      <c r="N499" s="191" t="s">
        <v>31</v>
      </c>
      <c r="O499" s="277" t="s">
        <v>32</v>
      </c>
      <c r="P499" s="191" t="s">
        <v>29</v>
      </c>
    </row>
    <row r="500" spans="13:16" ht="15.75">
      <c r="M500" s="88">
        <v>3210</v>
      </c>
      <c r="N500" s="192">
        <f>E464+E455+E447+E317</f>
        <v>358495</v>
      </c>
      <c r="O500" s="278">
        <f>J464+J455+J447+J317</f>
        <v>0</v>
      </c>
      <c r="P500" s="193">
        <f aca="true" t="shared" si="50" ref="P500:P505">N500+O500</f>
        <v>358495</v>
      </c>
    </row>
    <row r="501" spans="13:16" ht="15.75">
      <c r="M501" s="88">
        <v>5000</v>
      </c>
      <c r="N501" s="192">
        <f>E319+E321</f>
        <v>0</v>
      </c>
      <c r="O501" s="278">
        <f>J319+J321</f>
        <v>67254078.16</v>
      </c>
      <c r="P501" s="193">
        <f>N501+O501</f>
        <v>67254078.16</v>
      </c>
    </row>
    <row r="502" spans="13:17" ht="15" customHeight="1">
      <c r="M502" s="88">
        <v>6000</v>
      </c>
      <c r="N502" s="192">
        <f>E465+E458+E456+E449+E448+E425+E420+E410+E409+E336+E335+E333+E332+E329+E327+F325+E323</f>
        <v>280662244.91</v>
      </c>
      <c r="O502" s="278">
        <f>J465+J458+J456+J449+J448+J425+J420+J410+J409+J336+J335+J333+J332+J329+J327+J325+J323</f>
        <v>133483269.8</v>
      </c>
      <c r="P502" s="193">
        <f t="shared" si="50"/>
        <v>414145514.71000004</v>
      </c>
      <c r="Q502" s="255"/>
    </row>
    <row r="503" spans="13:16" ht="15.75">
      <c r="M503" s="88">
        <v>7000</v>
      </c>
      <c r="N503" s="192">
        <f>E426+E414+E413+E412+E411+E395+E389+E388+E387+E381+E380+E379+E378+E367+E359+E358+E357+E355+E354+E351+E352+E349+E347+E345+E344+E343+E342+E341+E340+E338+E337+E113+E112+E77+E74+E73+E72</f>
        <v>159660363</v>
      </c>
      <c r="O503" s="278">
        <f>J426+J414+J413+J412+J411+J395+J389+J388+J387+J381+J380+J379+J378+J367+J359+J358+J357+J355+J354+J351+J352+J349++J345+J344+J343+J342+J341+J340+J338+J337+J113+J112+J77+J74+J73+J72+J347</f>
        <v>216473154.54999998</v>
      </c>
      <c r="P503" s="193">
        <f t="shared" si="50"/>
        <v>376133517.54999995</v>
      </c>
    </row>
    <row r="504" spans="13:16" ht="15.75">
      <c r="M504" s="88">
        <v>8000</v>
      </c>
      <c r="N504" s="192">
        <f>E402+E397+E396+E361+E360</f>
        <v>1100608</v>
      </c>
      <c r="O504" s="278">
        <f>J402+J397+J396+J361+J360</f>
        <v>10370607.84</v>
      </c>
      <c r="P504" s="193">
        <f t="shared" si="50"/>
        <v>11471215.84</v>
      </c>
    </row>
    <row r="505" spans="13:16" ht="15.75">
      <c r="M505" s="88">
        <v>9000</v>
      </c>
      <c r="N505" s="192">
        <f>E441+E440+E436+E403</f>
        <v>3674485</v>
      </c>
      <c r="O505" s="278">
        <f>J441+J440+J436+J403</f>
        <v>695515</v>
      </c>
      <c r="P505" s="193">
        <f t="shared" si="50"/>
        <v>4370000</v>
      </c>
    </row>
    <row r="506" spans="13:16" ht="15.75">
      <c r="M506" s="194" t="s">
        <v>29</v>
      </c>
      <c r="N506" s="193">
        <f>SUM(N500:N505)</f>
        <v>445456195.91</v>
      </c>
      <c r="O506" s="279">
        <f>SUM(O500:O505)</f>
        <v>428276625.34999996</v>
      </c>
      <c r="P506" s="193">
        <f>SUM(P500:P505)</f>
        <v>873732821.26</v>
      </c>
    </row>
    <row r="507" spans="14:16" ht="15.75">
      <c r="N507" s="75"/>
      <c r="O507" s="271"/>
      <c r="P507" s="75"/>
    </row>
  </sheetData>
  <sheetProtection/>
  <mergeCells count="37">
    <mergeCell ref="A469:F469"/>
    <mergeCell ref="B9:B12"/>
    <mergeCell ref="E10:E12"/>
    <mergeCell ref="K10:K12"/>
    <mergeCell ref="A9:A12"/>
    <mergeCell ref="I10:I12"/>
    <mergeCell ref="J10:J12"/>
    <mergeCell ref="N11:N12"/>
    <mergeCell ref="L1:P1"/>
    <mergeCell ref="L2:P2"/>
    <mergeCell ref="L3:P3"/>
    <mergeCell ref="L4:P4"/>
    <mergeCell ref="O10:O12"/>
    <mergeCell ref="M10:N10"/>
    <mergeCell ref="L10:L12"/>
    <mergeCell ref="A6:P6"/>
    <mergeCell ref="J9:O9"/>
    <mergeCell ref="L5:P5"/>
    <mergeCell ref="A486:B486"/>
    <mergeCell ref="A485:B485"/>
    <mergeCell ref="A477:B477"/>
    <mergeCell ref="A482:B482"/>
    <mergeCell ref="A478:B478"/>
    <mergeCell ref="A481:B481"/>
    <mergeCell ref="L469:O469"/>
    <mergeCell ref="F10:F12"/>
    <mergeCell ref="G10:H10"/>
    <mergeCell ref="A488:B488"/>
    <mergeCell ref="A489:B489"/>
    <mergeCell ref="A7:P7"/>
    <mergeCell ref="G11:G12"/>
    <mergeCell ref="H11:H12"/>
    <mergeCell ref="M11:M12"/>
    <mergeCell ref="D9:D12"/>
    <mergeCell ref="C9:C12"/>
    <mergeCell ref="E9:I9"/>
    <mergeCell ref="P9:P12"/>
  </mergeCells>
  <printOptions/>
  <pageMargins left="0.1968503937007874" right="0.1968503937007874" top="1.141732283464567" bottom="0.7874015748031497" header="0.9055118110236221" footer="0.31496062992125984"/>
  <pageSetup fitToHeight="34" fitToWidth="1" horizontalDpi="600" verticalDpi="600" orientation="landscape" paperSize="9" scale="45" r:id="rId1"/>
  <headerFooter differentFirst="1">
    <oddHeader>&amp;CСтраница &amp;P</oddHeader>
  </headerFooter>
  <rowBreaks count="8" manualBreakCount="8">
    <brk id="30" max="15" man="1"/>
    <brk id="51" max="15" man="1"/>
    <brk id="79" max="15" man="1"/>
    <brk id="106" max="15" man="1"/>
    <brk id="131" max="15" man="1"/>
    <brk id="144" max="15" man="1"/>
    <brk id="250" max="15" man="1"/>
    <brk id="4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2019-12-13T14:58:47Z</cp:lastPrinted>
  <dcterms:created xsi:type="dcterms:W3CDTF">2017-12-09T16:51:10Z</dcterms:created>
  <dcterms:modified xsi:type="dcterms:W3CDTF">2019-12-13T16:03:08Z</dcterms:modified>
  <cp:category/>
  <cp:version/>
  <cp:contentType/>
  <cp:contentStatus/>
</cp:coreProperties>
</file>