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266" windowWidth="11850" windowHeight="9510" activeTab="0"/>
  </bookViews>
  <sheets>
    <sheet name="12" sheetId="1" r:id="rId1"/>
  </sheets>
  <externalReferences>
    <externalReference r:id="rId4"/>
  </externalReferences>
  <definedNames>
    <definedName name="_xlnm.Print_Titles" localSheetId="0">'12'!$9:$14</definedName>
    <definedName name="_xlnm.Print_Area" localSheetId="0">'12'!$A$1:$J$421</definedName>
  </definedNames>
  <calcPr fullCalcOnLoad="1"/>
</workbook>
</file>

<file path=xl/sharedStrings.xml><?xml version="1.0" encoding="utf-8"?>
<sst xmlns="http://schemas.openxmlformats.org/spreadsheetml/2006/main" count="1606" uniqueCount="768">
  <si>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</si>
  <si>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у тому числі інші субвенції з місцевого бюджету (субвенція з обласного бюджету до місцевих бюджетів на створення ресурсних кімнат для дітей з особливими освітніми потребами, що потребують інклюзивної освіти)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</si>
  <si>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витратних матеріалів для початкової школи)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</si>
  <si>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інноваційного навчально-тренінгового класу)</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</si>
  <si>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створення умов для підготовки та проведення зовнішнього незалежного оцінювання з іноземних мов)</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</si>
  <si>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кабінетів української мови в закладах загальної середньої освіти з навчанням мовами національних меншин)</t>
  </si>
  <si>
    <t>Забезпечення діяльності інших закладів у сфері охорони здоров'я</t>
  </si>
  <si>
    <t>Програма Партиципаторного бюджетування (бюджету участі) у місті Кам'янське на 2017-2021 роки, рішення міської ради від 17.11.2017 №880-20/VII (зі змінами)</t>
  </si>
  <si>
    <t>0614030</t>
  </si>
  <si>
    <t>Забезпечення діяльності бібліотек</t>
  </si>
  <si>
    <t>0614040</t>
  </si>
  <si>
    <t>4040</t>
  </si>
  <si>
    <t>0824</t>
  </si>
  <si>
    <t>Забезпечення діяльності музеїв i виставок</t>
  </si>
  <si>
    <t>0615031</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</si>
  <si>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</si>
  <si>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</si>
  <si>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0816083</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</si>
  <si>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</si>
  <si>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</si>
  <si>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</si>
  <si>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</si>
  <si>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забезпечення якісної, сучасної та доступної загальної середньої освіти "Нова українська школа"</t>
  </si>
  <si>
    <t>0611170</t>
  </si>
  <si>
    <t>1170</t>
  </si>
  <si>
    <t>Забезпечення діяльності інклюзивно-ресурсних центрів</t>
  </si>
  <si>
    <t>Програма ремонту та утримання фонтанів м.Кам'янське на 2017-2020 роки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</si>
  <si>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</si>
  <si>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 xml:space="preserve"> 26.06.2009 №720-39/V     (зі змінами)</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</si>
  <si>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</si>
  <si>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</si>
  <si>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</si>
  <si>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у тому числі 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</si>
  <si>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 xml:space="preserve">Програма благоустрою м.Кам'янське на 2015-2019 роки </t>
  </si>
  <si>
    <t>Програма благоустрою м.Кам'янське на 2015-2019 роки</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</si>
  <si>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</si>
  <si>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</si>
  <si>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</si>
  <si>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в тому числі за рахунок освітньої субвенції з державного бюджнету місцевим бюджетам (залишки)</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</si>
  <si>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</si>
  <si>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</si>
  <si>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</si>
  <si>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</si>
  <si>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</si>
  <si>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</si>
  <si>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</si>
  <si>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</si>
  <si>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</si>
  <si>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</si>
  <si>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</si>
  <si>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</si>
  <si>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</si>
  <si>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</si>
  <si>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</si>
  <si>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</si>
  <si>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4113130</t>
  </si>
  <si>
    <t xml:space="preserve"> Програма розвитку та діяльності комунальної установи "Центр молодіжних ініціатив" Кам'янської міської ради на 2019-2020 роки</t>
  </si>
  <si>
    <t>3416310</t>
  </si>
  <si>
    <t>1517690</t>
  </si>
  <si>
    <t>.0763</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</si>
  <si>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</si>
  <si>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</si>
  <si>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</si>
  <si>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</si>
  <si>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</si>
  <si>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</si>
  <si>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</si>
  <si>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</si>
  <si>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</si>
  <si>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</si>
  <si>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</si>
  <si>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Дошкільні заклади освіти</t>
  </si>
  <si>
    <t>0921</t>
  </si>
  <si>
    <t>Загальноосвітні школи (в т. ч. школа-дитячий садок, інтернат при школі), спеціалізовані школи, ліцеї, гімназії, колегіуми</t>
  </si>
  <si>
    <t>0922</t>
  </si>
  <si>
    <t>0960</t>
  </si>
  <si>
    <t>0990</t>
  </si>
  <si>
    <t>1040</t>
  </si>
  <si>
    <t>Проведення спортивної роботи в регіоні</t>
  </si>
  <si>
    <t>0810</t>
  </si>
  <si>
    <t>Проведення навчально-тренувальних зборів і змагань з неолімпійських видів спорту</t>
  </si>
  <si>
    <t>Діяльність закладів фізичної культури і спорту  </t>
  </si>
  <si>
    <t xml:space="preserve">Дата та номер документа, яким затверджено місцеву регіональну програму </t>
  </si>
  <si>
    <t>Усього</t>
  </si>
  <si>
    <t>усього</t>
  </si>
  <si>
    <t>у тому числі бюджет розвитку</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</si>
  <si>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</si>
  <si>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t>
  </si>
  <si>
    <t>Фінансова підтримка фізкультурно-спортивного руху</t>
  </si>
  <si>
    <t>Утримання апарату управління громадських фізкультурно-спортивних організацій</t>
  </si>
  <si>
    <t>Здійснення фізкультурно-спортивної та реабілітаційної роботи серед інвалідів</t>
  </si>
  <si>
    <t>Видатки на утримання центрів з інвалідного спорту і реабілітаційних шкіл</t>
  </si>
  <si>
    <t>0490</t>
  </si>
  <si>
    <t>0731</t>
  </si>
  <si>
    <t>0732</t>
  </si>
  <si>
    <t>0722</t>
  </si>
  <si>
    <t>0763</t>
  </si>
  <si>
    <t>1030</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</si>
  <si>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</si>
  <si>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</si>
  <si>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</si>
  <si>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Орган з питань праці та соціального захисту населення</t>
  </si>
  <si>
    <t>1060</t>
  </si>
  <si>
    <t>1020</t>
  </si>
  <si>
    <t>Соціальний захист ветеранів війни та праці</t>
  </si>
  <si>
    <t>Орган у справах дітей</t>
  </si>
  <si>
    <t>Заклади і заходи з питань дітей та їх соціального захисту</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</si>
  <si>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</si>
  <si>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</si>
  <si>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</si>
  <si>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</si>
  <si>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</si>
  <si>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</si>
  <si>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</si>
  <si>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</si>
  <si>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0611161</t>
  </si>
  <si>
    <t>Забезпечення діяльності інших закладів у сфері освіти</t>
  </si>
  <si>
    <t>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на оснащення кабінетів інклюзивно-ресурсних центрів</t>
  </si>
  <si>
    <t xml:space="preserve">у тому числі Субвенція з місцевого бюджету на забезпечення якісної, сучасної та доступної загальної середньої освіти "Нова українська школа" на придбання дидактичного матеріалу та сучасних меблів, на придбання комп'ютерного обладнання, відповідного мультимедійного контенту для початкових класів </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</si>
  <si>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</si>
  <si>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</si>
  <si>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</si>
  <si>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</si>
  <si>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</si>
  <si>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</si>
  <si>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</si>
  <si>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Управління  екології та природних ресурсів міської ради</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</si>
  <si>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</si>
  <si>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</si>
  <si>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</si>
  <si>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</si>
  <si>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</si>
  <si>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</si>
  <si>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0320</t>
  </si>
  <si>
    <t>Департамент економічного розвитку міської ради</t>
  </si>
  <si>
    <t>0470</t>
  </si>
  <si>
    <t>Адміністрація Південного району міської ради</t>
  </si>
  <si>
    <t>Адміністрація Дніпровського району міської ради</t>
  </si>
  <si>
    <t>1110180</t>
  </si>
  <si>
    <t xml:space="preserve">Адміністрація Заводського району міської ради </t>
  </si>
  <si>
    <t>Здійснення соціальної роботи з вразливими категоріями населення</t>
  </si>
  <si>
    <t>Служба у справах дітей міської ради</t>
  </si>
  <si>
    <t>в тому числі за рахунок освітньої субвенції з державного бюджету місцевим бюджетам</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</si>
  <si>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</si>
  <si>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</si>
  <si>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</si>
  <si>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1516310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</si>
  <si>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</si>
  <si>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</si>
  <si>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</si>
  <si>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</si>
  <si>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</si>
  <si>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</si>
  <si>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</si>
  <si>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</si>
  <si>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</si>
  <si>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</si>
  <si>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</si>
  <si>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</si>
  <si>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</si>
  <si>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Реалізація державної політики у молодіжній сфері</t>
  </si>
  <si>
    <t>Реалізація заходів щодо інвестиційного розвитку території</t>
  </si>
  <si>
    <t>6310</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</si>
  <si>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</si>
  <si>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</si>
  <si>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</si>
  <si>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</si>
  <si>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</si>
  <si>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підтримки міської виборчої комісії у міжвиборчий період</t>
  </si>
  <si>
    <t>Програма соціально-економічного та культурного розвитку міста на 2017 рік, рішення міської ради від 16.12.2016 №562-12/VII (зі змінами)</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</si>
  <si>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</si>
  <si>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Управління соціальної політики міської ради</t>
  </si>
  <si>
    <t>Управління охорони здоров'я міської ради</t>
  </si>
  <si>
    <t>Інші заходи з розвитку фізичної культури та спорту</t>
  </si>
  <si>
    <t>0710000</t>
  </si>
  <si>
    <t>0712010</t>
  </si>
  <si>
    <t>0712020</t>
  </si>
  <si>
    <t>0712100</t>
  </si>
  <si>
    <t>Стоматологічна допомога населенню</t>
  </si>
  <si>
    <t>0712110</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</si>
  <si>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</si>
  <si>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</si>
  <si>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</si>
  <si>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</si>
  <si>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в тому числі за рахунок інші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</si>
  <si>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</si>
  <si>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17.11.2017 №912-20/УІІ (зі змінами)</t>
  </si>
  <si>
    <t>0615021</t>
  </si>
  <si>
    <t>Орган з питань освіти і науки</t>
  </si>
  <si>
    <t>0610000</t>
  </si>
  <si>
    <t>0613130</t>
  </si>
  <si>
    <t>0613131</t>
  </si>
  <si>
    <t>3131</t>
  </si>
  <si>
    <t>0613140</t>
  </si>
  <si>
    <t>3140</t>
  </si>
  <si>
    <t>Інші заклади  та заходи</t>
  </si>
  <si>
    <t>0700000</t>
  </si>
  <si>
    <t>Орган  з питань охорони здоров'я</t>
  </si>
  <si>
    <t>0800000</t>
  </si>
  <si>
    <t>0810000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</si>
  <si>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</si>
  <si>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</si>
  <si>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 xml:space="preserve">Надання інших пільг окремим категоріям громадян відповідно  до законодавства </t>
  </si>
  <si>
    <t>0813033</t>
  </si>
  <si>
    <t>0813035</t>
  </si>
  <si>
    <t>0813036</t>
  </si>
  <si>
    <t>0813120</t>
  </si>
  <si>
    <t>0813121</t>
  </si>
  <si>
    <t>Утримання  та забезпечення  діяльності центрів соціальних служб для сім`ї, дітей та молоді</t>
  </si>
  <si>
    <t>0813123</t>
  </si>
  <si>
    <t>0813140</t>
  </si>
  <si>
    <t>0813180</t>
  </si>
  <si>
    <t>0813030</t>
  </si>
  <si>
    <t>0813100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</si>
  <si>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</si>
  <si>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</si>
  <si>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</si>
  <si>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</si>
  <si>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</si>
  <si>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0900000</t>
  </si>
  <si>
    <t>0910000</t>
  </si>
  <si>
    <t>0913110</t>
  </si>
  <si>
    <t>0913111</t>
  </si>
  <si>
    <t>3111</t>
  </si>
  <si>
    <t>0913112</t>
  </si>
  <si>
    <t>3112</t>
  </si>
  <si>
    <t>Програма розвитку комунального підприємства Кам’янської міської ради «Кам’янське автотранспортне підприємство 042802» на 2016-2019 роки;                                                   Програма розвитку комунального підприємства Кам’янської міської ради «Кам’янське автотранспортне підприємство 042802» на 2019-2024 роки</t>
  </si>
  <si>
    <t>25.12.2015               №28-03/VII                             (зі змінами); 01.03.2019 №1359-31/VII (зі змінами)</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</si>
  <si>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</si>
  <si>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</si>
  <si>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</si>
  <si>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</si>
  <si>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</si>
  <si>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</si>
  <si>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</si>
  <si>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</si>
  <si>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</si>
  <si>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</si>
  <si>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</si>
  <si>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</si>
  <si>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</si>
  <si>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</si>
  <si>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</si>
  <si>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0611040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</si>
  <si>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</si>
  <si>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</si>
  <si>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загальноосвітніми школами-інтернатами, загальноосвітніми санаторними школами-інтернатами</t>
  </si>
  <si>
    <t>6111090</t>
  </si>
  <si>
    <t>Надання позашкільної освіти позашкільними закладами освіти, заходи із позашкільної роботи з дітьми</t>
  </si>
  <si>
    <t xml:space="preserve"> 02.11.2018           №1215-29/VIІ  (зі змінами)</t>
  </si>
  <si>
    <t>Утримання та ефективна експлуатація об'єктів житлово-комунального господарства</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</si>
  <si>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</si>
  <si>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</si>
  <si>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0615010</t>
  </si>
  <si>
    <t>0615011</t>
  </si>
  <si>
    <t>0615012</t>
  </si>
  <si>
    <t>0615020</t>
  </si>
  <si>
    <t>0615022</t>
  </si>
  <si>
    <t>0615023</t>
  </si>
  <si>
    <t>0615024</t>
  </si>
  <si>
    <t>0615030</t>
  </si>
  <si>
    <t>0615033</t>
  </si>
  <si>
    <t>0615040</t>
  </si>
  <si>
    <t>0615041</t>
  </si>
  <si>
    <t>0615060</t>
  </si>
  <si>
    <t>0615061</t>
  </si>
  <si>
    <t>0110180</t>
  </si>
  <si>
    <t xml:space="preserve">Програма розвитку місцевого самоврядування у м.Кам'янському на 2017-2021 роки </t>
  </si>
  <si>
    <t>4110000</t>
  </si>
  <si>
    <t>4100000</t>
  </si>
  <si>
    <t>4110180</t>
  </si>
  <si>
    <t>4200000</t>
  </si>
  <si>
    <t>4300000</t>
  </si>
  <si>
    <t>4210180</t>
  </si>
  <si>
    <t>4310180</t>
  </si>
  <si>
    <t>0610180</t>
  </si>
  <si>
    <t>0710180</t>
  </si>
  <si>
    <t>0810180</t>
  </si>
  <si>
    <t>0910180</t>
  </si>
  <si>
    <t>0200000</t>
  </si>
  <si>
    <t>0210000</t>
  </si>
  <si>
    <t xml:space="preserve"> Програма розвитку комунального підприємства КМР "Центральний парк культури та відпочинку" на 2015-2020 роки</t>
  </si>
  <si>
    <t>Програма підтримки внутрішньо переміщених осіб</t>
  </si>
  <si>
    <t>Програма соціально-економічного та культурного розвитку міста на 2019 рік</t>
  </si>
  <si>
    <t>х</t>
  </si>
  <si>
    <t>Програма енергоефективності та зменшення споживання енергетичних ресурсів у м.Кам’янському на 2019 рік</t>
  </si>
  <si>
    <t>"Оріон"</t>
  </si>
  <si>
    <t xml:space="preserve"> Програма розвитку комунального виробничого підприємства Кам’янської міської ради «Міськводоканал» на 2016–2020 роки</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</si>
  <si>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2016–2020 роки</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</si>
  <si>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</si>
  <si>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</si>
  <si>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</si>
  <si>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</si>
  <si>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 xml:space="preserve">в тому числі за рахунок зовнішнього місцевого запозичення шляхом залучення кредиту від Північної Екологічної Фінансвової Корпорації (НЕФКО) </t>
  </si>
  <si>
    <t>Програма партиципаторного бюджетування (бюджету участі) у місті Кам’янське    на 2017-2021 роки</t>
  </si>
  <si>
    <t>Програма розвитку міськелектротранспорту міста Кам`янське на 2018 - 2020 роки</t>
  </si>
  <si>
    <t>Міська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2014–2025роки</t>
  </si>
  <si>
    <t>Програма розвитку туристичної галузі міста Кам’янське на 2017–2022 роки</t>
  </si>
  <si>
    <t xml:space="preserve"> Екологічна  програма міста Кам"янського на 2016–2020 роки</t>
  </si>
  <si>
    <t>Цільова соціальна програма розвитку цивільного захисту та забезпечення пожежної безпеки в місті Кам'янське на 2016 –2020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</si>
  <si>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</si>
  <si>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</si>
  <si>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розвитку земельних відносин у місті Кам`янське на 2018-2020 роки</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</si>
  <si>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</si>
  <si>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</si>
  <si>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</si>
  <si>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</si>
  <si>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</si>
  <si>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</si>
  <si>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</si>
  <si>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</si>
  <si>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</si>
  <si>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</si>
  <si>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</si>
  <si>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</si>
  <si>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</si>
  <si>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</si>
  <si>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</si>
  <si>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</si>
  <si>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21.12.2018              №1260-30/VІІ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</si>
  <si>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</si>
  <si>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Програма розвитку міського електричного транспорту міста Кам'янського на 2019 – 2021 роки</t>
  </si>
  <si>
    <t>від 25.04.2019 №1430-32/VII</t>
  </si>
  <si>
    <t>від 01.03.2019                №1357-31/VІІ</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</si>
  <si>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</si>
  <si>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</si>
  <si>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</si>
  <si>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</si>
  <si>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</si>
  <si>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</si>
  <si>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21.12.2018 №</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</si>
  <si>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</si>
  <si>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</si>
  <si>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</si>
  <si>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</si>
  <si>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</si>
  <si>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</si>
  <si>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</si>
  <si>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</si>
  <si>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17.11.2017                 №913-20/VII              (зі змінами)</t>
  </si>
  <si>
    <t xml:space="preserve"> 17.11.17                 № 912-20/VІI                 (зі змінами)</t>
  </si>
  <si>
    <t xml:space="preserve"> 17.11.2017                    №913-20/VII               (зі змінами)</t>
  </si>
  <si>
    <t xml:space="preserve"> 17.11.2017                 №913-20/VII                      (зі змінами)</t>
  </si>
  <si>
    <t xml:space="preserve">  17.11.2017                №913-20/VII                 (зі змінами)</t>
  </si>
  <si>
    <t xml:space="preserve"> 17.11.2017                        №913-20/VIІ                        (зі змінами)</t>
  </si>
  <si>
    <t xml:space="preserve"> 17.11.2017                     №913-20/VIІ                      (зі змінами)</t>
  </si>
  <si>
    <t xml:space="preserve"> 17.11.2017                   №913-20/VIІ                       (зі змінами)</t>
  </si>
  <si>
    <t>Організація благоустрою населених пунктів</t>
  </si>
  <si>
    <t xml:space="preserve"> 26.02.2016 №93-05/VІІ (зі змінами)</t>
  </si>
  <si>
    <t xml:space="preserve">  26.02.2016 №93-05/VІІ (зі змінами)</t>
  </si>
  <si>
    <t xml:space="preserve">  30.03.2018 №1063-23/VII (зі змінами)</t>
  </si>
  <si>
    <t>Департамент фінансів міської ради</t>
  </si>
  <si>
    <t>16.12.2016 № 601-12/VІІ (зі змінами)</t>
  </si>
  <si>
    <t>Програма розвитку освіти м.Кам'янського на 2017-2020 роки</t>
  </si>
  <si>
    <t xml:space="preserve"> Програма "Шкільний автобус" на 2017-2020 роки</t>
  </si>
  <si>
    <t>30.03.2018 №1043-23/УІІ</t>
  </si>
  <si>
    <t>Програма забезпечення пожежної безпеки в закладах освіти, культури та спорту міста Кам'янське на2018-2022 роки</t>
  </si>
  <si>
    <t>1517330</t>
  </si>
  <si>
    <t>7330</t>
  </si>
  <si>
    <t>0617340</t>
  </si>
  <si>
    <t>Проектування, реставрація та охорона пам'яток архітектури</t>
  </si>
  <si>
    <t xml:space="preserve">Програма розвитку культури  у м.Кам'янське на 2016 - 2020 роки </t>
  </si>
  <si>
    <t>ФМХ</t>
  </si>
  <si>
    <t>ФАУ</t>
  </si>
  <si>
    <t>24.02.2017           №652-14/VII              (зі змінами)</t>
  </si>
  <si>
    <t>здрав</t>
  </si>
  <si>
    <t>культура</t>
  </si>
  <si>
    <t xml:space="preserve">02.11.2018 №1246-29/VII </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</si>
  <si>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</si>
  <si>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</si>
  <si>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</si>
  <si>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</si>
  <si>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</si>
  <si>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</si>
  <si>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</si>
  <si>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</si>
  <si>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</si>
  <si>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</si>
  <si>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</si>
  <si>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</si>
  <si>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</si>
  <si>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0611160</t>
  </si>
  <si>
    <t>1160</t>
  </si>
  <si>
    <t>Інші програми, заклади та заходи у сфері освіти</t>
  </si>
  <si>
    <t>0614080</t>
  </si>
  <si>
    <t>Інші заклади та заходи в галузі культури і мистецтва</t>
  </si>
  <si>
    <t>+</t>
  </si>
  <si>
    <t xml:space="preserve">Програма безпечної життєдіяльності населення в комунальних закладах охорони здоров'я міста Кам'янське на 2018-2021 роки </t>
  </si>
  <si>
    <t>від 30.03.18 №1047-23/VІІ</t>
  </si>
  <si>
    <t>0712150</t>
  </si>
  <si>
    <t>2150</t>
  </si>
  <si>
    <t>Інші програми, заклади та заходи у сфері охорони здоров`я</t>
  </si>
  <si>
    <t xml:space="preserve"> 25.12.15                 №29-03/VII                            (зі змінами)</t>
  </si>
  <si>
    <t xml:space="preserve"> 25.12.15               №29-03/VII                    (зі змінами)</t>
  </si>
  <si>
    <t xml:space="preserve"> 25.12.15              №29-03/VII                   (зі змінами)</t>
  </si>
  <si>
    <t xml:space="preserve"> 25.12.15                  №29-03/VII                         (зі змінами)</t>
  </si>
  <si>
    <t>02.11.2018           №1229-29/VII</t>
  </si>
  <si>
    <t xml:space="preserve">17.11.2017           №863-20/VІI </t>
  </si>
  <si>
    <t xml:space="preserve"> 29.07.2016            №258-09/VІІ               (зі змінами)</t>
  </si>
  <si>
    <t xml:space="preserve">17.11.2017                             №863-20/VІI </t>
  </si>
  <si>
    <t xml:space="preserve">17.11.2017                        №863-20/VІI </t>
  </si>
  <si>
    <t>27.06.2019 №1471-33/VII</t>
  </si>
  <si>
    <t>23.06.2017                     №732-17/VІІ</t>
  </si>
  <si>
    <t xml:space="preserve"> 22.12.2017                             №955-21/VІІ                          (зі змінами)</t>
  </si>
  <si>
    <t xml:space="preserve"> 22.12.2017                              №969-21/VІІ</t>
  </si>
  <si>
    <t>23.06.2017                             №732-17/VІІ</t>
  </si>
  <si>
    <t xml:space="preserve"> 22.12.2017                                          №955-21/VІІ                                         (зі змінами)</t>
  </si>
  <si>
    <t xml:space="preserve"> 22.12.2017                                  №969-21/VІІ</t>
  </si>
  <si>
    <t>1515045</t>
  </si>
  <si>
    <t>5045</t>
  </si>
  <si>
    <t>Будівництво мультифункціональних майданчиків для занять ігровими видами спорту</t>
  </si>
  <si>
    <t>у тому числі 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</si>
  <si>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17.11.2017                          №833-20/VІІ</t>
  </si>
  <si>
    <t>25.12.2015                                   №31-03/VII                     (зі змінами)</t>
  </si>
  <si>
    <t>25.12.2015                 №37-03/VII                              (зі змінами)</t>
  </si>
  <si>
    <t>25.12.2015                     №25-03/VІІ                (зі змінами)</t>
  </si>
  <si>
    <t xml:space="preserve"> Програма розвитку комунального підприємства Кам’янської міської ради «Тепломережі» на 2016–2023 роки</t>
  </si>
  <si>
    <r>
      <t xml:space="preserve"> від________</t>
    </r>
    <r>
      <rPr>
        <u val="single"/>
        <sz val="24"/>
        <rFont val="Times New Roman"/>
        <family val="1"/>
      </rPr>
      <t xml:space="preserve"> </t>
    </r>
    <r>
      <rPr>
        <sz val="24"/>
        <rFont val="Times New Roman"/>
        <family val="1"/>
      </rPr>
      <t>№____ )</t>
    </r>
  </si>
  <si>
    <t xml:space="preserve"> Програма розвитку комунального підприємства Кам’янської міської ради «Тепломережі» на 2016–2023 роки                                                       </t>
  </si>
  <si>
    <r>
      <t>Програма розвитку культури  у місті Кам</t>
    </r>
    <r>
      <rPr>
        <sz val="18"/>
        <rFont val="Arial Cyr"/>
        <family val="0"/>
      </rPr>
      <t>’</t>
    </r>
    <r>
      <rPr>
        <sz val="18"/>
        <rFont val="Times New Roman"/>
        <family val="1"/>
      </rPr>
      <t xml:space="preserve">янське на 2016 - 2020 роки </t>
    </r>
  </si>
  <si>
    <r>
      <t>Орган у справах сім</t>
    </r>
    <r>
      <rPr>
        <sz val="18"/>
        <rFont val="Arial Cyr"/>
        <family val="0"/>
      </rPr>
      <t>’</t>
    </r>
    <r>
      <rPr>
        <sz val="18"/>
        <rFont val="Times New Roman"/>
        <family val="1"/>
      </rPr>
      <t>ї, молоді та спорту</t>
    </r>
  </si>
  <si>
    <t>17.11.2017                                №880-20/VII                  (зі змінами)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</si>
  <si>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</si>
  <si>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освита</t>
  </si>
  <si>
    <t>спорт</t>
  </si>
  <si>
    <t>Програма репродуктивне здоров'я дітей та майбутніх батьків міста Кам'янське на 2019-2021 роки</t>
  </si>
  <si>
    <t>21.12.2018 №1306-30/УІІ</t>
  </si>
  <si>
    <t>16.12.2016         №601-12/VII          (зі змінами)</t>
  </si>
  <si>
    <t>16.12.2016            №601-12/VII                                      (зі змінами)</t>
  </si>
  <si>
    <t xml:space="preserve">  29.02.12               №371-20/VI                   (зі змінами)</t>
  </si>
  <si>
    <t xml:space="preserve"> 16.12.2016                №601-12/VII          (зі змінами)</t>
  </si>
  <si>
    <t xml:space="preserve">  29.02.12                              № 371-20/VI               (зі змінами)</t>
  </si>
  <si>
    <t>Програма "Диспетчеризації процесів підприємств, установ, організацій життєдіяльності міста  Кам`янське  на 2018-2022 роки"</t>
  </si>
  <si>
    <t>Програма безпеки та захисту населення і території від негативних наслідків надзвичайних ситуацій у місті Кам'янське на період  до 2020 року</t>
  </si>
  <si>
    <t>(у редакції рішення міської ради</t>
  </si>
  <si>
    <t>17.11.2017                      №849-20/VII                               (зі змінами)</t>
  </si>
  <si>
    <t>17.11.2017                     №849-20/VII                        (зі змінами)</t>
  </si>
  <si>
    <t>29.09.2017                 №843-19/VІІ                         (зі змінами)</t>
  </si>
  <si>
    <t xml:space="preserve"> 25.12.2015                    №25-03/VІІ                     (зі змінами)</t>
  </si>
  <si>
    <t>26.02.2016                        №94-05/VII                  (зі змінами)</t>
  </si>
  <si>
    <t>26.02.2016                    №93-05/VІІ                        (зі змінами)</t>
  </si>
  <si>
    <t>17.06.2016                 № 252-08/VІІ                     (зі змінами)</t>
  </si>
  <si>
    <t>26.02.2016                        №93-05/VІІ                   (зі змінами)</t>
  </si>
  <si>
    <t xml:space="preserve"> 26.02.2016                     № 92-05/VIІ                         (зі змінами)</t>
  </si>
  <si>
    <t>0813032</t>
  </si>
  <si>
    <t>3032</t>
  </si>
  <si>
    <t>Надання пільг окремим категоріям громадян з оплати послуг зв'язку</t>
  </si>
  <si>
    <t>1070</t>
  </si>
  <si>
    <t xml:space="preserve"> 17.11.2017            №914-20/VIІ (зі змінами)</t>
  </si>
  <si>
    <t xml:space="preserve"> 17.11.2017                 №913-20/VII                        (зі змінами)</t>
  </si>
  <si>
    <t>Програма розвитку транспортного комплексу м.Кам'янське на 2018 - 2022роки</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</si>
  <si>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</si>
  <si>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</si>
  <si>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</si>
  <si>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</si>
  <si>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</si>
  <si>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по Л.Н.распис        400000 по ПРОГР  12.12.19       </t>
  </si>
  <si>
    <t>снять з РГ -40000 та з ДЕМОБ -10000</t>
  </si>
  <si>
    <t xml:space="preserve">26.12.2014                        №1182-58/VI                      (зі змінами) </t>
  </si>
  <si>
    <t xml:space="preserve">29.11.2013              №944-43/VІІ                   (зі змінами) </t>
  </si>
  <si>
    <t xml:space="preserve">  26.12.2014               №1182-58/VI                          (зі змінами)</t>
  </si>
  <si>
    <t xml:space="preserve"> 28.10.2016                № 528-11/VII                      (зі змінами)</t>
  </si>
  <si>
    <t xml:space="preserve"> 26.12.2014                        №1182-58/VI                   (зі змінами)</t>
  </si>
  <si>
    <t>23.02.2018                         №1024-22/VII</t>
  </si>
  <si>
    <t xml:space="preserve"> Програма "Молодь Дніпродзержинська" на 2012-2021 роки </t>
  </si>
  <si>
    <t xml:space="preserve"> Програма "Молодь Дніпродзержинська" на 2012-2021 роки</t>
  </si>
  <si>
    <t xml:space="preserve">Комплексна програма підтримки демобілізованих учасників антитерористичної операції  </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</si>
  <si>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</si>
  <si>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</si>
  <si>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</si>
  <si>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 xml:space="preserve"> Програма "Родина героя"</t>
  </si>
  <si>
    <t>Комплексна програма підтримки демобілізованих учасників антитерористичної операції</t>
  </si>
  <si>
    <t xml:space="preserve"> Програма захисту прав дітей та розвитку сімейних форм виховання у м.Кам'янському на 2016-2020 роки</t>
  </si>
  <si>
    <t xml:space="preserve"> від  29.11.2013 №943-43/VІ            (зі змінами)</t>
  </si>
  <si>
    <t xml:space="preserve"> 17.11.2017                 №913-20/VII                      (зі змінами),                                                                                        29.11.2013              №944-43/VІІ                   (зі змінами) </t>
  </si>
  <si>
    <t xml:space="preserve"> Міська програма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t>
  </si>
  <si>
    <t>1516012</t>
  </si>
  <si>
    <t>6012</t>
  </si>
  <si>
    <t>Забезпечення діяльності з виробництва, транспортування, постачання теплової енергії</t>
  </si>
  <si>
    <t xml:space="preserve">Програма захисту прав дітей та розвитку сімейних форм виховання у м.Кам'янському на 2016-2020 роки </t>
  </si>
  <si>
    <t xml:space="preserve">Програми захисту прав дітей та розвитку сімейних форм виховання у м.Кам'янському на 2016-2020 роки </t>
  </si>
  <si>
    <t>Програма захисту прав дітей та розвитку сімейних форм виховання у м.Кам'янському на 2016-2020 роки</t>
  </si>
  <si>
    <t>Цільова комплексна програми розвитку фізичної культури і спорту в м. Кам'янське на 2017 - 2021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</si>
  <si>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</si>
  <si>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</si>
  <si>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</si>
  <si>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</si>
  <si>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29.02.12                   № 370-20/VI                           (зі змінами)</t>
  </si>
  <si>
    <t xml:space="preserve">  29.02.12                № 370-20/VI                     (зі змінами)</t>
  </si>
  <si>
    <t xml:space="preserve"> 17.11.2017 №913-20/VII                      (зі змінами)</t>
  </si>
  <si>
    <t>30.01.2015                          №1211-59/УІ                         (зі змінами)</t>
  </si>
  <si>
    <t>1617350</t>
  </si>
  <si>
    <t>7350</t>
  </si>
  <si>
    <t>Розроблення схем планування та забудови територій (містобудівної документації)</t>
  </si>
  <si>
    <t>Програма розвитку комунального підприємства КМР "Лівобережний парк"на 2015-2020 роки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</si>
  <si>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</si>
  <si>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</si>
  <si>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</si>
  <si>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</si>
  <si>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</si>
  <si>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</si>
  <si>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</si>
  <si>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</si>
  <si>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</si>
  <si>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Будівництво інших об’єктів комунальної власності</t>
  </si>
  <si>
    <t>3719770</t>
  </si>
  <si>
    <t>додаток 3</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</si>
  <si>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</si>
  <si>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</si>
  <si>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</si>
  <si>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</si>
  <si>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</si>
  <si>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 xml:space="preserve"> Програма соціального захисту населення міста на 2018-2022 роки;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t>
  </si>
  <si>
    <t xml:space="preserve"> Програма соціального захисту населення міста на 2018-2022 роки;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t>
  </si>
  <si>
    <t>Управління молоді та спорту міської ради</t>
  </si>
  <si>
    <t xml:space="preserve"> 26.12.2014 №1182-58/VI     (зі змінами) </t>
  </si>
  <si>
    <t xml:space="preserve"> 26.02.2016 №93-05/VІІ                  (зі змінами)</t>
  </si>
  <si>
    <t xml:space="preserve">  26.02.2016 №93-05/VІІ               (зі змінами)</t>
  </si>
  <si>
    <t>26.02.2016 №93-05/VII               (зі змінами)</t>
  </si>
  <si>
    <t>21.12.2018 №1259-30/VІІ                   (зі змінами)</t>
  </si>
  <si>
    <t>21.12.2018 №1259-30/VІІ               (зі змінами)</t>
  </si>
  <si>
    <t>21.12.2018 №1259-30/VІІ                 (зі змінами)</t>
  </si>
  <si>
    <t>Програма благоустрою м.Кам'янське                            на 2015 –2019 роки</t>
  </si>
  <si>
    <t>Програма благоустрою м.Кам'янське                        на 2015 –2019 роки</t>
  </si>
  <si>
    <t>від 16.12.16 №600-12/VII         (зі змінами)</t>
  </si>
  <si>
    <t>25.12.2015 №30-03/VII                     (зі змінами)</t>
  </si>
  <si>
    <t>перевірка</t>
  </si>
  <si>
    <t>РАЗОМ</t>
  </si>
  <si>
    <t>всього З.ф</t>
  </si>
  <si>
    <t>всього С.ф</t>
  </si>
  <si>
    <t>спец.фонд</t>
  </si>
  <si>
    <t>разом</t>
  </si>
  <si>
    <t>заг. фонд</t>
  </si>
  <si>
    <t xml:space="preserve">16.12.16 № 600-12/VII                      (зі змінами) </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</si>
  <si>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</si>
  <si>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</si>
  <si>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 xml:space="preserve">Програма підтримки комунального підприємства Кам'янської міської ради "Міська інформаційна служба" на 2019 рік </t>
  </si>
  <si>
    <t>від 21.12.2018 №1283-30/VІІ          (зі змінами)</t>
  </si>
  <si>
    <t xml:space="preserve">Комплексна програма забезпечення громадського (публічного) порядку та безпеки у  місті Кам’янське на 2019–2021 роки </t>
  </si>
  <si>
    <t xml:space="preserve">Програма про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2019 рік </t>
  </si>
  <si>
    <t>від 25.12.2015 № 31-03/VII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</si>
  <si>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</si>
  <si>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Будівництво установ та закладів культури</t>
  </si>
  <si>
    <t>27.03.2015                №1275-61/VI                     (зі змінами)</t>
  </si>
  <si>
    <t>27.03.2015                     №1274-61/VI                          (зі змінами)</t>
  </si>
  <si>
    <t xml:space="preserve">25.12.2015                      №30-03/VІІ                   (зі змінами) </t>
  </si>
  <si>
    <t>0617363</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</si>
  <si>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</si>
  <si>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</si>
  <si>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</si>
  <si>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від 16.12.2016                    № 601-12/VІІ                 (зі змінами)</t>
  </si>
  <si>
    <t>1517363</t>
  </si>
  <si>
    <t>Про заснування міської премії в галузі культури "Кам'янське мистецьке перевесло"</t>
  </si>
  <si>
    <t>Програма розвитку житлового господарства м.Кам'янського  на 2016-2020 роки</t>
  </si>
  <si>
    <t>1517670</t>
  </si>
  <si>
    <t>7670</t>
  </si>
  <si>
    <t>Програма розвитку та утримання комунального підприємства  Кам’янської міської ради «Містшляхсервіс» на 2017–2020 роки</t>
  </si>
  <si>
    <t>2817670</t>
  </si>
  <si>
    <t>Програма розвитку комунального підприємства Кам"янської міської ради "Екосервіс" на 2019 рік</t>
  </si>
  <si>
    <t>02.11.2018 №1243-29/VII</t>
  </si>
  <si>
    <t>24.02.2017   №641-14/VII       (зі змінами)</t>
  </si>
  <si>
    <t>0210180</t>
  </si>
  <si>
    <t>1610180</t>
  </si>
  <si>
    <t>1700000</t>
  </si>
  <si>
    <t>Орган з питань державного архітектурно-будівельного контролю</t>
  </si>
  <si>
    <t>1710000</t>
  </si>
  <si>
    <t>Управління державного архітектурно-будівельного контролю</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</si>
  <si>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</si>
  <si>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</si>
  <si>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</si>
  <si>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</si>
  <si>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</si>
  <si>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</si>
  <si>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</si>
  <si>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</si>
  <si>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</si>
  <si>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</si>
  <si>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</si>
  <si>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</si>
  <si>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</si>
  <si>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</si>
  <si>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</si>
  <si>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</si>
  <si>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</si>
  <si>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</si>
  <si>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</si>
  <si>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</si>
  <si>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</si>
  <si>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</si>
  <si>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</si>
  <si>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</si>
  <si>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</si>
  <si>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</si>
  <si>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</si>
  <si>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</si>
  <si>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Інші  медичні програми, заклади та заходи у сфері охорони здоров’я</t>
  </si>
  <si>
    <t>Програма соціально-економічного та культурного розвитку міста на 2018 рік</t>
  </si>
  <si>
    <t>3100</t>
  </si>
  <si>
    <t>3160</t>
  </si>
  <si>
    <t>3180</t>
  </si>
  <si>
    <t>3110</t>
  </si>
  <si>
    <t>3130</t>
  </si>
  <si>
    <t>0617320</t>
  </si>
  <si>
    <t>Будівництво об`єктів соціально-культурного призначення</t>
  </si>
  <si>
    <t>0617321</t>
  </si>
  <si>
    <t>Будівництво освітніх установ та закладів</t>
  </si>
  <si>
    <t>1517320</t>
  </si>
  <si>
    <t>7320</t>
  </si>
  <si>
    <t>1517322</t>
  </si>
  <si>
    <t>7322</t>
  </si>
  <si>
    <t>Будівництво медичних установ та закладів</t>
  </si>
  <si>
    <t>1516086</t>
  </si>
  <si>
    <t>Інша діяльність щодо забезпечення житлом громадян</t>
  </si>
  <si>
    <t>1516080</t>
  </si>
  <si>
    <t>6080</t>
  </si>
  <si>
    <t>Реалізація державних та місцевих житлових програм</t>
  </si>
  <si>
    <t>1917410</t>
  </si>
  <si>
    <t>7410</t>
  </si>
  <si>
    <t>Забезпечення надання послуг з перевезення пасажирів автомобільним транспортом</t>
  </si>
  <si>
    <t>1917420</t>
  </si>
  <si>
    <t>7420</t>
  </si>
  <si>
    <t>0712151</t>
  </si>
  <si>
    <t>Забезпечення надання послуг з перевезення пасажирів електротранспортом</t>
  </si>
  <si>
    <t>1917426</t>
  </si>
  <si>
    <t>7426</t>
  </si>
  <si>
    <t>0453</t>
  </si>
  <si>
    <t>2717620</t>
  </si>
  <si>
    <t>7620</t>
  </si>
  <si>
    <t>Розвиток готельного господарства та туризму</t>
  </si>
  <si>
    <t>2717622</t>
  </si>
  <si>
    <t>7622</t>
  </si>
  <si>
    <t>2717640</t>
  </si>
  <si>
    <t>7640</t>
  </si>
  <si>
    <t>2717690</t>
  </si>
  <si>
    <t>7690</t>
  </si>
  <si>
    <t>Інша економічна діяльність</t>
  </si>
  <si>
    <t>2918110</t>
  </si>
  <si>
    <t>8110</t>
  </si>
  <si>
    <t>Заходи запобігання та ліквідації надзвичайних ситуацій та наслідків стихійного лиха</t>
  </si>
  <si>
    <t>3116080</t>
  </si>
  <si>
    <t>3117690</t>
  </si>
  <si>
    <t>3117693</t>
  </si>
  <si>
    <t>Інші заходи, пов`язані з економічною діяльністю</t>
  </si>
  <si>
    <t>0725</t>
  </si>
  <si>
    <t>Будівництво об'єктів житлово-комунального господарства</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</si>
  <si>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</si>
  <si>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</si>
  <si>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</si>
  <si>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</si>
  <si>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 xml:space="preserve"> 17.11.2017                 №913-20/VII                      (зі змінами),                                            29.11.2013              №944-43/VІІ                   (зі змінами) </t>
  </si>
  <si>
    <t xml:space="preserve">Програма підтримки Кам'янської міської виборчої комісії у міжвиборчий період </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</si>
  <si>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</si>
  <si>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</si>
  <si>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</si>
  <si>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</si>
  <si>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</si>
  <si>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26.07.2019                     №1504-34/VII                          </t>
  </si>
  <si>
    <t>еще снять 33000 по зменшенню</t>
  </si>
  <si>
    <t xml:space="preserve"> Програма розвитку комунального підприємства КМР "Теплотехнік"                            на 2019-2020роки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</si>
  <si>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</si>
  <si>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</si>
  <si>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</si>
  <si>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</si>
  <si>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</si>
  <si>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</si>
  <si>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</si>
  <si>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</si>
  <si>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</si>
  <si>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</si>
  <si>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</si>
  <si>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3242</t>
  </si>
  <si>
    <t>Інші заходи у сфері соціального захисту і соціального забезпечення</t>
  </si>
  <si>
    <t>0613242</t>
  </si>
  <si>
    <t>0613240</t>
  </si>
  <si>
    <t>3240</t>
  </si>
  <si>
    <t xml:space="preserve">Інші заклади та заходи </t>
  </si>
  <si>
    <t>0813190</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</si>
  <si>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</si>
  <si>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</si>
  <si>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0813240</t>
  </si>
  <si>
    <t>0813241</t>
  </si>
  <si>
    <t>0813242</t>
  </si>
  <si>
    <t>Забезпечення діяльності  інших закладів у сфері соціального захисту і  соціального забезпечення</t>
  </si>
  <si>
    <t>Надання соціальних та реабілітаційних послуг громадянам похилого віку,особам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</si>
  <si>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</si>
  <si>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3192</t>
  </si>
  <si>
    <t>0611162</t>
  </si>
  <si>
    <t>1162</t>
  </si>
  <si>
    <t>Інші програми та заходи у сфері освіти</t>
  </si>
  <si>
    <t>Надання фінансової підтримки громадським організаціям ветеранів і осіб з інвалідністю, діяльність яких має соціальну спрямованість</t>
  </si>
  <si>
    <t>3190</t>
  </si>
  <si>
    <t>0913240</t>
  </si>
  <si>
    <t>1517463</t>
  </si>
  <si>
    <t>7463</t>
  </si>
  <si>
    <t>Утримання та розвиток автомобільних доріг та дорожньої інфраструктури за рахунок трансфертів з інших місцевих бюджетів</t>
  </si>
  <si>
    <t xml:space="preserve"> 29.01.2016                №58-04/VII                          (зі змінами)                   </t>
  </si>
  <si>
    <t>29.09.2017                 №843-19/VІІ                         (зі змінами);   01.03.2019                          №1359-31/VII (зі змінами)</t>
  </si>
  <si>
    <t>Програма "Здоров'я  населення міста Кам'янське на  2015-2019 роки"</t>
  </si>
  <si>
    <t>відхилення</t>
  </si>
  <si>
    <t>у тому числі інші субвенції з місцевого бюджету (на виконання доручень виборців депутатами обласної ради у 2019 році)</t>
  </si>
  <si>
    <t>соц.захист</t>
  </si>
  <si>
    <t>МІС</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</si>
  <si>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</si>
  <si>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</si>
  <si>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r>
      <t xml:space="preserve">від </t>
    </r>
    <r>
      <rPr>
        <u val="single"/>
        <sz val="24"/>
        <rFont val="Times New Roman"/>
        <family val="1"/>
      </rPr>
      <t>21.12.2018</t>
    </r>
    <r>
      <rPr>
        <sz val="24"/>
        <rFont val="Times New Roman"/>
        <family val="1"/>
      </rPr>
      <t xml:space="preserve"> №1</t>
    </r>
    <r>
      <rPr>
        <u val="single"/>
        <sz val="24"/>
        <rFont val="Times New Roman"/>
        <family val="1"/>
      </rPr>
      <t>305-30/VII</t>
    </r>
  </si>
  <si>
    <t xml:space="preserve"> Програма розвитку комунального підприємства КМР "Центральний парк культури та відпочинку"                            на 2015-2020роки</t>
  </si>
  <si>
    <t xml:space="preserve"> Програма розвитку житлового господарства м.Кам'янське на 2016–2020 роки</t>
  </si>
  <si>
    <t>21.12.2018 №1260-30/VІІ                         (зі змінами)</t>
  </si>
  <si>
    <t>21.12.2018 №1259-30/VІІ                  (зі змінами)</t>
  </si>
  <si>
    <t>21.12.2018 №1259-30/VІІ                (зі змінами)</t>
  </si>
  <si>
    <t>21.12.2018                           №1259-30/VІІ          (зі змінами)</t>
  </si>
  <si>
    <t>21.12.2018  №1259-30/VІІ          (зі змінами)</t>
  </si>
  <si>
    <t>Первинна медична допомога населенню, що надається центрами первинної медичної (медико-санітарної) допомоги</t>
  </si>
  <si>
    <t>21.12.2018                            №1259-30/VІІ                    (зі змінами)</t>
  </si>
  <si>
    <t>Цільова комплексна програми розвитку фізичної культури і спорту в м.Кам'янське на 2017 - 2021 роки</t>
  </si>
  <si>
    <t>від 16.12.16 № 600-12/VII  (зі змінами)</t>
  </si>
  <si>
    <t>від 16.12.16    №570-12/VII (зі змінами)</t>
  </si>
  <si>
    <t>Програма розвитку муніципального телебачення ТРК "МІС" на 2019-2020 роки</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</si>
  <si>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</si>
  <si>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</si>
  <si>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</si>
  <si>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</si>
  <si>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</si>
  <si>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</si>
  <si>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</si>
  <si>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</si>
  <si>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</si>
  <si>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</si>
  <si>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</si>
  <si>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</si>
  <si>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</si>
  <si>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</si>
  <si>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</si>
  <si>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</si>
  <si>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</si>
  <si>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1115011</t>
  </si>
  <si>
    <t>5011</t>
  </si>
  <si>
    <t>1115012</t>
  </si>
  <si>
    <t>5012</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</si>
  <si>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</si>
  <si>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</si>
  <si>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</si>
  <si>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</si>
  <si>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</si>
  <si>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</si>
  <si>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</si>
  <si>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</si>
  <si>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</si>
  <si>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</si>
  <si>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Первинна медична допомога населенню</t>
  </si>
  <si>
    <t>Інші програми та заходи у сфері охорони здоров`я</t>
  </si>
  <si>
    <t>0614082</t>
  </si>
  <si>
    <t>0829</t>
  </si>
  <si>
    <t>Інші заходи в галузі культури та мистецтва</t>
  </si>
  <si>
    <t>(грн)</t>
  </si>
  <si>
    <t xml:space="preserve">Розподіл витрат міського бюджету на реалізацію місцевих /регіональних програм  у 2019 році
 </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</si>
  <si>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</si>
  <si>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</si>
  <si>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</si>
  <si>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Заходи із запобігання та ліквідації надзвичайних ситуацій та наслідків стихійного лиха</t>
  </si>
  <si>
    <t>Проведення експертної грошової оцінки земельної ділянки чи права на неї</t>
  </si>
  <si>
    <t>Утримання та розвиток автомобільних доріг та дорожньої інфраструктури</t>
  </si>
  <si>
    <t>2151</t>
  </si>
  <si>
    <t>Забезпечення діяльності інших закладів охорони здоров'я</t>
  </si>
  <si>
    <t>освіта</t>
  </si>
  <si>
    <t>Утримання та розвиток автомобільних доріг та дорожньої інфраструктури за рахунок коштів місцевого бюджету</t>
  </si>
  <si>
    <t>у тому числі інші субвенції з місцевого бюджету (субвенція з обласного бюджету до місцевих бюджетів на впровадження новітніх технологій)</t>
  </si>
  <si>
    <t>О.Ю.Залевський</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</si>
</sst>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1">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8"/>
      <name val="Times New Roman"/>
      <family val="1"/>
    </font>
    <font>
      <b/>
      <sz val="12"/>
      <name val="Times New Roman"/>
      <family val="1"/>
    </font>
    <font>
      <u val="single"/>
      <sz val="10"/>
      <color indexed="12"/>
      <name val="Arial Cyr"/>
      <family val="0"/>
    </font>
    <font>
      <u val="single"/>
      <sz val="10"/>
      <color indexed="36"/>
      <name val="Arial Cyr"/>
      <family val="0"/>
    </font>
    <font>
      <sz val="14"/>
      <color indexed="8"/>
      <name val="Times New Roman"/>
      <family val="1"/>
    </font>
    <font>
      <sz val="12"/>
      <color indexed="8"/>
      <name val="Times New Roman"/>
      <family val="1"/>
    </font>
    <font>
      <b/>
      <sz val="12"/>
      <color indexed="8"/>
      <name val="Times New Roman"/>
      <family val="1"/>
    </font>
    <font>
      <sz val="11"/>
      <color indexed="8"/>
      <name val="Times New Roman"/>
      <family val="1"/>
    </font>
    <font>
      <sz val="26"/>
      <color indexed="10"/>
      <name val="Times New Roman"/>
      <family val="1"/>
    </font>
    <font>
      <sz val="26"/>
      <name val="Times New Roman"/>
      <family val="1"/>
    </font>
    <font>
      <sz val="14"/>
      <name val="Times New Roman"/>
      <family val="1"/>
    </font>
    <font>
      <b/>
      <sz val="26"/>
      <name val="Times New Roman"/>
      <family val="1"/>
    </font>
    <font>
      <sz val="26"/>
      <color indexed="56"/>
      <name val="Times New Roman"/>
      <family val="1"/>
    </font>
    <font>
      <sz val="18"/>
      <name val="Times New Roman"/>
      <family val="1"/>
    </font>
    <font>
      <b/>
      <sz val="14"/>
      <name val="Times New Roman"/>
      <family val="1"/>
    </font>
    <font>
      <i/>
      <sz val="13"/>
      <color indexed="9"/>
      <name val="Times New Roman"/>
      <family val="1"/>
    </font>
    <font>
      <sz val="24"/>
      <name val="Times New Roman"/>
      <family val="1"/>
    </font>
    <font>
      <u val="single"/>
      <sz val="24"/>
      <name val="Times New Roman"/>
      <family val="1"/>
    </font>
    <font>
      <b/>
      <sz val="11"/>
      <name val="Times New Roman"/>
      <family val="1"/>
    </font>
    <font>
      <b/>
      <sz val="11"/>
      <color indexed="9"/>
      <name val="Times New Roman"/>
      <family val="1"/>
    </font>
    <font>
      <sz val="11"/>
      <color indexed="9"/>
      <name val="Times New Roman"/>
      <family val="1"/>
    </font>
    <font>
      <b/>
      <sz val="18"/>
      <name val="Times New Roman"/>
      <family val="1"/>
    </font>
    <font>
      <sz val="18"/>
      <color indexed="10"/>
      <name val="Times New Roman"/>
      <family val="1"/>
    </font>
    <font>
      <i/>
      <sz val="18"/>
      <name val="Times New Roman"/>
      <family val="1"/>
    </font>
    <font>
      <b/>
      <i/>
      <sz val="18"/>
      <name val="Times New Roman"/>
      <family val="1"/>
    </font>
    <font>
      <sz val="18"/>
      <name val="Arial Cyr"/>
      <family val="0"/>
    </font>
    <font>
      <b/>
      <sz val="18"/>
      <color indexed="10"/>
      <name val="Times New Roman"/>
      <family val="1"/>
    </font>
    <font>
      <i/>
      <sz val="18"/>
      <color indexed="9"/>
      <name val="Times New Roman"/>
      <family val="1"/>
    </font>
    <font>
      <sz val="18"/>
      <color indexed="9"/>
      <name val="Times New Roman"/>
      <family val="1"/>
    </font>
    <font>
      <i/>
      <sz val="14"/>
      <name val="Times New Roman"/>
      <family val="1"/>
    </font>
    <font>
      <b/>
      <i/>
      <sz val="14"/>
      <name val="Times New Roman"/>
      <family val="1"/>
    </font>
    <font>
      <i/>
      <sz val="15"/>
      <color indexed="9"/>
      <name val="Times New Roman"/>
      <family val="1"/>
    </font>
    <font>
      <sz val="10"/>
      <color indexed="9"/>
      <name val="Times New Roman"/>
      <family val="1"/>
    </font>
    <font>
      <sz val="12"/>
      <color indexed="9"/>
      <name val="Times New Roman"/>
      <family val="1"/>
    </font>
    <font>
      <b/>
      <sz val="18"/>
      <color indexed="9"/>
      <name val="Times New Roman"/>
      <family val="1"/>
    </font>
    <font>
      <sz val="26"/>
      <color indexed="9"/>
      <name val="Times New Roman"/>
      <family val="1"/>
    </font>
    <font>
      <i/>
      <sz val="17"/>
      <color indexed="9"/>
      <name val="Times New Roman"/>
      <family val="1"/>
    </font>
    <font>
      <i/>
      <sz val="14"/>
      <color indexed="10"/>
      <name val="Times New Roman"/>
      <family val="1"/>
    </font>
    <font>
      <sz val="14"/>
      <color indexed="9"/>
      <name val="Times New Roman"/>
      <family val="1"/>
    </font>
    <font>
      <i/>
      <sz val="24"/>
      <color indexed="10"/>
      <name val="Times New Roman"/>
      <family val="1"/>
    </font>
    <font>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 fillId="0" borderId="0">
      <alignment vertical="top"/>
      <protection/>
    </xf>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9"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1" borderId="0" applyNumberFormat="0" applyBorder="0" applyAlignment="0" applyProtection="0"/>
  </cellStyleXfs>
  <cellXfs count="494">
    <xf numFmtId="0" fontId="0" fillId="0" borderId="0" xfId="0" applyAlignment="1">
      <alignment/>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4" fillId="0" borderId="0" xfId="0" applyFont="1" applyFill="1" applyAlignment="1">
      <alignment vertical="center" wrapText="1"/>
    </xf>
    <xf numFmtId="0" fontId="2" fillId="0" borderId="0" xfId="0" applyFont="1" applyAlignment="1">
      <alignment vertical="center" wrapText="1"/>
    </xf>
    <xf numFmtId="4" fontId="16" fillId="0" borderId="0" xfId="0" applyNumberFormat="1" applyFont="1" applyAlignment="1">
      <alignment vertical="center" wrapText="1"/>
    </xf>
    <xf numFmtId="49" fontId="10" fillId="0" borderId="0" xfId="0" applyNumberFormat="1" applyFont="1" applyAlignment="1">
      <alignment vertical="center" wrapText="1"/>
    </xf>
    <xf numFmtId="49" fontId="13" fillId="0" borderId="0" xfId="0" applyNumberFormat="1" applyFont="1" applyAlignment="1">
      <alignment vertical="center" wrapText="1"/>
    </xf>
    <xf numFmtId="0" fontId="15" fillId="0" borderId="0" xfId="0" applyNumberFormat="1" applyFont="1" applyFill="1" applyAlignment="1" applyProtection="1">
      <alignment horizontal="center" vertical="center" wrapText="1"/>
      <protection/>
    </xf>
    <xf numFmtId="4" fontId="17" fillId="0" borderId="0" xfId="0" applyNumberFormat="1" applyFont="1" applyFill="1" applyAlignment="1" applyProtection="1">
      <alignment horizontal="right" vertical="center" wrapText="1"/>
      <protection/>
    </xf>
    <xf numFmtId="0" fontId="18" fillId="0" borderId="0" xfId="0" applyFont="1" applyFill="1" applyAlignment="1">
      <alignment vertical="center" wrapText="1"/>
    </xf>
    <xf numFmtId="0" fontId="19" fillId="0" borderId="0" xfId="0" applyFont="1" applyAlignment="1">
      <alignment vertical="center" wrapText="1"/>
    </xf>
    <xf numFmtId="49" fontId="10"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left" vertical="center" wrapText="1"/>
    </xf>
    <xf numFmtId="4" fontId="16" fillId="0" borderId="10" xfId="0" applyNumberFormat="1" applyFont="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4" fontId="16" fillId="0" borderId="10" xfId="0" applyNumberFormat="1" applyFont="1" applyBorder="1" applyAlignment="1">
      <alignment horizontal="right" vertical="center" wrapText="1"/>
    </xf>
    <xf numFmtId="4" fontId="20" fillId="0" borderId="0" xfId="0" applyNumberFormat="1" applyFont="1" applyAlignment="1">
      <alignment horizontal="right" vertical="center" wrapText="1"/>
    </xf>
    <xf numFmtId="4" fontId="16" fillId="0" borderId="0" xfId="0" applyNumberFormat="1" applyFont="1" applyAlignment="1">
      <alignment horizontal="right" vertical="center" wrapText="1"/>
    </xf>
    <xf numFmtId="0" fontId="12" fillId="0" borderId="10" xfId="0" applyFont="1" applyBorder="1" applyAlignment="1">
      <alignment horizontal="center" vertical="center" wrapText="1"/>
    </xf>
    <xf numFmtId="0" fontId="21" fillId="32" borderId="0" xfId="0" applyFont="1" applyFill="1" applyBorder="1" applyAlignment="1">
      <alignment horizontal="center" vertical="center" wrapText="1"/>
    </xf>
    <xf numFmtId="0" fontId="13" fillId="0" borderId="0" xfId="0" applyFont="1" applyBorder="1" applyAlignment="1">
      <alignment horizontal="center" vertical="center" wrapText="1"/>
    </xf>
    <xf numFmtId="4" fontId="7" fillId="0" borderId="10"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4" fontId="4" fillId="0" borderId="11" xfId="0" applyNumberFormat="1" applyFont="1" applyBorder="1" applyAlignment="1">
      <alignment horizontal="right" vertical="center" wrapText="1"/>
    </xf>
    <xf numFmtId="4" fontId="7"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7" fillId="0" borderId="0" xfId="0" applyNumberFormat="1" applyFont="1" applyFill="1" applyBorder="1" applyAlignment="1">
      <alignment horizontal="right" vertical="center" wrapText="1"/>
    </xf>
    <xf numFmtId="4" fontId="7" fillId="0" borderId="0" xfId="0" applyNumberFormat="1" applyFont="1" applyAlignment="1">
      <alignment horizontal="right" vertical="center" wrapText="1"/>
    </xf>
    <xf numFmtId="4" fontId="4" fillId="0" borderId="0" xfId="0" applyNumberFormat="1" applyFont="1" applyAlignment="1">
      <alignment horizontal="right" vertical="center" wrapText="1"/>
    </xf>
    <xf numFmtId="4" fontId="4" fillId="0" borderId="10" xfId="0" applyNumberFormat="1" applyFont="1" applyBorder="1" applyAlignment="1">
      <alignment horizontal="center" vertical="center" wrapText="1"/>
    </xf>
    <xf numFmtId="4" fontId="24"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4" fontId="25" fillId="32" borderId="0" xfId="0" applyNumberFormat="1" applyFont="1" applyFill="1" applyBorder="1" applyAlignment="1">
      <alignment horizontal="right" vertical="center" wrapText="1"/>
    </xf>
    <xf numFmtId="4" fontId="26" fillId="32" borderId="0" xfId="0" applyNumberFormat="1" applyFont="1" applyFill="1" applyBorder="1" applyAlignment="1">
      <alignment horizontal="right" vertical="center" wrapText="1"/>
    </xf>
    <xf numFmtId="0" fontId="26" fillId="32" borderId="0" xfId="0" applyFont="1" applyFill="1" applyBorder="1" applyAlignment="1">
      <alignment vertical="center" wrapText="1"/>
    </xf>
    <xf numFmtId="204" fontId="21" fillId="32" borderId="0" xfId="0" applyNumberFormat="1" applyFont="1" applyFill="1" applyBorder="1" applyAlignment="1">
      <alignment horizontal="right" vertical="center" wrapText="1"/>
    </xf>
    <xf numFmtId="49" fontId="4" fillId="0" borderId="10" xfId="0" applyNumberFormat="1" applyFont="1" applyBorder="1" applyAlignment="1">
      <alignment horizontal="center" vertical="center" wrapText="1"/>
    </xf>
    <xf numFmtId="49" fontId="27" fillId="4" borderId="10" xfId="0" applyNumberFormat="1" applyFont="1" applyFill="1" applyBorder="1" applyAlignment="1" quotePrefix="1">
      <alignment horizontal="center" vertical="center" wrapText="1"/>
    </xf>
    <xf numFmtId="49" fontId="27" fillId="4" borderId="10" xfId="0" applyNumberFormat="1" applyFont="1" applyFill="1" applyBorder="1" applyAlignment="1">
      <alignment horizontal="center" vertical="center" wrapText="1"/>
    </xf>
    <xf numFmtId="2" fontId="27" fillId="4" borderId="10" xfId="0" applyNumberFormat="1" applyFont="1" applyFill="1" applyBorder="1" applyAlignment="1">
      <alignment horizontal="center" vertical="center" wrapText="1"/>
    </xf>
    <xf numFmtId="4" fontId="27" fillId="4" borderId="10" xfId="0" applyNumberFormat="1" applyFont="1" applyFill="1" applyBorder="1" applyAlignment="1" quotePrefix="1">
      <alignment horizontal="right" vertical="center" wrapText="1"/>
    </xf>
    <xf numFmtId="4" fontId="19" fillId="0" borderId="0" xfId="0" applyNumberFormat="1" applyFont="1" applyAlignment="1">
      <alignment vertical="center" wrapText="1"/>
    </xf>
    <xf numFmtId="49" fontId="27" fillId="33" borderId="10" xfId="0" applyNumberFormat="1" applyFont="1" applyFill="1" applyBorder="1" applyAlignment="1" quotePrefix="1">
      <alignment horizontal="center" vertical="center" wrapText="1"/>
    </xf>
    <xf numFmtId="49" fontId="27" fillId="33" borderId="10" xfId="0" applyNumberFormat="1" applyFont="1" applyFill="1" applyBorder="1" applyAlignment="1">
      <alignment horizontal="center" vertical="center" wrapText="1"/>
    </xf>
    <xf numFmtId="2" fontId="27" fillId="33" borderId="12" xfId="0" applyNumberFormat="1" applyFont="1" applyFill="1" applyBorder="1" applyAlignment="1">
      <alignment horizontal="center" vertical="center" wrapText="1"/>
    </xf>
    <xf numFmtId="4" fontId="27" fillId="33" borderId="12" xfId="0" applyNumberFormat="1" applyFont="1" applyFill="1" applyBorder="1" applyAlignment="1">
      <alignment horizontal="right" vertical="center" wrapText="1"/>
    </xf>
    <xf numFmtId="4" fontId="34" fillId="0" borderId="10" xfId="0" applyNumberFormat="1" applyFont="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3" fontId="19" fillId="0" borderId="10" xfId="49" applyNumberFormat="1" applyFont="1" applyFill="1" applyBorder="1" applyAlignment="1">
      <alignment horizontal="center" vertical="center" wrapText="1"/>
      <protection/>
    </xf>
    <xf numFmtId="4" fontId="27" fillId="0" borderId="13" xfId="49" applyNumberFormat="1" applyFont="1" applyFill="1" applyBorder="1" applyAlignment="1">
      <alignment horizontal="right" vertical="center" wrapText="1"/>
      <protection/>
    </xf>
    <xf numFmtId="4" fontId="19" fillId="0" borderId="10" xfId="49" applyNumberFormat="1" applyFont="1" applyFill="1" applyBorder="1" applyAlignment="1">
      <alignment horizontal="right" vertical="center" wrapText="1"/>
      <protection/>
    </xf>
    <xf numFmtId="4" fontId="19" fillId="0" borderId="10" xfId="0" applyNumberFormat="1" applyFont="1" applyBorder="1" applyAlignment="1">
      <alignment horizontal="right" vertical="center" wrapText="1"/>
    </xf>
    <xf numFmtId="2" fontId="19" fillId="0" borderId="14" xfId="0" applyNumberFormat="1" applyFont="1" applyBorder="1" applyAlignment="1">
      <alignment horizontal="center" vertical="center" wrapText="1"/>
    </xf>
    <xf numFmtId="2" fontId="19" fillId="0" borderId="10" xfId="0" applyNumberFormat="1" applyFont="1" applyBorder="1" applyAlignment="1">
      <alignment horizontal="center" vertical="center" wrapText="1"/>
    </xf>
    <xf numFmtId="0" fontId="28" fillId="0" borderId="0" xfId="0" applyFont="1" applyFill="1" applyAlignment="1">
      <alignment vertical="center" wrapText="1"/>
    </xf>
    <xf numFmtId="0" fontId="28" fillId="0" borderId="0" xfId="0" applyFont="1" applyAlignment="1">
      <alignment vertical="center" wrapText="1"/>
    </xf>
    <xf numFmtId="4" fontId="19" fillId="32" borderId="10" xfId="0" applyNumberFormat="1" applyFont="1" applyFill="1" applyBorder="1" applyAlignment="1">
      <alignment horizontal="right" vertical="center" wrapText="1"/>
    </xf>
    <xf numFmtId="3" fontId="19" fillId="0" borderId="14" xfId="49" applyNumberFormat="1" applyFont="1" applyFill="1" applyBorder="1" applyAlignment="1">
      <alignment horizontal="center" vertical="center" wrapText="1"/>
      <protection/>
    </xf>
    <xf numFmtId="4" fontId="19" fillId="0" borderId="13" xfId="49" applyNumberFormat="1" applyFont="1" applyFill="1" applyBorder="1" applyAlignment="1">
      <alignment horizontal="right" vertical="center" wrapText="1"/>
      <protection/>
    </xf>
    <xf numFmtId="49" fontId="19" fillId="4" borderId="10" xfId="0" applyNumberFormat="1" applyFont="1" applyFill="1" applyBorder="1" applyAlignment="1">
      <alignment horizontal="center" vertical="center" wrapText="1"/>
    </xf>
    <xf numFmtId="49" fontId="19" fillId="4" borderId="10" xfId="0" applyNumberFormat="1" applyFont="1" applyFill="1" applyBorder="1" applyAlignment="1" quotePrefix="1">
      <alignment horizontal="center" vertical="center" wrapText="1"/>
    </xf>
    <xf numFmtId="3" fontId="19" fillId="4" borderId="10" xfId="49" applyNumberFormat="1" applyFont="1" applyFill="1" applyBorder="1" applyAlignment="1">
      <alignment horizontal="center" vertical="center" wrapText="1"/>
      <protection/>
    </xf>
    <xf numFmtId="4" fontId="27" fillId="4" borderId="10" xfId="49" applyNumberFormat="1" applyFont="1" applyFill="1" applyBorder="1" applyAlignment="1">
      <alignment horizontal="right" vertical="center" wrapText="1"/>
      <protection/>
    </xf>
    <xf numFmtId="0" fontId="27" fillId="0" borderId="0" xfId="0" applyFont="1" applyAlignment="1">
      <alignment vertical="center" wrapText="1"/>
    </xf>
    <xf numFmtId="4" fontId="27" fillId="0" borderId="10" xfId="49" applyNumberFormat="1" applyFont="1" applyFill="1" applyBorder="1" applyAlignment="1">
      <alignment horizontal="right" vertical="center" wrapText="1"/>
      <protection/>
    </xf>
    <xf numFmtId="3" fontId="19" fillId="4" borderId="13" xfId="49" applyNumberFormat="1" applyFont="1" applyFill="1" applyBorder="1" applyAlignment="1">
      <alignment horizontal="center" vertical="center" wrapText="1"/>
      <protection/>
    </xf>
    <xf numFmtId="4" fontId="27" fillId="4" borderId="10" xfId="0" applyNumberFormat="1" applyFont="1" applyFill="1" applyBorder="1" applyAlignment="1">
      <alignment horizontal="right" vertical="center" wrapText="1"/>
    </xf>
    <xf numFmtId="4" fontId="27" fillId="34" borderId="12" xfId="0" applyNumberFormat="1" applyFont="1" applyFill="1" applyBorder="1" applyAlignment="1" quotePrefix="1">
      <alignment horizontal="right" vertical="center" wrapText="1"/>
    </xf>
    <xf numFmtId="4" fontId="27" fillId="34" borderId="12" xfId="0" applyNumberFormat="1" applyFont="1" applyFill="1" applyBorder="1" applyAlignment="1">
      <alignment horizontal="right" vertical="center" wrapText="1"/>
    </xf>
    <xf numFmtId="2" fontId="19" fillId="32" borderId="10" xfId="0" applyNumberFormat="1" applyFont="1" applyFill="1" applyBorder="1" applyAlignment="1">
      <alignment horizontal="center" vertical="center" wrapText="1"/>
    </xf>
    <xf numFmtId="2" fontId="29" fillId="0" borderId="10" xfId="0" applyNumberFormat="1" applyFont="1" applyBorder="1" applyAlignment="1">
      <alignment horizontal="left" vertical="center" wrapText="1"/>
    </xf>
    <xf numFmtId="4" fontId="30" fillId="0" borderId="10" xfId="49" applyNumberFormat="1" applyFont="1" applyFill="1" applyBorder="1" applyAlignment="1">
      <alignment horizontal="right" vertical="center" wrapText="1"/>
      <protection/>
    </xf>
    <xf numFmtId="4" fontId="29" fillId="0" borderId="10" xfId="0" applyNumberFormat="1" applyFont="1" applyBorder="1" applyAlignment="1">
      <alignment horizontal="right" vertical="center" wrapText="1"/>
    </xf>
    <xf numFmtId="4" fontId="29" fillId="32" borderId="10" xfId="0" applyNumberFormat="1" applyFont="1" applyFill="1" applyBorder="1" applyAlignment="1">
      <alignment horizontal="right" vertical="center" wrapText="1"/>
    </xf>
    <xf numFmtId="49" fontId="19" fillId="35" borderId="10" xfId="0" applyNumberFormat="1" applyFont="1" applyFill="1" applyBorder="1" applyAlignment="1" quotePrefix="1">
      <alignment horizontal="center" vertical="center" wrapText="1"/>
    </xf>
    <xf numFmtId="0" fontId="19" fillId="35" borderId="10" xfId="0" applyFont="1" applyFill="1" applyBorder="1" applyAlignment="1" quotePrefix="1">
      <alignment horizontal="center" vertical="center" wrapText="1"/>
    </xf>
    <xf numFmtId="2" fontId="19" fillId="35" borderId="10" xfId="0" applyNumberFormat="1" applyFont="1" applyFill="1" applyBorder="1" applyAlignment="1" quotePrefix="1">
      <alignment horizontal="left" vertical="center" wrapText="1"/>
    </xf>
    <xf numFmtId="4" fontId="27" fillId="35" borderId="10" xfId="49" applyNumberFormat="1" applyFont="1" applyFill="1" applyBorder="1" applyAlignment="1">
      <alignment horizontal="right" vertical="center" wrapText="1"/>
      <protection/>
    </xf>
    <xf numFmtId="4" fontId="19" fillId="35" borderId="10" xfId="0" applyNumberFormat="1" applyFont="1" applyFill="1" applyBorder="1" applyAlignment="1">
      <alignment horizontal="right" vertical="center" wrapText="1"/>
    </xf>
    <xf numFmtId="0" fontId="19" fillId="35" borderId="0" xfId="0" applyFont="1" applyFill="1" applyAlignment="1">
      <alignment vertical="center" wrapText="1"/>
    </xf>
    <xf numFmtId="3" fontId="19" fillId="32"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4" fontId="27" fillId="0" borderId="14" xfId="49" applyNumberFormat="1" applyFont="1" applyFill="1" applyBorder="1" applyAlignment="1">
      <alignment horizontal="right" vertical="center" wrapText="1"/>
      <protection/>
    </xf>
    <xf numFmtId="4" fontId="19" fillId="0" borderId="15" xfId="0" applyNumberFormat="1" applyFont="1" applyBorder="1" applyAlignment="1">
      <alignment horizontal="right" vertical="center" wrapText="1"/>
    </xf>
    <xf numFmtId="2" fontId="19" fillId="0" borderId="10" xfId="0" applyNumberFormat="1" applyFont="1" applyBorder="1" applyAlignment="1" quotePrefix="1">
      <alignment horizontal="left" vertical="center" wrapText="1"/>
    </xf>
    <xf numFmtId="4" fontId="27" fillId="0" borderId="10" xfId="0" applyNumberFormat="1" applyFont="1" applyBorder="1" applyAlignment="1">
      <alignment horizontal="right" vertical="center" wrapText="1"/>
    </xf>
    <xf numFmtId="49" fontId="19" fillId="35" borderId="10" xfId="0" applyNumberFormat="1" applyFont="1" applyFill="1" applyBorder="1" applyAlignment="1">
      <alignment horizontal="center" vertical="center" wrapText="1"/>
    </xf>
    <xf numFmtId="0" fontId="19" fillId="35" borderId="10" xfId="0" applyFont="1" applyFill="1" applyBorder="1" applyAlignment="1">
      <alignment horizontal="center" vertical="center" wrapText="1"/>
    </xf>
    <xf numFmtId="3" fontId="19" fillId="35" borderId="10" xfId="0" applyNumberFormat="1" applyFont="1" applyFill="1" applyBorder="1" applyAlignment="1">
      <alignment horizontal="center" vertical="center" wrapText="1"/>
    </xf>
    <xf numFmtId="4" fontId="27" fillId="35" borderId="10" xfId="0" applyNumberFormat="1" applyFont="1" applyFill="1" applyBorder="1" applyAlignment="1">
      <alignment horizontal="right" vertical="center" wrapText="1"/>
    </xf>
    <xf numFmtId="4" fontId="27" fillId="0" borderId="10" xfId="0" applyNumberFormat="1" applyFont="1" applyFill="1" applyBorder="1" applyAlignment="1">
      <alignment horizontal="right" vertical="center" wrapText="1"/>
    </xf>
    <xf numFmtId="4" fontId="19" fillId="0" borderId="10" xfId="0" applyNumberFormat="1" applyFont="1" applyFill="1" applyBorder="1" applyAlignment="1" applyProtection="1">
      <alignment horizontal="right" vertical="center" wrapText="1"/>
      <protection/>
    </xf>
    <xf numFmtId="0" fontId="19" fillId="0" borderId="0" xfId="0" applyFont="1" applyAlignment="1">
      <alignment horizontal="center" vertical="center" wrapText="1"/>
    </xf>
    <xf numFmtId="49" fontId="19" fillId="35" borderId="14" xfId="0" applyNumberFormat="1" applyFont="1" applyFill="1" applyBorder="1" applyAlignment="1" quotePrefix="1">
      <alignment horizontal="center" vertical="center" wrapText="1"/>
    </xf>
    <xf numFmtId="49" fontId="19" fillId="35" borderId="14" xfId="0" applyNumberFormat="1" applyFont="1" applyFill="1" applyBorder="1" applyAlignment="1">
      <alignment horizontal="center" vertical="center" wrapText="1"/>
    </xf>
    <xf numFmtId="2" fontId="19" fillId="35" borderId="14" xfId="0" applyNumberFormat="1" applyFont="1" applyFill="1" applyBorder="1" applyAlignment="1" quotePrefix="1">
      <alignment horizontal="left" vertical="center" wrapText="1"/>
    </xf>
    <xf numFmtId="3" fontId="19" fillId="35" borderId="14" xfId="49" applyNumberFormat="1" applyFont="1" applyFill="1" applyBorder="1" applyAlignment="1">
      <alignment horizontal="center" vertical="center" wrapText="1"/>
      <protection/>
    </xf>
    <xf numFmtId="4" fontId="19" fillId="0" borderId="14" xfId="49" applyNumberFormat="1" applyFont="1" applyFill="1" applyBorder="1" applyAlignment="1">
      <alignment horizontal="right" vertical="center" wrapText="1"/>
      <protection/>
    </xf>
    <xf numFmtId="4" fontId="19" fillId="0" borderId="14" xfId="0" applyNumberFormat="1" applyFont="1" applyBorder="1" applyAlignment="1">
      <alignment horizontal="right" vertical="center" wrapText="1"/>
    </xf>
    <xf numFmtId="0" fontId="28" fillId="0" borderId="0" xfId="0" applyFont="1" applyAlignment="1">
      <alignment horizontal="center" vertical="center" wrapText="1"/>
    </xf>
    <xf numFmtId="4" fontId="19" fillId="0" borderId="10" xfId="0" applyNumberFormat="1" applyFont="1" applyFill="1" applyBorder="1" applyAlignment="1">
      <alignment horizontal="right" vertical="center" wrapText="1"/>
    </xf>
    <xf numFmtId="0" fontId="31" fillId="0" borderId="15" xfId="0" applyFont="1" applyBorder="1" applyAlignment="1">
      <alignment horizontal="center" vertical="center" wrapText="1"/>
    </xf>
    <xf numFmtId="4" fontId="19" fillId="0" borderId="10" xfId="0" applyNumberFormat="1" applyFont="1" applyBorder="1" applyAlignment="1">
      <alignment vertical="center" wrapText="1"/>
    </xf>
    <xf numFmtId="0" fontId="31" fillId="0" borderId="13" xfId="0" applyFont="1" applyBorder="1" applyAlignment="1">
      <alignment horizontal="left" vertical="center" wrapText="1"/>
    </xf>
    <xf numFmtId="49" fontId="19" fillId="32" borderId="10" xfId="0" applyNumberFormat="1" applyFont="1" applyFill="1" applyBorder="1" applyAlignment="1">
      <alignment horizontal="center" vertical="center" wrapText="1"/>
    </xf>
    <xf numFmtId="2" fontId="19" fillId="32" borderId="10" xfId="0" applyNumberFormat="1" applyFont="1" applyFill="1" applyBorder="1" applyAlignment="1" quotePrefix="1">
      <alignment horizontal="left" vertical="center" wrapText="1"/>
    </xf>
    <xf numFmtId="4" fontId="27" fillId="32" borderId="10" xfId="0" applyNumberFormat="1" applyFont="1" applyFill="1" applyBorder="1" applyAlignment="1">
      <alignment horizontal="right" vertical="center" wrapText="1"/>
    </xf>
    <xf numFmtId="4" fontId="19" fillId="32" borderId="0" xfId="0" applyNumberFormat="1" applyFont="1" applyFill="1" applyAlignment="1">
      <alignment vertical="center" wrapText="1"/>
    </xf>
    <xf numFmtId="0" fontId="19" fillId="32" borderId="0" xfId="0" applyFont="1" applyFill="1" applyAlignment="1">
      <alignment vertical="center" wrapText="1"/>
    </xf>
    <xf numFmtId="4" fontId="27" fillId="35" borderId="14" xfId="0" applyNumberFormat="1" applyFont="1" applyFill="1" applyBorder="1" applyAlignment="1">
      <alignment horizontal="right" vertical="center" wrapText="1"/>
    </xf>
    <xf numFmtId="4" fontId="19" fillId="35" borderId="14" xfId="0" applyNumberFormat="1" applyFont="1" applyFill="1" applyBorder="1" applyAlignment="1">
      <alignment horizontal="right" vertical="center" wrapText="1"/>
    </xf>
    <xf numFmtId="3" fontId="19"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2" fontId="19" fillId="35" borderId="10" xfId="0" applyNumberFormat="1" applyFont="1" applyFill="1" applyBorder="1" applyAlignment="1">
      <alignment horizontal="left" vertical="center" wrapText="1"/>
    </xf>
    <xf numFmtId="0" fontId="19" fillId="35" borderId="14" xfId="0" applyFont="1" applyFill="1" applyBorder="1" applyAlignment="1">
      <alignment horizontal="center" vertical="center" wrapText="1"/>
    </xf>
    <xf numFmtId="2" fontId="19" fillId="0" borderId="16" xfId="0" applyNumberFormat="1" applyFont="1" applyBorder="1" applyAlignment="1">
      <alignment horizontal="left" vertical="center" wrapText="1"/>
    </xf>
    <xf numFmtId="2" fontId="19" fillId="35" borderId="16" xfId="0" applyNumberFormat="1" applyFont="1" applyFill="1" applyBorder="1" applyAlignment="1" quotePrefix="1">
      <alignment horizontal="left" vertical="center" wrapText="1"/>
    </xf>
    <xf numFmtId="4" fontId="19" fillId="35" borderId="10" xfId="0" applyNumberFormat="1" applyFont="1" applyFill="1" applyBorder="1" applyAlignment="1" quotePrefix="1">
      <alignment horizontal="right" vertical="center" wrapText="1"/>
    </xf>
    <xf numFmtId="2" fontId="19" fillId="0" borderId="10" xfId="0" applyNumberFormat="1" applyFont="1" applyBorder="1" applyAlignment="1" quotePrefix="1">
      <alignment vertical="center" wrapText="1"/>
    </xf>
    <xf numFmtId="4" fontId="19" fillId="32" borderId="14" xfId="0" applyNumberFormat="1" applyFont="1" applyFill="1" applyBorder="1" applyAlignment="1" quotePrefix="1">
      <alignment horizontal="right" vertical="center" wrapText="1"/>
    </xf>
    <xf numFmtId="4" fontId="27" fillId="0" borderId="14" xfId="0" applyNumberFormat="1" applyFont="1" applyFill="1" applyBorder="1" applyAlignment="1">
      <alignment horizontal="right" vertical="center" wrapText="1"/>
    </xf>
    <xf numFmtId="4" fontId="19" fillId="0" borderId="14" xfId="0" applyNumberFormat="1" applyFont="1" applyFill="1" applyBorder="1" applyAlignment="1">
      <alignment horizontal="right" vertical="center" wrapText="1"/>
    </xf>
    <xf numFmtId="4" fontId="27" fillId="35" borderId="10" xfId="0" applyNumberFormat="1" applyFont="1" applyFill="1" applyBorder="1" applyAlignment="1" quotePrefix="1">
      <alignment horizontal="right" vertical="center" wrapText="1"/>
    </xf>
    <xf numFmtId="49" fontId="19" fillId="0" borderId="10" xfId="0" applyNumberFormat="1" applyFont="1" applyFill="1" applyBorder="1" applyAlignment="1">
      <alignment horizontal="center" vertical="center" wrapText="1"/>
    </xf>
    <xf numFmtId="49" fontId="19" fillId="0" borderId="0" xfId="0" applyNumberFormat="1" applyFont="1" applyAlignment="1">
      <alignment horizontal="left" vertical="center" wrapText="1"/>
    </xf>
    <xf numFmtId="4" fontId="27" fillId="0" borderId="10" xfId="0" applyNumberFormat="1" applyFont="1" applyFill="1" applyBorder="1" applyAlignment="1" quotePrefix="1">
      <alignment horizontal="right" vertical="center" wrapText="1"/>
    </xf>
    <xf numFmtId="4" fontId="19" fillId="0" borderId="10" xfId="0" applyNumberFormat="1" applyFont="1" applyFill="1" applyBorder="1" applyAlignment="1" quotePrefix="1">
      <alignment horizontal="right" vertical="center" wrapText="1"/>
    </xf>
    <xf numFmtId="49" fontId="19" fillId="32" borderId="10" xfId="0" applyNumberFormat="1" applyFont="1" applyFill="1" applyBorder="1" applyAlignment="1" quotePrefix="1">
      <alignment horizontal="center" vertical="center" wrapText="1"/>
    </xf>
    <xf numFmtId="0" fontId="19" fillId="32" borderId="10" xfId="0" applyFont="1" applyFill="1" applyBorder="1" applyAlignment="1">
      <alignment horizontal="center" vertical="center" wrapText="1"/>
    </xf>
    <xf numFmtId="2" fontId="19" fillId="35" borderId="10" xfId="0" applyNumberFormat="1" applyFont="1" applyFill="1" applyBorder="1" applyAlignment="1" quotePrefix="1">
      <alignment horizontal="center" vertical="center" wrapText="1"/>
    </xf>
    <xf numFmtId="4" fontId="19" fillId="35" borderId="10" xfId="0" applyNumberFormat="1" applyFont="1" applyFill="1" applyBorder="1" applyAlignment="1">
      <alignment vertical="center" wrapText="1"/>
    </xf>
    <xf numFmtId="0" fontId="19" fillId="32" borderId="10" xfId="0" applyNumberFormat="1" applyFont="1" applyFill="1" applyBorder="1" applyAlignment="1" quotePrefix="1">
      <alignment horizontal="center" vertical="center" wrapText="1"/>
    </xf>
    <xf numFmtId="4" fontId="19" fillId="32" borderId="10" xfId="0" applyNumberFormat="1"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2" fontId="19" fillId="0" borderId="10" xfId="0" applyNumberFormat="1" applyFont="1" applyFill="1" applyBorder="1" applyAlignment="1">
      <alignment horizontal="left" vertical="center" wrapText="1"/>
    </xf>
    <xf numFmtId="4" fontId="19" fillId="32" borderId="10" xfId="0" applyNumberFormat="1" applyFont="1" applyFill="1" applyBorder="1" applyAlignment="1">
      <alignment horizontal="center" vertical="center" wrapText="1"/>
    </xf>
    <xf numFmtId="4" fontId="27" fillId="0" borderId="10" xfId="0" applyNumberFormat="1" applyFont="1" applyFill="1" applyBorder="1" applyAlignment="1">
      <alignment vertical="center" wrapText="1"/>
    </xf>
    <xf numFmtId="4" fontId="19" fillId="0" borderId="10" xfId="0" applyNumberFormat="1" applyFont="1" applyFill="1" applyBorder="1" applyAlignment="1">
      <alignment vertical="center" wrapText="1"/>
    </xf>
    <xf numFmtId="0" fontId="19" fillId="0" borderId="0" xfId="0" applyFont="1" applyFill="1" applyAlignment="1">
      <alignment vertical="center" wrapText="1"/>
    </xf>
    <xf numFmtId="49" fontId="29" fillId="0" borderId="10" xfId="0" applyNumberFormat="1" applyFont="1" applyFill="1" applyBorder="1" applyAlignment="1" quotePrefix="1">
      <alignment horizontal="center" vertical="center" wrapText="1"/>
    </xf>
    <xf numFmtId="49" fontId="29" fillId="0" borderId="10" xfId="0" applyNumberFormat="1" applyFont="1" applyFill="1" applyBorder="1" applyAlignment="1">
      <alignment horizontal="center" vertical="center" wrapText="1"/>
    </xf>
    <xf numFmtId="3" fontId="29" fillId="0" borderId="10" xfId="0" applyNumberFormat="1" applyFont="1" applyFill="1" applyBorder="1" applyAlignment="1" applyProtection="1">
      <alignment horizontal="center" vertical="center" wrapText="1"/>
      <protection/>
    </xf>
    <xf numFmtId="4" fontId="30" fillId="0" borderId="10" xfId="0" applyNumberFormat="1" applyFont="1" applyFill="1" applyBorder="1" applyAlignment="1" applyProtection="1">
      <alignment horizontal="right" vertical="center" wrapText="1"/>
      <protection/>
    </xf>
    <xf numFmtId="4" fontId="29" fillId="0" borderId="10" xfId="0" applyNumberFormat="1" applyFont="1" applyFill="1" applyBorder="1" applyAlignment="1" applyProtection="1">
      <alignment horizontal="right" vertical="center" wrapText="1"/>
      <protection/>
    </xf>
    <xf numFmtId="4" fontId="29" fillId="0" borderId="10" xfId="0" applyNumberFormat="1" applyFont="1" applyFill="1" applyBorder="1" applyAlignment="1">
      <alignment horizontal="right" vertical="center" wrapText="1"/>
    </xf>
    <xf numFmtId="0" fontId="29" fillId="0" borderId="0" xfId="0" applyFont="1" applyAlignment="1">
      <alignment vertical="center" wrapText="1"/>
    </xf>
    <xf numFmtId="2" fontId="19" fillId="4" borderId="10" xfId="0" applyNumberFormat="1" applyFont="1" applyFill="1" applyBorder="1" applyAlignment="1">
      <alignment horizontal="center" vertical="center" wrapText="1"/>
    </xf>
    <xf numFmtId="4" fontId="27" fillId="0" borderId="0" xfId="0" applyNumberFormat="1" applyFont="1" applyAlignment="1">
      <alignment vertical="center" wrapText="1"/>
    </xf>
    <xf numFmtId="4" fontId="27" fillId="33" borderId="12" xfId="0" applyNumberFormat="1" applyFont="1" applyFill="1" applyBorder="1" applyAlignment="1" quotePrefix="1">
      <alignment horizontal="right" vertical="center" wrapText="1"/>
    </xf>
    <xf numFmtId="0" fontId="19" fillId="0" borderId="10" xfId="0" applyFont="1" applyBorder="1" applyAlignment="1" quotePrefix="1">
      <alignment horizontal="center" vertical="center" wrapText="1"/>
    </xf>
    <xf numFmtId="4" fontId="19" fillId="35" borderId="10" xfId="49" applyNumberFormat="1" applyFont="1" applyFill="1" applyBorder="1" applyAlignment="1">
      <alignment horizontal="right" vertical="center" wrapText="1"/>
      <protection/>
    </xf>
    <xf numFmtId="0" fontId="19" fillId="0" borderId="13" xfId="0" applyFont="1" applyBorder="1" applyAlignment="1">
      <alignment horizontal="left" vertical="center" wrapText="1"/>
    </xf>
    <xf numFmtId="3" fontId="19" fillId="0" borderId="15" xfId="49" applyNumberFormat="1" applyFont="1" applyFill="1" applyBorder="1" applyAlignment="1">
      <alignment horizontal="center" vertical="center" wrapText="1"/>
      <protection/>
    </xf>
    <xf numFmtId="3" fontId="19" fillId="0" borderId="14" xfId="0" applyNumberFormat="1" applyFont="1" applyFill="1" applyBorder="1" applyAlignment="1" applyProtection="1">
      <alignment horizontal="center" vertical="center" wrapText="1"/>
      <protection/>
    </xf>
    <xf numFmtId="4" fontId="27" fillId="0" borderId="10" xfId="0" applyNumberFormat="1" applyFont="1" applyFill="1" applyBorder="1" applyAlignment="1" applyProtection="1">
      <alignment horizontal="right" vertical="center" wrapText="1"/>
      <protection/>
    </xf>
    <xf numFmtId="2" fontId="19" fillId="4" borderId="14" xfId="0" applyNumberFormat="1" applyFont="1" applyFill="1" applyBorder="1" applyAlignment="1">
      <alignment horizontal="center" vertical="center" wrapText="1"/>
    </xf>
    <xf numFmtId="4" fontId="28" fillId="0" borderId="0" xfId="0" applyNumberFormat="1" applyFont="1" applyAlignment="1">
      <alignment vertical="center" wrapText="1"/>
    </xf>
    <xf numFmtId="0" fontId="27" fillId="33" borderId="12" xfId="0" applyFont="1" applyFill="1" applyBorder="1" applyAlignment="1">
      <alignment horizontal="center" vertical="center" wrapText="1"/>
    </xf>
    <xf numFmtId="0" fontId="19" fillId="33" borderId="0" xfId="0" applyFont="1" applyFill="1" applyBorder="1" applyAlignment="1">
      <alignment vertical="center" wrapText="1"/>
    </xf>
    <xf numFmtId="49" fontId="19" fillId="35" borderId="10" xfId="0" applyNumberFormat="1" applyFont="1" applyFill="1" applyBorder="1" applyAlignment="1">
      <alignment vertical="center" wrapText="1"/>
    </xf>
    <xf numFmtId="0" fontId="19" fillId="35" borderId="10" xfId="0" applyFont="1" applyFill="1" applyBorder="1" applyAlignment="1">
      <alignment horizontal="left" vertical="center" wrapText="1"/>
    </xf>
    <xf numFmtId="0" fontId="19" fillId="35" borderId="0" xfId="0" applyFont="1" applyFill="1" applyBorder="1" applyAlignment="1">
      <alignment vertical="center" wrapText="1"/>
    </xf>
    <xf numFmtId="0" fontId="19" fillId="0" borderId="10" xfId="0" applyFont="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4" fontId="19" fillId="0" borderId="0" xfId="0" applyNumberFormat="1" applyFont="1" applyBorder="1" applyAlignment="1">
      <alignment vertical="center" wrapText="1"/>
    </xf>
    <xf numFmtId="0" fontId="32" fillId="0" borderId="0" xfId="0" applyFont="1" applyBorder="1" applyAlignment="1">
      <alignment vertical="center" wrapText="1"/>
    </xf>
    <xf numFmtId="0" fontId="19" fillId="0" borderId="10" xfId="0" applyFont="1" applyFill="1" applyBorder="1" applyAlignment="1">
      <alignment horizontal="left" vertical="center" wrapText="1"/>
    </xf>
    <xf numFmtId="0" fontId="27" fillId="0" borderId="0" xfId="0" applyFont="1" applyBorder="1" applyAlignment="1">
      <alignment vertical="center" wrapText="1"/>
    </xf>
    <xf numFmtId="2" fontId="19" fillId="35" borderId="10" xfId="0" applyNumberFormat="1" applyFont="1" applyFill="1" applyBorder="1" applyAlignment="1">
      <alignment horizontal="center" vertical="center" wrapText="1"/>
    </xf>
    <xf numFmtId="0" fontId="19" fillId="0" borderId="0" xfId="0" applyFont="1" applyBorder="1" applyAlignment="1">
      <alignment vertical="center" wrapText="1"/>
    </xf>
    <xf numFmtId="2" fontId="19" fillId="32" borderId="14" xfId="0" applyNumberFormat="1" applyFont="1" applyFill="1" applyBorder="1" applyAlignment="1">
      <alignment horizontal="center" vertical="center" wrapText="1"/>
    </xf>
    <xf numFmtId="2" fontId="19" fillId="32" borderId="13" xfId="0" applyNumberFormat="1" applyFont="1" applyFill="1" applyBorder="1" applyAlignment="1">
      <alignment horizontal="center" vertical="center" wrapText="1"/>
    </xf>
    <xf numFmtId="4" fontId="19" fillId="32" borderId="10" xfId="0" applyNumberFormat="1" applyFont="1" applyFill="1" applyBorder="1" applyAlignment="1" quotePrefix="1">
      <alignment horizontal="right" vertical="center" wrapText="1"/>
    </xf>
    <xf numFmtId="0" fontId="19" fillId="0" borderId="0" xfId="0" applyFont="1" applyFill="1" applyBorder="1" applyAlignment="1">
      <alignment vertical="center" wrapText="1"/>
    </xf>
    <xf numFmtId="4" fontId="27" fillId="32" borderId="13" xfId="0" applyNumberFormat="1" applyFont="1" applyFill="1" applyBorder="1" applyAlignment="1">
      <alignment horizontal="right" vertical="center" wrapText="1"/>
    </xf>
    <xf numFmtId="4" fontId="19" fillId="32" borderId="13" xfId="0" applyNumberFormat="1" applyFont="1" applyFill="1" applyBorder="1" applyAlignment="1">
      <alignment horizontal="right" vertical="center" wrapText="1"/>
    </xf>
    <xf numFmtId="4" fontId="19" fillId="0" borderId="13" xfId="0" applyNumberFormat="1" applyFont="1" applyBorder="1" applyAlignment="1">
      <alignment horizontal="right" vertical="center" wrapText="1"/>
    </xf>
    <xf numFmtId="2" fontId="19" fillId="35" borderId="13" xfId="0" applyNumberFormat="1" applyFont="1" applyFill="1" applyBorder="1" applyAlignment="1">
      <alignment horizontal="center" vertical="center" wrapText="1"/>
    </xf>
    <xf numFmtId="4" fontId="27" fillId="35" borderId="13" xfId="0" applyNumberFormat="1" applyFont="1" applyFill="1" applyBorder="1" applyAlignment="1">
      <alignment horizontal="right" vertical="center" wrapText="1"/>
    </xf>
    <xf numFmtId="2" fontId="19" fillId="32" borderId="15" xfId="0" applyNumberFormat="1" applyFont="1" applyFill="1" applyBorder="1" applyAlignment="1">
      <alignment horizontal="center" vertical="center" wrapText="1"/>
    </xf>
    <xf numFmtId="4" fontId="19" fillId="32" borderId="15" xfId="0" applyNumberFormat="1" applyFont="1" applyFill="1" applyBorder="1" applyAlignment="1">
      <alignment horizontal="right" vertical="center" wrapText="1"/>
    </xf>
    <xf numFmtId="4" fontId="27" fillId="0" borderId="13" xfId="0" applyNumberFormat="1" applyFont="1" applyFill="1" applyBorder="1" applyAlignment="1" applyProtection="1">
      <alignment horizontal="right" vertical="center" wrapText="1"/>
      <protection/>
    </xf>
    <xf numFmtId="4" fontId="19" fillId="35" borderId="16" xfId="0" applyNumberFormat="1" applyFont="1" applyFill="1" applyBorder="1" applyAlignment="1">
      <alignment horizontal="right" vertical="center" wrapText="1"/>
    </xf>
    <xf numFmtId="49" fontId="19" fillId="0" borderId="14" xfId="0" applyNumberFormat="1" applyFont="1" applyFill="1" applyBorder="1" applyAlignment="1">
      <alignment horizontal="center" vertical="center" wrapText="1"/>
    </xf>
    <xf numFmtId="49" fontId="19" fillId="0" borderId="14" xfId="0" applyNumberFormat="1" applyFont="1" applyFill="1" applyBorder="1" applyAlignment="1" quotePrefix="1">
      <alignment horizontal="center" vertical="center" wrapText="1"/>
    </xf>
    <xf numFmtId="2" fontId="19" fillId="0" borderId="14" xfId="0" applyNumberFormat="1" applyFont="1" applyFill="1" applyBorder="1" applyAlignment="1" quotePrefix="1">
      <alignment horizontal="left" vertical="center" wrapText="1"/>
    </xf>
    <xf numFmtId="4" fontId="27" fillId="0" borderId="14" xfId="0" applyNumberFormat="1" applyFont="1" applyFill="1" applyBorder="1" applyAlignment="1" applyProtection="1">
      <alignment horizontal="right" vertical="center" wrapText="1"/>
      <protection/>
    </xf>
    <xf numFmtId="4" fontId="19" fillId="0" borderId="14" xfId="0" applyNumberFormat="1" applyFont="1" applyFill="1" applyBorder="1" applyAlignment="1" applyProtection="1">
      <alignment horizontal="right" vertical="center" wrapText="1"/>
      <protection/>
    </xf>
    <xf numFmtId="4" fontId="19" fillId="0" borderId="17" xfId="0" applyNumberFormat="1" applyFont="1" applyFill="1" applyBorder="1" applyAlignment="1">
      <alignment horizontal="right" vertical="center" wrapText="1"/>
    </xf>
    <xf numFmtId="4" fontId="19" fillId="0" borderId="0" xfId="0" applyNumberFormat="1" applyFont="1" applyFill="1" applyAlignment="1">
      <alignment vertical="center" wrapText="1"/>
    </xf>
    <xf numFmtId="4" fontId="19" fillId="0" borderId="0" xfId="0" applyNumberFormat="1" applyFont="1" applyFill="1" applyBorder="1" applyAlignment="1">
      <alignment vertical="center" wrapText="1"/>
    </xf>
    <xf numFmtId="4" fontId="19" fillId="0" borderId="13" xfId="0" applyNumberFormat="1" applyFont="1" applyFill="1" applyBorder="1" applyAlignment="1">
      <alignment horizontal="right" vertical="center" wrapText="1"/>
    </xf>
    <xf numFmtId="3" fontId="19" fillId="0" borderId="15" xfId="0" applyNumberFormat="1" applyFont="1" applyFill="1" applyBorder="1" applyAlignment="1" applyProtection="1">
      <alignment horizontal="center" vertical="center" wrapText="1"/>
      <protection/>
    </xf>
    <xf numFmtId="4" fontId="27" fillId="35" borderId="10" xfId="0" applyNumberFormat="1" applyFont="1" applyFill="1" applyBorder="1" applyAlignment="1" applyProtection="1">
      <alignment horizontal="right" vertical="center" wrapText="1"/>
      <protection/>
    </xf>
    <xf numFmtId="4" fontId="19" fillId="35" borderId="10" xfId="0" applyNumberFormat="1" applyFont="1" applyFill="1" applyBorder="1" applyAlignment="1" applyProtection="1">
      <alignment horizontal="right" vertical="center" wrapText="1"/>
      <protection/>
    </xf>
    <xf numFmtId="4" fontId="27" fillId="0" borderId="15" xfId="0" applyNumberFormat="1" applyFont="1" applyFill="1" applyBorder="1" applyAlignment="1" applyProtection="1">
      <alignment horizontal="right" vertical="center" wrapText="1"/>
      <protection/>
    </xf>
    <xf numFmtId="4" fontId="19" fillId="0" borderId="15" xfId="0" applyNumberFormat="1" applyFont="1" applyFill="1" applyBorder="1" applyAlignment="1" applyProtection="1">
      <alignment horizontal="right" vertical="center" wrapText="1"/>
      <protection/>
    </xf>
    <xf numFmtId="2" fontId="19" fillId="0" borderId="0" xfId="0" applyNumberFormat="1" applyFont="1" applyAlignment="1">
      <alignment vertical="center" wrapText="1"/>
    </xf>
    <xf numFmtId="4" fontId="19" fillId="0" borderId="12" xfId="0" applyNumberFormat="1" applyFont="1" applyBorder="1" applyAlignment="1">
      <alignment horizontal="right" vertical="center" wrapText="1"/>
    </xf>
    <xf numFmtId="0" fontId="19" fillId="0" borderId="0" xfId="0" applyFont="1" applyFill="1" applyAlignment="1">
      <alignment horizontal="left" vertical="center" wrapText="1"/>
    </xf>
    <xf numFmtId="0" fontId="19" fillId="0" borderId="0" xfId="0" applyFont="1" applyFill="1" applyAlignment="1">
      <alignment horizontal="center" vertical="center" wrapText="1"/>
    </xf>
    <xf numFmtId="2" fontId="19" fillId="0" borderId="10" xfId="0" applyNumberFormat="1" applyFont="1" applyFill="1" applyBorder="1" applyAlignment="1" quotePrefix="1">
      <alignment horizontal="left" vertical="center" wrapText="1"/>
    </xf>
    <xf numFmtId="49" fontId="19" fillId="33" borderId="10" xfId="0" applyNumberFormat="1" applyFont="1" applyFill="1" applyBorder="1" applyAlignment="1">
      <alignment horizontal="center" vertical="center" wrapText="1"/>
    </xf>
    <xf numFmtId="3" fontId="19" fillId="0" borderId="13" xfId="0" applyNumberFormat="1" applyFont="1" applyFill="1" applyBorder="1" applyAlignment="1" applyProtection="1">
      <alignment horizontal="center" vertical="center" wrapText="1"/>
      <protection/>
    </xf>
    <xf numFmtId="2" fontId="27" fillId="0" borderId="10" xfId="0" applyNumberFormat="1" applyFont="1" applyFill="1" applyBorder="1" applyAlignment="1" quotePrefix="1">
      <alignment horizontal="right" vertical="center" wrapText="1"/>
    </xf>
    <xf numFmtId="2" fontId="19" fillId="0" borderId="10" xfId="0" applyNumberFormat="1" applyFont="1" applyFill="1" applyBorder="1" applyAlignment="1" quotePrefix="1">
      <alignment horizontal="right" vertical="center" wrapText="1"/>
    </xf>
    <xf numFmtId="2" fontId="27" fillId="0" borderId="10" xfId="0" applyNumberFormat="1" applyFont="1" applyFill="1" applyBorder="1" applyAlignment="1" applyProtection="1">
      <alignment horizontal="right" vertical="center" wrapText="1"/>
      <protection/>
    </xf>
    <xf numFmtId="2" fontId="19" fillId="0" borderId="10" xfId="0" applyNumberFormat="1" applyFont="1" applyFill="1" applyBorder="1" applyAlignment="1">
      <alignment vertical="center" wrapText="1"/>
    </xf>
    <xf numFmtId="2" fontId="19" fillId="0" borderId="10" xfId="0" applyNumberFormat="1" applyFont="1" applyFill="1" applyBorder="1" applyAlignment="1" applyProtection="1">
      <alignment horizontal="right" vertical="center" wrapText="1"/>
      <protection/>
    </xf>
    <xf numFmtId="4" fontId="27" fillId="33" borderId="10" xfId="0" applyNumberFormat="1" applyFont="1" applyFill="1" applyBorder="1" applyAlignment="1">
      <alignment horizontal="right" vertical="center" wrapText="1"/>
    </xf>
    <xf numFmtId="4" fontId="19" fillId="4" borderId="10" xfId="0" applyNumberFormat="1" applyFont="1" applyFill="1" applyBorder="1" applyAlignment="1" quotePrefix="1">
      <alignment horizontal="right" vertical="center" wrapText="1"/>
    </xf>
    <xf numFmtId="4" fontId="27" fillId="0" borderId="13" xfId="0" applyNumberFormat="1" applyFont="1" applyBorder="1" applyAlignment="1">
      <alignment horizontal="right" vertical="center" wrapText="1"/>
    </xf>
    <xf numFmtId="0" fontId="19" fillId="4" borderId="10" xfId="0" applyFont="1" applyFill="1" applyBorder="1" applyAlignment="1" quotePrefix="1">
      <alignment horizontal="center" vertical="center" wrapText="1"/>
    </xf>
    <xf numFmtId="3" fontId="19" fillId="4" borderId="10" xfId="0" applyNumberFormat="1" applyFont="1" applyFill="1" applyBorder="1" applyAlignment="1" applyProtection="1">
      <alignment horizontal="center" vertical="center" wrapText="1"/>
      <protection/>
    </xf>
    <xf numFmtId="4" fontId="27" fillId="4" borderId="10" xfId="0" applyNumberFormat="1" applyFont="1" applyFill="1" applyBorder="1" applyAlignment="1" applyProtection="1">
      <alignment horizontal="right" vertical="center" wrapText="1"/>
      <protection/>
    </xf>
    <xf numFmtId="0" fontId="27" fillId="33" borderId="10" xfId="0" applyFont="1" applyFill="1" applyBorder="1" applyAlignment="1" quotePrefix="1">
      <alignment horizontal="center" vertical="center" wrapText="1"/>
    </xf>
    <xf numFmtId="4" fontId="27" fillId="34" borderId="10" xfId="0" applyNumberFormat="1" applyFont="1" applyFill="1" applyBorder="1" applyAlignment="1" applyProtection="1">
      <alignment horizontal="right" vertical="center" wrapText="1"/>
      <protection/>
    </xf>
    <xf numFmtId="49" fontId="27" fillId="0" borderId="10" xfId="0" applyNumberFormat="1" applyFont="1" applyFill="1" applyBorder="1" applyAlignment="1">
      <alignment horizontal="center" vertical="center" wrapText="1"/>
    </xf>
    <xf numFmtId="0" fontId="27" fillId="0" borderId="10" xfId="0" applyFont="1" applyFill="1" applyBorder="1" applyAlignment="1" quotePrefix="1">
      <alignment horizontal="center" vertical="center" wrapText="1"/>
    </xf>
    <xf numFmtId="49" fontId="27" fillId="0" borderId="10" xfId="0" applyNumberFormat="1" applyFont="1" applyFill="1" applyBorder="1" applyAlignment="1" quotePrefix="1">
      <alignment horizontal="center" vertical="center" wrapText="1"/>
    </xf>
    <xf numFmtId="2" fontId="27" fillId="0" borderId="10" xfId="0" applyNumberFormat="1" applyFont="1" applyFill="1" applyBorder="1" applyAlignment="1">
      <alignment vertical="center" wrapText="1"/>
    </xf>
    <xf numFmtId="0" fontId="19" fillId="0" borderId="10" xfId="0" applyFont="1" applyBorder="1" applyAlignment="1">
      <alignment vertical="center" wrapText="1"/>
    </xf>
    <xf numFmtId="4" fontId="27" fillId="32" borderId="12" xfId="0" applyNumberFormat="1" applyFont="1" applyFill="1" applyBorder="1" applyAlignment="1" quotePrefix="1">
      <alignment horizontal="right" vertical="center" wrapText="1"/>
    </xf>
    <xf numFmtId="3" fontId="19" fillId="35" borderId="10" xfId="0" applyNumberFormat="1" applyFont="1" applyFill="1" applyBorder="1" applyAlignment="1" applyProtection="1">
      <alignment horizontal="center" vertical="center" wrapText="1"/>
      <protection/>
    </xf>
    <xf numFmtId="49" fontId="29" fillId="0" borderId="10" xfId="0" applyNumberFormat="1" applyFont="1" applyBorder="1" applyAlignment="1" quotePrefix="1">
      <alignment horizontal="center" vertical="center" wrapText="1"/>
    </xf>
    <xf numFmtId="49" fontId="29" fillId="0" borderId="10" xfId="0" applyNumberFormat="1" applyFont="1" applyBorder="1" applyAlignment="1">
      <alignment horizontal="center" vertical="center" wrapText="1"/>
    </xf>
    <xf numFmtId="2" fontId="29" fillId="0" borderId="10" xfId="0" applyNumberFormat="1" applyFont="1" applyFill="1" applyBorder="1" applyAlignment="1">
      <alignment horizontal="center" vertical="center" wrapText="1"/>
    </xf>
    <xf numFmtId="4" fontId="29" fillId="0" borderId="0" xfId="0" applyNumberFormat="1" applyFont="1" applyAlignment="1">
      <alignment vertical="center" wrapText="1"/>
    </xf>
    <xf numFmtId="4" fontId="19" fillId="32" borderId="10" xfId="0" applyNumberFormat="1" applyFont="1" applyFill="1" applyBorder="1" applyAlignment="1" applyProtection="1">
      <alignment horizontal="right" vertical="center" wrapText="1"/>
      <protection/>
    </xf>
    <xf numFmtId="49" fontId="31" fillId="35" borderId="10" xfId="0" applyNumberFormat="1" applyFont="1" applyFill="1" applyBorder="1" applyAlignment="1">
      <alignment horizontal="center" vertical="center" wrapText="1"/>
    </xf>
    <xf numFmtId="3" fontId="19" fillId="35" borderId="10" xfId="49" applyNumberFormat="1" applyFont="1" applyFill="1" applyBorder="1" applyAlignment="1">
      <alignment horizontal="center" vertical="center" wrapText="1"/>
      <protection/>
    </xf>
    <xf numFmtId="3" fontId="19" fillId="32" borderId="10" xfId="49" applyNumberFormat="1" applyFont="1" applyFill="1" applyBorder="1" applyAlignment="1">
      <alignment horizontal="center" vertical="center" wrapText="1"/>
      <protection/>
    </xf>
    <xf numFmtId="0" fontId="19" fillId="0" borderId="10" xfId="0" applyFont="1" applyBorder="1" applyAlignment="1" quotePrefix="1">
      <alignment horizontal="left" vertical="center" wrapText="1"/>
    </xf>
    <xf numFmtId="0" fontId="19" fillId="36" borderId="0" xfId="0" applyFont="1" applyFill="1" applyAlignment="1">
      <alignment vertical="center" wrapText="1"/>
    </xf>
    <xf numFmtId="3" fontId="19" fillId="32" borderId="14" xfId="49" applyNumberFormat="1" applyFont="1" applyFill="1" applyBorder="1" applyAlignment="1">
      <alignment horizontal="center" vertical="center" wrapText="1"/>
      <protection/>
    </xf>
    <xf numFmtId="4" fontId="19" fillId="0" borderId="13" xfId="0" applyNumberFormat="1" applyFont="1" applyFill="1" applyBorder="1" applyAlignment="1" applyProtection="1">
      <alignment horizontal="right" vertical="center" wrapText="1"/>
      <protection/>
    </xf>
    <xf numFmtId="0" fontId="19" fillId="35" borderId="0" xfId="0" applyFont="1" applyFill="1" applyAlignment="1">
      <alignment horizontal="center" vertical="center" wrapText="1"/>
    </xf>
    <xf numFmtId="4" fontId="19" fillId="0" borderId="10" xfId="0" applyNumberFormat="1" applyFont="1" applyBorder="1" applyAlignment="1">
      <alignment horizontal="center" vertical="center" wrapText="1"/>
    </xf>
    <xf numFmtId="1" fontId="19" fillId="0" borderId="10" xfId="0" applyNumberFormat="1" applyFont="1" applyFill="1" applyBorder="1" applyAlignment="1" quotePrefix="1">
      <alignment horizontal="center" vertical="center" wrapText="1"/>
    </xf>
    <xf numFmtId="4" fontId="19" fillId="0" borderId="10" xfId="0" applyNumberFormat="1" applyFont="1" applyFill="1" applyBorder="1" applyAlignment="1">
      <alignment horizontal="center" vertical="center" wrapText="1"/>
    </xf>
    <xf numFmtId="4" fontId="19" fillId="36" borderId="0" xfId="0" applyNumberFormat="1" applyFont="1" applyFill="1" applyAlignment="1">
      <alignmen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0" xfId="0" applyFont="1" applyAlignment="1">
      <alignment horizontal="left" vertical="center" wrapText="1"/>
    </xf>
    <xf numFmtId="4" fontId="27" fillId="0" borderId="0" xfId="0" applyNumberFormat="1" applyFont="1" applyAlignment="1">
      <alignment horizontal="right" vertical="center" wrapText="1"/>
    </xf>
    <xf numFmtId="4" fontId="19" fillId="0" borderId="0" xfId="0" applyNumberFormat="1" applyFont="1" applyAlignment="1">
      <alignment horizontal="right" vertical="center" wrapText="1"/>
    </xf>
    <xf numFmtId="49" fontId="19" fillId="35" borderId="10" xfId="0" applyNumberFormat="1" applyFont="1" applyFill="1" applyBorder="1" applyAlignment="1">
      <alignment horizontal="left" vertical="center" wrapText="1"/>
    </xf>
    <xf numFmtId="49" fontId="19" fillId="0" borderId="10" xfId="0" applyNumberFormat="1" applyFont="1" applyBorder="1" applyAlignment="1">
      <alignment horizontal="left" vertical="center" wrapText="1"/>
    </xf>
    <xf numFmtId="3" fontId="19" fillId="0" borderId="13" xfId="0" applyNumberFormat="1" applyFont="1" applyFill="1" applyBorder="1" applyAlignment="1" applyProtection="1">
      <alignment vertical="center" wrapText="1"/>
      <protection/>
    </xf>
    <xf numFmtId="3" fontId="19" fillId="35" borderId="12" xfId="49" applyNumberFormat="1" applyFont="1" applyFill="1" applyBorder="1" applyAlignment="1">
      <alignment horizontal="center" vertical="center" wrapText="1"/>
      <protection/>
    </xf>
    <xf numFmtId="4" fontId="27" fillId="35" borderId="12" xfId="49" applyNumberFormat="1" applyFont="1" applyFill="1" applyBorder="1" applyAlignment="1">
      <alignment horizontal="right" vertical="center" wrapText="1"/>
      <protection/>
    </xf>
    <xf numFmtId="4" fontId="19" fillId="35" borderId="12" xfId="49" applyNumberFormat="1" applyFont="1" applyFill="1" applyBorder="1" applyAlignment="1">
      <alignment horizontal="right" vertical="center" wrapText="1"/>
      <protection/>
    </xf>
    <xf numFmtId="0" fontId="29" fillId="35" borderId="0" xfId="0" applyFont="1" applyFill="1" applyAlignment="1">
      <alignment vertical="center" wrapText="1"/>
    </xf>
    <xf numFmtId="3" fontId="19" fillId="0" borderId="12" xfId="49" applyNumberFormat="1" applyFont="1" applyFill="1" applyBorder="1" applyAlignment="1">
      <alignment horizontal="center" vertical="center" wrapText="1"/>
      <protection/>
    </xf>
    <xf numFmtId="4" fontId="19" fillId="0" borderId="12" xfId="49" applyNumberFormat="1" applyFont="1" applyFill="1" applyBorder="1" applyAlignment="1">
      <alignment horizontal="right" vertical="center" wrapText="1"/>
      <protection/>
    </xf>
    <xf numFmtId="4" fontId="33" fillId="0" borderId="10" xfId="0" applyNumberFormat="1" applyFont="1" applyBorder="1" applyAlignment="1">
      <alignment horizontal="center" vertical="center" wrapText="1"/>
    </xf>
    <xf numFmtId="0" fontId="30" fillId="0" borderId="0" xfId="0" applyFont="1" applyAlignment="1">
      <alignment vertical="center" wrapText="1"/>
    </xf>
    <xf numFmtId="4" fontId="34" fillId="0" borderId="10" xfId="0" applyNumberFormat="1" applyFont="1" applyBorder="1" applyAlignment="1">
      <alignment horizontal="center" vertical="center" wrapText="1"/>
    </xf>
    <xf numFmtId="49" fontId="19" fillId="35" borderId="10" xfId="0" applyNumberFormat="1" applyFont="1" applyFill="1" applyBorder="1" applyAlignment="1" applyProtection="1">
      <alignment horizontal="center" vertical="center" wrapText="1"/>
      <protection/>
    </xf>
    <xf numFmtId="3" fontId="19" fillId="35" borderId="10" xfId="0" applyNumberFormat="1" applyFont="1" applyFill="1" applyBorder="1" applyAlignment="1" applyProtection="1">
      <alignment horizontal="left" vertical="center" wrapText="1"/>
      <protection/>
    </xf>
    <xf numFmtId="0" fontId="27" fillId="0" borderId="0" xfId="0" applyFont="1" applyFill="1" applyAlignment="1">
      <alignment vertical="center" wrapText="1"/>
    </xf>
    <xf numFmtId="49" fontId="19" fillId="0" borderId="10" xfId="0" applyNumberFormat="1" applyFont="1" applyFill="1" applyBorder="1" applyAlignment="1" applyProtection="1">
      <alignment horizontal="center" vertical="center" wrapText="1"/>
      <protection/>
    </xf>
    <xf numFmtId="2" fontId="19" fillId="0" borderId="12" xfId="0" applyNumberFormat="1" applyFont="1" applyFill="1" applyBorder="1" applyAlignment="1">
      <alignment horizontal="center" vertical="center" wrapText="1"/>
    </xf>
    <xf numFmtId="4" fontId="27" fillId="0" borderId="12" xfId="0" applyNumberFormat="1" applyFont="1" applyFill="1" applyBorder="1" applyAlignment="1" quotePrefix="1">
      <alignment horizontal="right" vertical="center" wrapText="1"/>
    </xf>
    <xf numFmtId="4" fontId="19" fillId="0" borderId="12" xfId="0" applyNumberFormat="1" applyFont="1" applyFill="1" applyBorder="1" applyAlignment="1" quotePrefix="1">
      <alignment horizontal="right" vertical="center" wrapText="1"/>
    </xf>
    <xf numFmtId="4" fontId="34" fillId="0" borderId="10" xfId="0" applyNumberFormat="1" applyFont="1" applyBorder="1" applyAlignment="1">
      <alignment vertical="center" wrapText="1"/>
    </xf>
    <xf numFmtId="2" fontId="27" fillId="33" borderId="10" xfId="0" applyNumberFormat="1" applyFont="1" applyFill="1" applyBorder="1" applyAlignment="1">
      <alignment horizontal="left" vertical="center" wrapText="1"/>
    </xf>
    <xf numFmtId="2" fontId="27" fillId="33" borderId="10" xfId="0" applyNumberFormat="1" applyFont="1" applyFill="1" applyBorder="1" applyAlignment="1">
      <alignment horizontal="center" vertical="center" wrapText="1"/>
    </xf>
    <xf numFmtId="4" fontId="27" fillId="34" borderId="10" xfId="0" applyNumberFormat="1" applyFont="1" applyFill="1" applyBorder="1" applyAlignment="1">
      <alignment horizontal="right" vertical="center" wrapText="1"/>
    </xf>
    <xf numFmtId="49" fontId="35" fillId="0" borderId="10" xfId="0" applyNumberFormat="1" applyFont="1" applyFill="1" applyBorder="1" applyAlignment="1" quotePrefix="1">
      <alignment horizontal="center" vertical="center" wrapText="1"/>
    </xf>
    <xf numFmtId="49" fontId="35" fillId="0" borderId="10" xfId="0" applyNumberFormat="1" applyFont="1" applyFill="1" applyBorder="1" applyAlignment="1">
      <alignment horizontal="center" vertical="center" wrapText="1"/>
    </xf>
    <xf numFmtId="2" fontId="35" fillId="0" borderId="10" xfId="0" applyNumberFormat="1" applyFont="1" applyBorder="1" applyAlignment="1">
      <alignment horizontal="left" vertical="center" wrapText="1"/>
    </xf>
    <xf numFmtId="3" fontId="35" fillId="0" borderId="10" xfId="0" applyNumberFormat="1" applyFont="1" applyFill="1" applyBorder="1" applyAlignment="1" applyProtection="1">
      <alignment horizontal="center" vertical="center" wrapText="1"/>
      <protection/>
    </xf>
    <xf numFmtId="4" fontId="36" fillId="0" borderId="10" xfId="0" applyNumberFormat="1" applyFont="1" applyFill="1" applyBorder="1" applyAlignment="1" applyProtection="1">
      <alignment horizontal="right" vertical="center" wrapText="1"/>
      <protection/>
    </xf>
    <xf numFmtId="4" fontId="35" fillId="0" borderId="10" xfId="0" applyNumberFormat="1" applyFont="1" applyFill="1" applyBorder="1" applyAlignment="1" applyProtection="1">
      <alignment horizontal="right" vertical="center" wrapText="1"/>
      <protection/>
    </xf>
    <xf numFmtId="4" fontId="35" fillId="0" borderId="10" xfId="0" applyNumberFormat="1" applyFont="1" applyFill="1" applyBorder="1" applyAlignment="1">
      <alignment horizontal="right" vertical="center" wrapText="1"/>
    </xf>
    <xf numFmtId="0" fontId="35" fillId="0" borderId="0" xfId="0" applyFont="1" applyAlignment="1">
      <alignment vertical="center" wrapText="1"/>
    </xf>
    <xf numFmtId="49" fontId="16" fillId="0" borderId="10" xfId="0" applyNumberFormat="1" applyFont="1" applyBorder="1" applyAlignment="1" quotePrefix="1">
      <alignment horizontal="center" vertical="center" wrapText="1"/>
    </xf>
    <xf numFmtId="2" fontId="16" fillId="32" borderId="10" xfId="0" applyNumberFormat="1" applyFont="1" applyFill="1" applyBorder="1" applyAlignment="1">
      <alignment horizontal="center" vertical="center" wrapText="1"/>
    </xf>
    <xf numFmtId="4" fontId="36" fillId="0" borderId="10" xfId="49" applyNumberFormat="1" applyFont="1" applyFill="1" applyBorder="1" applyAlignment="1">
      <alignment horizontal="right" vertical="center" wrapText="1"/>
      <protection/>
    </xf>
    <xf numFmtId="4" fontId="35" fillId="0" borderId="10" xfId="0" applyNumberFormat="1" applyFont="1" applyBorder="1" applyAlignment="1">
      <alignment horizontal="right" vertical="center" wrapText="1"/>
    </xf>
    <xf numFmtId="0" fontId="16" fillId="0" borderId="0" xfId="0" applyFont="1" applyAlignment="1">
      <alignment vertical="center" wrapText="1"/>
    </xf>
    <xf numFmtId="49" fontId="16" fillId="0" borderId="10" xfId="0" applyNumberFormat="1" applyFont="1" applyBorder="1" applyAlignment="1">
      <alignment horizontal="center" vertical="center" wrapText="1"/>
    </xf>
    <xf numFmtId="2" fontId="35" fillId="0" borderId="10" xfId="0" applyNumberFormat="1" applyFont="1" applyBorder="1" applyAlignment="1">
      <alignment vertical="center" wrapText="1"/>
    </xf>
    <xf numFmtId="3" fontId="16" fillId="0" borderId="10" xfId="0" applyNumberFormat="1" applyFont="1" applyFill="1" applyBorder="1" applyAlignment="1" applyProtection="1">
      <alignment horizontal="center" vertical="center" wrapText="1"/>
      <protection/>
    </xf>
    <xf numFmtId="49" fontId="35" fillId="0" borderId="10" xfId="0" applyNumberFormat="1" applyFont="1" applyBorder="1" applyAlignment="1" quotePrefix="1">
      <alignment horizontal="center" vertical="center" wrapText="1"/>
    </xf>
    <xf numFmtId="49" fontId="35" fillId="0" borderId="10" xfId="0" applyNumberFormat="1" applyFont="1" applyBorder="1" applyAlignment="1">
      <alignment horizontal="center" vertical="center" wrapText="1"/>
    </xf>
    <xf numFmtId="2" fontId="35" fillId="0" borderId="10" xfId="0" applyNumberFormat="1" applyFont="1" applyFill="1" applyBorder="1" applyAlignment="1">
      <alignment horizontal="center" vertical="center" wrapText="1"/>
    </xf>
    <xf numFmtId="4" fontId="35" fillId="0" borderId="0" xfId="0" applyNumberFormat="1" applyFont="1" applyAlignment="1">
      <alignment vertical="center" wrapText="1"/>
    </xf>
    <xf numFmtId="3" fontId="35" fillId="0" borderId="10" xfId="49" applyNumberFormat="1" applyFont="1" applyFill="1" applyBorder="1" applyAlignment="1">
      <alignment horizontal="left" vertical="center" wrapText="1"/>
      <protection/>
    </xf>
    <xf numFmtId="0" fontId="35" fillId="0" borderId="0" xfId="0" applyFont="1" applyFill="1" applyAlignment="1">
      <alignment vertical="center" wrapText="1"/>
    </xf>
    <xf numFmtId="4" fontId="34" fillId="0" borderId="10" xfId="0" applyNumberFormat="1" applyFont="1" applyBorder="1" applyAlignment="1">
      <alignment vertical="center" wrapText="1"/>
    </xf>
    <xf numFmtId="4" fontId="37" fillId="0" borderId="10" xfId="0" applyNumberFormat="1" applyFont="1" applyBorder="1" applyAlignment="1">
      <alignment vertical="center" wrapText="1"/>
    </xf>
    <xf numFmtId="4" fontId="37" fillId="33" borderId="10" xfId="0" applyNumberFormat="1" applyFont="1" applyFill="1" applyBorder="1" applyAlignment="1">
      <alignment vertical="center" wrapText="1"/>
    </xf>
    <xf numFmtId="204" fontId="38" fillId="0" borderId="0" xfId="0" applyNumberFormat="1" applyFont="1" applyAlignment="1">
      <alignment horizontal="center" vertical="center" wrapText="1"/>
    </xf>
    <xf numFmtId="204" fontId="33" fillId="0" borderId="10" xfId="0" applyNumberFormat="1" applyFont="1" applyBorder="1" applyAlignment="1">
      <alignment horizontal="center" vertical="center" wrapText="1"/>
    </xf>
    <xf numFmtId="204" fontId="39" fillId="0" borderId="0" xfId="0" applyNumberFormat="1" applyFont="1" applyAlignment="1">
      <alignment horizontal="center" vertical="center" wrapText="1"/>
    </xf>
    <xf numFmtId="204" fontId="34" fillId="0" borderId="0" xfId="0" applyNumberFormat="1" applyFont="1" applyAlignment="1">
      <alignment horizontal="center" vertical="center" wrapText="1"/>
    </xf>
    <xf numFmtId="204" fontId="40" fillId="0" borderId="0" xfId="0" applyNumberFormat="1" applyFont="1" applyAlignment="1">
      <alignment horizontal="center" vertical="center" wrapText="1"/>
    </xf>
    <xf numFmtId="204" fontId="41" fillId="0" borderId="0" xfId="0" applyNumberFormat="1" applyFont="1" applyFill="1" applyAlignment="1">
      <alignment horizontal="center" vertical="center" wrapText="1"/>
    </xf>
    <xf numFmtId="204" fontId="26" fillId="0" borderId="0" xfId="0" applyNumberFormat="1" applyFont="1" applyAlignment="1">
      <alignment horizontal="center" vertical="center" wrapText="1"/>
    </xf>
    <xf numFmtId="4" fontId="7" fillId="0" borderId="16" xfId="0" applyNumberFormat="1" applyFont="1" applyBorder="1" applyAlignment="1">
      <alignment horizontal="center" vertical="center" wrapText="1"/>
    </xf>
    <xf numFmtId="0" fontId="5" fillId="0" borderId="0" xfId="0" applyFont="1" applyBorder="1" applyAlignment="1">
      <alignment horizontal="center" wrapText="1"/>
    </xf>
    <xf numFmtId="0" fontId="42" fillId="0" borderId="0" xfId="0" applyFont="1" applyBorder="1" applyAlignment="1">
      <alignment horizontal="center" wrapText="1"/>
    </xf>
    <xf numFmtId="204" fontId="42" fillId="0" borderId="0" xfId="0" applyNumberFormat="1" applyFont="1" applyBorder="1" applyAlignment="1">
      <alignment horizontal="center" wrapText="1"/>
    </xf>
    <xf numFmtId="4" fontId="37" fillId="0" borderId="10" xfId="0" applyNumberFormat="1" applyFont="1" applyBorder="1" applyAlignment="1">
      <alignment horizontal="center" vertical="center" wrapText="1"/>
    </xf>
    <xf numFmtId="4" fontId="37" fillId="0" borderId="0" xfId="0" applyNumberFormat="1" applyFont="1" applyAlignment="1">
      <alignment horizontal="center" vertical="center" wrapText="1"/>
    </xf>
    <xf numFmtId="204" fontId="37" fillId="0" borderId="0" xfId="0" applyNumberFormat="1" applyFont="1" applyAlignment="1">
      <alignment horizontal="center" vertical="center" wrapText="1"/>
    </xf>
    <xf numFmtId="4" fontId="26" fillId="0" borderId="0" xfId="0" applyNumberFormat="1" applyFont="1" applyAlignment="1">
      <alignment horizontal="center" vertical="center" wrapText="1"/>
    </xf>
    <xf numFmtId="0" fontId="26" fillId="0" borderId="0" xfId="0" applyFont="1" applyAlignment="1">
      <alignment horizontal="center" vertical="center" wrapText="1"/>
    </xf>
    <xf numFmtId="204" fontId="19" fillId="0" borderId="0" xfId="0" applyNumberFormat="1" applyFont="1" applyAlignment="1">
      <alignment horizontal="center" vertical="center" wrapText="1"/>
    </xf>
    <xf numFmtId="4" fontId="28" fillId="0" borderId="0" xfId="0" applyNumberFormat="1" applyFont="1" applyFill="1" applyAlignment="1">
      <alignment vertical="center" wrapText="1"/>
    </xf>
    <xf numFmtId="0" fontId="28" fillId="0" borderId="0" xfId="0" applyFont="1" applyFill="1" applyAlignment="1">
      <alignment vertical="center" wrapText="1"/>
    </xf>
    <xf numFmtId="204" fontId="28" fillId="0" borderId="0" xfId="0" applyNumberFormat="1" applyFont="1" applyAlignment="1">
      <alignment horizontal="center" vertical="center" wrapText="1"/>
    </xf>
    <xf numFmtId="0" fontId="43" fillId="0" borderId="0" xfId="0" applyFont="1" applyAlignment="1">
      <alignment vertical="center" wrapText="1"/>
    </xf>
    <xf numFmtId="4" fontId="34" fillId="0" borderId="0" xfId="0" applyNumberFormat="1" applyFont="1" applyAlignment="1">
      <alignment vertical="center" wrapText="1"/>
    </xf>
    <xf numFmtId="0" fontId="34" fillId="0" borderId="0" xfId="0" applyFont="1" applyAlignment="1">
      <alignment vertical="center" wrapText="1"/>
    </xf>
    <xf numFmtId="4" fontId="34" fillId="32" borderId="0" xfId="0" applyNumberFormat="1" applyFont="1" applyFill="1" applyAlignment="1">
      <alignment vertical="center" wrapText="1"/>
    </xf>
    <xf numFmtId="0" fontId="34" fillId="32" borderId="0" xfId="0" applyFont="1" applyFill="1" applyAlignment="1">
      <alignment vertical="center" wrapText="1"/>
    </xf>
    <xf numFmtId="3" fontId="34" fillId="32" borderId="0" xfId="0" applyNumberFormat="1" applyFont="1" applyFill="1" applyAlignment="1">
      <alignment vertical="center" wrapText="1"/>
    </xf>
    <xf numFmtId="204" fontId="34" fillId="0" borderId="0" xfId="0" applyNumberFormat="1" applyFont="1" applyAlignment="1">
      <alignment horizontal="center" vertical="center" wrapText="1"/>
    </xf>
    <xf numFmtId="0" fontId="44" fillId="0" borderId="0" xfId="0" applyFont="1" applyAlignment="1">
      <alignment horizontal="center" vertical="center" wrapText="1"/>
    </xf>
    <xf numFmtId="4" fontId="44" fillId="0" borderId="0" xfId="0" applyNumberFormat="1" applyFont="1" applyAlignment="1">
      <alignment horizontal="right" vertical="center" wrapText="1"/>
    </xf>
    <xf numFmtId="4" fontId="34" fillId="0" borderId="10" xfId="0" applyNumberFormat="1" applyFont="1" applyFill="1" applyBorder="1" applyAlignment="1">
      <alignment vertical="center" wrapText="1"/>
    </xf>
    <xf numFmtId="4" fontId="34" fillId="0" borderId="10" xfId="0" applyNumberFormat="1" applyFont="1" applyFill="1" applyBorder="1" applyAlignment="1">
      <alignment horizontal="center" vertical="center" wrapText="1"/>
    </xf>
    <xf numFmtId="0" fontId="29" fillId="0" borderId="0" xfId="0" applyFont="1" applyFill="1" applyAlignment="1">
      <alignment vertical="center" wrapText="1"/>
    </xf>
    <xf numFmtId="204" fontId="34"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Fill="1" applyBorder="1" applyAlignment="1">
      <alignment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3" fontId="16" fillId="0" borderId="0" xfId="0" applyNumberFormat="1" applyFont="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2" fontId="4" fillId="0" borderId="0" xfId="0" applyNumberFormat="1" applyFont="1" applyFill="1" applyBorder="1" applyAlignment="1">
      <alignment horizontal="center" vertical="center" wrapText="1"/>
    </xf>
    <xf numFmtId="4" fontId="14" fillId="0" borderId="0" xfId="0" applyNumberFormat="1" applyFont="1" applyFill="1" applyAlignment="1">
      <alignment vertical="center" wrapText="1"/>
    </xf>
    <xf numFmtId="0" fontId="26" fillId="32" borderId="0" xfId="0" applyFont="1" applyFill="1" applyAlignment="1">
      <alignment vertical="center" wrapText="1"/>
    </xf>
    <xf numFmtId="4" fontId="26" fillId="32" borderId="0" xfId="0" applyNumberFormat="1" applyFont="1" applyFill="1" applyAlignment="1">
      <alignment vertical="center" wrapText="1"/>
    </xf>
    <xf numFmtId="4" fontId="2" fillId="0" borderId="0" xfId="0" applyNumberFormat="1" applyFont="1" applyAlignment="1">
      <alignment vertical="center" wrapText="1"/>
    </xf>
    <xf numFmtId="49" fontId="19" fillId="0" borderId="13" xfId="0" applyNumberFormat="1" applyFont="1" applyFill="1" applyBorder="1" applyAlignment="1">
      <alignment horizontal="center" vertical="center" wrapText="1"/>
    </xf>
    <xf numFmtId="4" fontId="28" fillId="0" borderId="10" xfId="0" applyNumberFormat="1" applyFont="1" applyFill="1" applyBorder="1" applyAlignment="1" applyProtection="1">
      <alignment horizontal="right" vertical="center" wrapText="1"/>
      <protection/>
    </xf>
    <xf numFmtId="4" fontId="19" fillId="0" borderId="12" xfId="0" applyNumberFormat="1" applyFont="1" applyFill="1" applyBorder="1" applyAlignment="1" applyProtection="1">
      <alignment horizontal="right" vertical="center" wrapText="1"/>
      <protection/>
    </xf>
    <xf numFmtId="0" fontId="19" fillId="0" borderId="10" xfId="0" applyFont="1" applyFill="1" applyBorder="1" applyAlignment="1">
      <alignment wrapText="1"/>
    </xf>
    <xf numFmtId="0" fontId="46"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49" fontId="19" fillId="0" borderId="13" xfId="0" applyNumberFormat="1" applyFont="1" applyFill="1" applyBorder="1" applyAlignment="1" quotePrefix="1">
      <alignment horizontal="center" vertical="center" wrapText="1"/>
    </xf>
    <xf numFmtId="2" fontId="19" fillId="0" borderId="18" xfId="0" applyNumberFormat="1" applyFont="1" applyFill="1" applyBorder="1" applyAlignment="1">
      <alignment horizontal="center" vertical="center" wrapText="1"/>
    </xf>
    <xf numFmtId="4" fontId="19" fillId="0" borderId="12" xfId="0" applyNumberFormat="1" applyFont="1" applyFill="1" applyBorder="1" applyAlignment="1">
      <alignment horizontal="right" vertical="center" wrapText="1"/>
    </xf>
    <xf numFmtId="204" fontId="34" fillId="0" borderId="0" xfId="0" applyNumberFormat="1" applyFont="1" applyFill="1" applyAlignment="1">
      <alignment horizontal="center" vertical="center" wrapText="1"/>
    </xf>
    <xf numFmtId="4" fontId="28" fillId="0" borderId="0" xfId="0" applyNumberFormat="1" applyFont="1" applyAlignment="1">
      <alignment vertical="center" wrapText="1"/>
    </xf>
    <xf numFmtId="204" fontId="28" fillId="0" borderId="0" xfId="0" applyNumberFormat="1" applyFont="1" applyAlignment="1">
      <alignment horizontal="center" vertical="center" wrapText="1"/>
    </xf>
    <xf numFmtId="0" fontId="28" fillId="0" borderId="0" xfId="0" applyFont="1" applyAlignment="1">
      <alignment vertical="center" wrapText="1"/>
    </xf>
    <xf numFmtId="2" fontId="19" fillId="0" borderId="14" xfId="0" applyNumberFormat="1" applyFont="1" applyBorder="1" applyAlignment="1">
      <alignment horizontal="left" vertical="center" wrapText="1"/>
    </xf>
    <xf numFmtId="4" fontId="13" fillId="0" borderId="0" xfId="0" applyNumberFormat="1" applyFont="1" applyAlignment="1">
      <alignment horizontal="center"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204" fontId="28" fillId="0" borderId="0" xfId="0" applyNumberFormat="1" applyFont="1" applyAlignment="1">
      <alignment horizontal="center" vertical="center" wrapText="1"/>
    </xf>
    <xf numFmtId="49" fontId="43" fillId="0" borderId="10" xfId="0" applyNumberFormat="1" applyFont="1" applyFill="1" applyBorder="1" applyAlignment="1" quotePrefix="1">
      <alignment horizontal="center" vertical="center" wrapText="1"/>
    </xf>
    <xf numFmtId="3" fontId="43" fillId="0" borderId="1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26" fillId="32" borderId="0" xfId="0" applyFont="1" applyFill="1" applyAlignment="1">
      <alignment vertical="center" wrapText="1"/>
    </xf>
    <xf numFmtId="4" fontId="35" fillId="32" borderId="10" xfId="0" applyNumberFormat="1" applyFont="1" applyFill="1" applyBorder="1" applyAlignment="1">
      <alignment horizontal="right" vertical="center" wrapText="1"/>
    </xf>
    <xf numFmtId="4" fontId="30" fillId="0" borderId="10" xfId="0" applyNumberFormat="1" applyFont="1" applyFill="1" applyBorder="1" applyAlignment="1">
      <alignment horizontal="right" vertical="center" wrapText="1"/>
    </xf>
    <xf numFmtId="0" fontId="28" fillId="0" borderId="0" xfId="0" applyFont="1" applyFill="1" applyBorder="1" applyAlignment="1">
      <alignment vertical="center" wrapText="1"/>
    </xf>
    <xf numFmtId="4" fontId="28" fillId="0" borderId="0" xfId="0" applyNumberFormat="1" applyFont="1" applyFill="1" applyAlignment="1">
      <alignment vertical="center" wrapText="1"/>
    </xf>
    <xf numFmtId="4" fontId="28" fillId="0" borderId="10" xfId="0" applyNumberFormat="1" applyFont="1" applyBorder="1" applyAlignment="1">
      <alignment horizontal="righ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vertical="center" wrapText="1"/>
    </xf>
    <xf numFmtId="4" fontId="28" fillId="0" borderId="0" xfId="0" applyNumberFormat="1" applyFont="1" applyAlignment="1">
      <alignment vertical="center" wrapText="1"/>
    </xf>
    <xf numFmtId="204" fontId="28" fillId="0" borderId="0" xfId="0" applyNumberFormat="1" applyFont="1" applyAlignment="1">
      <alignment horizontal="center" vertical="center" wrapText="1"/>
    </xf>
    <xf numFmtId="4" fontId="27" fillId="32" borderId="15" xfId="0" applyNumberFormat="1" applyFont="1" applyFill="1" applyBorder="1" applyAlignment="1">
      <alignment horizontal="right" vertical="center" wrapText="1"/>
    </xf>
    <xf numFmtId="4" fontId="19" fillId="32" borderId="14" xfId="0" applyNumberFormat="1" applyFont="1" applyFill="1" applyBorder="1" applyAlignment="1">
      <alignment horizontal="right" vertical="center" wrapText="1"/>
    </xf>
    <xf numFmtId="49" fontId="19" fillId="0" borderId="14"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14" xfId="0" applyNumberFormat="1" applyFont="1" applyBorder="1" applyAlignment="1" quotePrefix="1">
      <alignment horizontal="center" vertical="center" wrapText="1"/>
    </xf>
    <xf numFmtId="49" fontId="19" fillId="0" borderId="15" xfId="0" applyNumberFormat="1" applyFont="1" applyBorder="1" applyAlignment="1" quotePrefix="1">
      <alignment horizontal="center" vertical="center" wrapText="1"/>
    </xf>
    <xf numFmtId="49" fontId="19" fillId="0" borderId="13" xfId="0" applyNumberFormat="1" applyFont="1" applyBorder="1" applyAlignment="1" quotePrefix="1">
      <alignment horizontal="center" vertical="center" wrapText="1"/>
    </xf>
    <xf numFmtId="49" fontId="19" fillId="0" borderId="15" xfId="0" applyNumberFormat="1" applyFont="1" applyBorder="1" applyAlignment="1">
      <alignment horizontal="center" vertical="center" wrapText="1"/>
    </xf>
    <xf numFmtId="0" fontId="31" fillId="0" borderId="13" xfId="0" applyFont="1" applyBorder="1" applyAlignment="1">
      <alignment horizontal="center" vertical="center" wrapText="1"/>
    </xf>
    <xf numFmtId="49" fontId="31" fillId="0" borderId="15"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49" fontId="19" fillId="0" borderId="14" xfId="0" applyNumberFormat="1" applyFont="1" applyFill="1" applyBorder="1" applyAlignment="1" quotePrefix="1">
      <alignment horizontal="center" vertical="center" wrapText="1"/>
    </xf>
    <xf numFmtId="49" fontId="19" fillId="0" borderId="15" xfId="0" applyNumberFormat="1" applyFont="1" applyFill="1" applyBorder="1" applyAlignment="1" quotePrefix="1">
      <alignment horizontal="center" vertical="center" wrapText="1"/>
    </xf>
    <xf numFmtId="0" fontId="31" fillId="0" borderId="13" xfId="0" applyFont="1" applyBorder="1" applyAlignment="1">
      <alignment vertical="center" wrapText="1"/>
    </xf>
    <xf numFmtId="49" fontId="19" fillId="0" borderId="14"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2" fontId="19" fillId="0" borderId="14" xfId="0" applyNumberFormat="1" applyFont="1" applyFill="1" applyBorder="1" applyAlignment="1" quotePrefix="1">
      <alignment horizontal="left" vertical="center" wrapText="1"/>
    </xf>
    <xf numFmtId="2" fontId="19" fillId="0" borderId="15" xfId="0" applyNumberFormat="1" applyFont="1" applyFill="1" applyBorder="1" applyAlignment="1" quotePrefix="1">
      <alignment horizontal="left" vertical="center" wrapText="1"/>
    </xf>
    <xf numFmtId="0" fontId="31" fillId="0" borderId="13" xfId="0" applyFont="1" applyBorder="1" applyAlignment="1">
      <alignment horizontal="left" vertical="center" wrapText="1"/>
    </xf>
    <xf numFmtId="49" fontId="19" fillId="0" borderId="10" xfId="0" applyNumberFormat="1" applyFont="1" applyBorder="1" applyAlignment="1" quotePrefix="1">
      <alignment horizontal="center" vertical="center" wrapText="1"/>
    </xf>
    <xf numFmtId="2" fontId="19" fillId="4" borderId="16" xfId="0" applyNumberFormat="1" applyFont="1" applyFill="1" applyBorder="1" applyAlignment="1" quotePrefix="1">
      <alignment horizontal="left" vertical="center" wrapText="1"/>
    </xf>
    <xf numFmtId="2" fontId="19" fillId="4" borderId="12" xfId="0" applyNumberFormat="1" applyFont="1" applyFill="1" applyBorder="1" applyAlignment="1" quotePrefix="1">
      <alignment horizontal="left" vertical="center" wrapText="1"/>
    </xf>
    <xf numFmtId="3" fontId="19" fillId="32" borderId="14" xfId="0" applyNumberFormat="1" applyFont="1" applyFill="1" applyBorder="1" applyAlignment="1">
      <alignment horizontal="center" vertical="center" wrapText="1"/>
    </xf>
    <xf numFmtId="3" fontId="19" fillId="32" borderId="15" xfId="0" applyNumberFormat="1" applyFont="1" applyFill="1" applyBorder="1" applyAlignment="1">
      <alignment horizontal="center" vertical="center" wrapText="1"/>
    </xf>
    <xf numFmtId="3" fontId="19" fillId="32" borderId="13" xfId="0" applyNumberFormat="1" applyFont="1" applyFill="1" applyBorder="1" applyAlignment="1">
      <alignment horizontal="center" vertical="center" wrapText="1"/>
    </xf>
    <xf numFmtId="3" fontId="19" fillId="0" borderId="14" xfId="0" applyNumberFormat="1" applyFont="1" applyFill="1" applyBorder="1" applyAlignment="1" applyProtection="1">
      <alignment horizontal="center" vertical="center" wrapText="1"/>
      <protection/>
    </xf>
    <xf numFmtId="2" fontId="19" fillId="0" borderId="14" xfId="0" applyNumberFormat="1" applyFont="1" applyFill="1" applyBorder="1" applyAlignment="1">
      <alignment horizontal="center" vertical="center" wrapText="1"/>
    </xf>
    <xf numFmtId="2" fontId="19" fillId="0" borderId="15" xfId="0" applyNumberFormat="1" applyFont="1" applyFill="1" applyBorder="1" applyAlignment="1">
      <alignment horizontal="center" vertical="center" wrapText="1"/>
    </xf>
    <xf numFmtId="2" fontId="19" fillId="0" borderId="13" xfId="0" applyNumberFormat="1" applyFont="1" applyFill="1" applyBorder="1" applyAlignment="1">
      <alignment horizontal="center" vertical="center" wrapText="1"/>
    </xf>
    <xf numFmtId="2" fontId="19" fillId="0" borderId="14" xfId="0" applyNumberFormat="1" applyFont="1" applyBorder="1" applyAlignment="1">
      <alignment horizontal="left" vertical="center" wrapText="1"/>
    </xf>
    <xf numFmtId="2" fontId="19" fillId="0" borderId="15" xfId="0" applyNumberFormat="1" applyFont="1" applyBorder="1" applyAlignment="1">
      <alignment horizontal="left" vertical="center" wrapText="1"/>
    </xf>
    <xf numFmtId="2" fontId="19" fillId="0" borderId="13" xfId="0" applyNumberFormat="1" applyFont="1" applyBorder="1" applyAlignment="1">
      <alignment horizontal="left" vertical="center" wrapText="1"/>
    </xf>
    <xf numFmtId="3" fontId="19" fillId="32" borderId="14" xfId="0" applyNumberFormat="1" applyFont="1" applyFill="1" applyBorder="1" applyAlignment="1" applyProtection="1">
      <alignment horizontal="center" vertical="center" wrapText="1"/>
      <protection/>
    </xf>
    <xf numFmtId="0" fontId="31" fillId="32" borderId="13" xfId="0" applyFont="1" applyFill="1" applyBorder="1" applyAlignment="1">
      <alignment horizontal="center" vertical="center" wrapText="1"/>
    </xf>
    <xf numFmtId="2" fontId="19" fillId="0" borderId="14" xfId="0" applyNumberFormat="1" applyFont="1" applyBorder="1" applyAlignment="1">
      <alignment horizontal="center" vertical="center" wrapText="1"/>
    </xf>
    <xf numFmtId="2" fontId="19" fillId="0" borderId="15" xfId="0" applyNumberFormat="1" applyFont="1" applyBorder="1" applyAlignment="1">
      <alignment horizontal="center" vertical="center" wrapText="1"/>
    </xf>
    <xf numFmtId="2" fontId="19" fillId="0" borderId="13" xfId="0" applyNumberFormat="1" applyFont="1" applyBorder="1" applyAlignment="1">
      <alignment horizontal="center" vertical="center" wrapText="1"/>
    </xf>
    <xf numFmtId="3" fontId="19" fillId="0" borderId="14"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2" fontId="27" fillId="33" borderId="16" xfId="0" applyNumberFormat="1" applyFont="1" applyFill="1" applyBorder="1" applyAlignment="1" quotePrefix="1">
      <alignment horizontal="left" vertical="center" wrapText="1"/>
    </xf>
    <xf numFmtId="2" fontId="27" fillId="33" borderId="12" xfId="0" applyNumberFormat="1" applyFont="1" applyFill="1" applyBorder="1" applyAlignment="1" quotePrefix="1">
      <alignment horizontal="left" vertical="center" wrapText="1"/>
    </xf>
    <xf numFmtId="3" fontId="19" fillId="0" borderId="14" xfId="49" applyNumberFormat="1" applyFont="1" applyFill="1" applyBorder="1" applyAlignment="1">
      <alignment horizontal="center" vertical="center" wrapText="1"/>
      <protection/>
    </xf>
    <xf numFmtId="3" fontId="19" fillId="0" borderId="13" xfId="49" applyNumberFormat="1" applyFont="1" applyFill="1" applyBorder="1" applyAlignment="1">
      <alignment horizontal="center" vertical="center" wrapText="1"/>
      <protection/>
    </xf>
    <xf numFmtId="0" fontId="27" fillId="33" borderId="16" xfId="0" applyFont="1" applyFill="1" applyBorder="1" applyAlignment="1">
      <alignment horizontal="left" vertical="center" wrapText="1"/>
    </xf>
    <xf numFmtId="0" fontId="27" fillId="33" borderId="12" xfId="0" applyFont="1" applyFill="1" applyBorder="1" applyAlignment="1">
      <alignment horizontal="left" vertical="center" wrapText="1"/>
    </xf>
    <xf numFmtId="3" fontId="19" fillId="0" borderId="13" xfId="0" applyNumberFormat="1" applyFont="1" applyFill="1" applyBorder="1" applyAlignment="1" applyProtection="1">
      <alignment horizontal="center" vertical="center" wrapText="1"/>
      <protection/>
    </xf>
    <xf numFmtId="2" fontId="19" fillId="0" borderId="17" xfId="0" applyNumberFormat="1" applyFont="1" applyBorder="1" applyAlignment="1">
      <alignment horizontal="left" vertical="center" wrapText="1"/>
    </xf>
    <xf numFmtId="2" fontId="19" fillId="0" borderId="19" xfId="0" applyNumberFormat="1" applyFont="1" applyBorder="1" applyAlignment="1">
      <alignment horizontal="left" vertical="center" wrapText="1"/>
    </xf>
    <xf numFmtId="2" fontId="19" fillId="0" borderId="14" xfId="0" applyNumberFormat="1" applyFont="1" applyBorder="1" applyAlignment="1" quotePrefix="1">
      <alignment horizontal="left" vertical="center" wrapText="1"/>
    </xf>
    <xf numFmtId="2" fontId="19" fillId="0" borderId="15" xfId="0" applyNumberFormat="1" applyFont="1" applyBorder="1" applyAlignment="1" quotePrefix="1">
      <alignment horizontal="left" vertical="center" wrapText="1"/>
    </xf>
    <xf numFmtId="2" fontId="19" fillId="0" borderId="13" xfId="0" applyNumberFormat="1" applyFont="1" applyBorder="1" applyAlignment="1" quotePrefix="1">
      <alignment horizontal="left" vertical="center" wrapText="1"/>
    </xf>
    <xf numFmtId="4" fontId="15" fillId="0" borderId="0" xfId="0" applyNumberFormat="1" applyFont="1" applyAlignment="1">
      <alignment horizontal="left" vertical="center" wrapText="1"/>
    </xf>
    <xf numFmtId="4" fontId="22" fillId="0" borderId="0" xfId="0" applyNumberFormat="1" applyFont="1" applyAlignment="1">
      <alignment horizontal="left"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2" fontId="19" fillId="32" borderId="10" xfId="0" applyNumberFormat="1" applyFont="1" applyFill="1" applyBorder="1" applyAlignment="1">
      <alignment horizontal="center" vertical="center" wrapText="1"/>
    </xf>
    <xf numFmtId="2" fontId="19" fillId="32" borderId="10" xfId="0" applyNumberFormat="1" applyFont="1" applyFill="1" applyBorder="1" applyAlignment="1" quotePrefix="1">
      <alignment horizontal="center" vertical="center" wrapText="1"/>
    </xf>
    <xf numFmtId="3" fontId="19" fillId="0" borderId="15" xfId="0" applyNumberFormat="1" applyFont="1" applyFill="1" applyBorder="1" applyAlignment="1" applyProtection="1">
      <alignment horizontal="center" vertical="center" wrapText="1"/>
      <protection/>
    </xf>
    <xf numFmtId="2" fontId="27" fillId="33" borderId="16" xfId="0" applyNumberFormat="1" applyFont="1" applyFill="1" applyBorder="1" applyAlignment="1">
      <alignment horizontal="left" vertical="center" wrapText="1"/>
    </xf>
    <xf numFmtId="2" fontId="27" fillId="33" borderId="12" xfId="0" applyNumberFormat="1" applyFont="1" applyFill="1" applyBorder="1" applyAlignment="1">
      <alignment horizontal="left" vertical="center" wrapText="1"/>
    </xf>
    <xf numFmtId="2" fontId="19" fillId="4" borderId="16" xfId="0" applyNumberFormat="1" applyFont="1" applyFill="1" applyBorder="1" applyAlignment="1">
      <alignment horizontal="left" vertical="center" wrapText="1"/>
    </xf>
    <xf numFmtId="2" fontId="19" fillId="4" borderId="12" xfId="0" applyNumberFormat="1" applyFont="1" applyFill="1" applyBorder="1" applyAlignment="1">
      <alignment horizontal="left" vertical="center" wrapText="1"/>
    </xf>
    <xf numFmtId="4" fontId="15" fillId="0" borderId="0" xfId="0" applyNumberFormat="1" applyFont="1" applyAlignment="1">
      <alignment horizontal="right" vertical="center" wrapText="1"/>
    </xf>
    <xf numFmtId="0" fontId="17" fillId="0" borderId="0" xfId="0" applyFont="1" applyAlignment="1">
      <alignment horizontal="center" vertical="center" wrapText="1"/>
    </xf>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3" fontId="19" fillId="32" borderId="13" xfId="0" applyNumberFormat="1" applyFont="1" applyFill="1" applyBorder="1" applyAlignment="1" applyProtection="1">
      <alignment horizontal="center" vertical="center" wrapText="1"/>
      <protection/>
    </xf>
    <xf numFmtId="2" fontId="27" fillId="34" borderId="16" xfId="0" applyNumberFormat="1" applyFont="1" applyFill="1" applyBorder="1" applyAlignment="1">
      <alignment horizontal="left" vertical="center" wrapText="1"/>
    </xf>
    <xf numFmtId="2" fontId="27" fillId="34" borderId="12" xfId="0" applyNumberFormat="1"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4" fontId="7" fillId="0" borderId="17" xfId="0" applyNumberFormat="1" applyFont="1" applyBorder="1" applyAlignment="1">
      <alignment horizontal="center" vertical="center" wrapText="1"/>
    </xf>
    <xf numFmtId="4" fontId="7" fillId="0" borderId="18"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4" fontId="7" fillId="0" borderId="21" xfId="0" applyNumberFormat="1" applyFont="1" applyBorder="1" applyAlignment="1">
      <alignment horizontal="center" vertical="center" wrapText="1"/>
    </xf>
    <xf numFmtId="4" fontId="7" fillId="0" borderId="19"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7" fillId="0" borderId="15"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33" fillId="0" borderId="19" xfId="0" applyNumberFormat="1" applyFont="1" applyBorder="1" applyAlignment="1">
      <alignment horizontal="center" wrapText="1"/>
    </xf>
    <xf numFmtId="4" fontId="33" fillId="0" borderId="11" xfId="0" applyNumberFormat="1" applyFont="1" applyBorder="1" applyAlignment="1">
      <alignment horizontal="center" wrapText="1"/>
    </xf>
    <xf numFmtId="0" fontId="31" fillId="0" borderId="15" xfId="0" applyFont="1" applyBorder="1" applyAlignment="1">
      <alignment horizontal="center" vertical="center" wrapText="1"/>
    </xf>
    <xf numFmtId="4" fontId="19" fillId="0" borderId="20" xfId="0" applyNumberFormat="1" applyFont="1" applyBorder="1" applyAlignment="1">
      <alignment horizontal="center" vertical="center" wrapText="1"/>
    </xf>
    <xf numFmtId="0" fontId="19" fillId="0" borderId="20" xfId="0" applyFont="1" applyBorder="1" applyAlignment="1">
      <alignment horizontal="center" vertical="center" wrapText="1"/>
    </xf>
    <xf numFmtId="2" fontId="19" fillId="32" borderId="14" xfId="0" applyNumberFormat="1" applyFont="1" applyFill="1" applyBorder="1" applyAlignment="1">
      <alignment horizontal="center" vertical="center" wrapText="1"/>
    </xf>
    <xf numFmtId="2" fontId="19" fillId="32" borderId="13" xfId="0" applyNumberFormat="1"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4" fontId="15" fillId="0" borderId="0" xfId="0" applyNumberFormat="1" applyFont="1" applyFill="1" applyAlignment="1" applyProtection="1">
      <alignment horizontal="right" vertical="center" wrapText="1"/>
      <protection/>
    </xf>
    <xf numFmtId="4" fontId="0" fillId="0" borderId="0" xfId="0" applyNumberFormat="1" applyFont="1" applyAlignment="1">
      <alignment horizontal="right" vertical="center" wrapText="1"/>
    </xf>
    <xf numFmtId="0" fontId="15" fillId="0" borderId="0" xfId="0" applyNumberFormat="1" applyFont="1" applyFill="1" applyAlignment="1" applyProtection="1">
      <alignment horizontal="left" vertical="center" wrapText="1"/>
      <protection/>
    </xf>
    <xf numFmtId="0" fontId="10" fillId="0" borderId="0" xfId="0" applyFont="1" applyAlignment="1">
      <alignment horizontal="center" vertical="center" wrapText="1"/>
    </xf>
    <xf numFmtId="4" fontId="4" fillId="0" borderId="19"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16" fillId="0" borderId="0" xfId="0" applyNumberFormat="1" applyFont="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_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
    </sheetNames>
    <sheetDataSet>
      <sheetData sheetId="0">
        <row r="466">
          <cell r="K466">
            <v>438462742.44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3"/>
  <sheetViews>
    <sheetView tabSelected="1" view="pageBreakPreview" zoomScale="58" zoomScaleNormal="75" zoomScaleSheetLayoutView="58" zoomScalePageLayoutView="0" workbookViewId="0" topLeftCell="A10">
      <pane xSplit="3" ySplit="4" topLeftCell="D416" activePane="bottomRight" state="frozen"/>
      <selection pane="topLeft" activeCell="A10" sqref="A10"/>
      <selection pane="topRight" activeCell="D10" sqref="D10"/>
      <selection pane="bottomLeft" activeCell="A14" sqref="A14"/>
      <selection pane="bottomRight" activeCell="G416" sqref="G416"/>
    </sheetView>
  </sheetViews>
  <sheetFormatPr defaultColWidth="8.875" defaultRowHeight="12.75"/>
  <cols>
    <col min="1" max="1" width="16.25390625" style="17" customWidth="1"/>
    <col min="2" max="2" width="15.25390625" style="11" customWidth="1"/>
    <col min="3" max="3" width="12.25390625" style="11" customWidth="1"/>
    <col min="4" max="4" width="38.25390625" style="19" customWidth="1"/>
    <col min="5" max="5" width="44.25390625" style="3" customWidth="1"/>
    <col min="6" max="6" width="22.875" style="3" customWidth="1"/>
    <col min="7" max="7" width="28.875" style="38" customWidth="1"/>
    <col min="8" max="8" width="28.75390625" style="39" customWidth="1"/>
    <col min="9" max="9" width="31.75390625" style="39" customWidth="1"/>
    <col min="10" max="10" width="29.875" style="39" customWidth="1"/>
    <col min="11" max="11" width="28.375" style="8" customWidth="1"/>
    <col min="12" max="12" width="32.375" style="8" customWidth="1"/>
    <col min="13" max="13" width="24.75390625" style="8" customWidth="1"/>
    <col min="14" max="14" width="26.25390625" style="313" customWidth="1"/>
    <col min="15" max="15" width="8.875" style="8" customWidth="1"/>
    <col min="16" max="16" width="33.00390625" style="8" customWidth="1"/>
    <col min="17" max="17" width="8.875" style="8" customWidth="1"/>
    <col min="18" max="18" width="24.375" style="8" bestFit="1" customWidth="1"/>
    <col min="19" max="16384" width="8.875" style="8" customWidth="1"/>
  </cols>
  <sheetData>
    <row r="1" spans="1:14" s="4" customFormat="1" ht="21" customHeight="1">
      <c r="A1" s="16"/>
      <c r="B1" s="10"/>
      <c r="C1" s="10"/>
      <c r="D1" s="18"/>
      <c r="E1" s="1"/>
      <c r="F1" s="1"/>
      <c r="G1" s="24"/>
      <c r="H1" s="25"/>
      <c r="I1" s="457"/>
      <c r="J1" s="457"/>
      <c r="N1" s="309"/>
    </row>
    <row r="2" spans="1:14" s="4" customFormat="1" ht="36" customHeight="1">
      <c r="A2" s="342"/>
      <c r="B2" s="343"/>
      <c r="C2" s="343"/>
      <c r="D2" s="344"/>
      <c r="E2" s="345"/>
      <c r="F2" s="345"/>
      <c r="G2" s="444" t="s">
        <v>324</v>
      </c>
      <c r="H2" s="444"/>
      <c r="I2" s="444"/>
      <c r="J2" s="444"/>
      <c r="N2" s="309"/>
    </row>
    <row r="3" spans="1:14" s="4" customFormat="1" ht="39.75" customHeight="1">
      <c r="A3" s="342"/>
      <c r="B3" s="343"/>
      <c r="C3" s="343"/>
      <c r="D3" s="344"/>
      <c r="E3" s="345"/>
      <c r="F3" s="345"/>
      <c r="G3" s="444" t="s">
        <v>41</v>
      </c>
      <c r="H3" s="444"/>
      <c r="I3" s="444"/>
      <c r="J3" s="444"/>
      <c r="N3" s="309"/>
    </row>
    <row r="4" spans="1:14" s="4" customFormat="1" ht="55.5" customHeight="1">
      <c r="A4" s="342"/>
      <c r="B4" s="343"/>
      <c r="C4" s="343"/>
      <c r="D4" s="344"/>
      <c r="E4" s="345"/>
      <c r="F4" s="345"/>
      <c r="G4" s="445" t="s">
        <v>704</v>
      </c>
      <c r="H4" s="445"/>
      <c r="I4" s="445"/>
      <c r="J4" s="445"/>
      <c r="N4" s="309"/>
    </row>
    <row r="5" spans="1:14" s="4" customFormat="1" ht="53.25" customHeight="1">
      <c r="A5" s="342"/>
      <c r="B5" s="343"/>
      <c r="C5" s="343"/>
      <c r="D5" s="344"/>
      <c r="E5" s="345"/>
      <c r="F5" s="345"/>
      <c r="G5" s="445" t="s">
        <v>434</v>
      </c>
      <c r="H5" s="445"/>
      <c r="I5" s="445"/>
      <c r="J5" s="445"/>
      <c r="N5" s="309"/>
    </row>
    <row r="6" spans="1:14" s="4" customFormat="1" ht="39" customHeight="1">
      <c r="A6" s="342"/>
      <c r="B6" s="343"/>
      <c r="C6" s="343"/>
      <c r="D6" s="344"/>
      <c r="E6" s="346"/>
      <c r="F6" s="346"/>
      <c r="G6" s="445" t="s">
        <v>417</v>
      </c>
      <c r="H6" s="445"/>
      <c r="I6" s="445"/>
      <c r="J6" s="445"/>
      <c r="N6" s="309"/>
    </row>
    <row r="7" spans="1:14" s="4" customFormat="1" ht="21" customHeight="1">
      <c r="A7" s="342"/>
      <c r="B7" s="343"/>
      <c r="C7" s="343"/>
      <c r="D7" s="344"/>
      <c r="E7" s="345"/>
      <c r="F7" s="345"/>
      <c r="G7" s="24"/>
      <c r="H7" s="25"/>
      <c r="I7" s="25"/>
      <c r="J7" s="25"/>
      <c r="N7" s="309"/>
    </row>
    <row r="8" spans="1:14" s="4" customFormat="1" ht="51.75" customHeight="1">
      <c r="A8" s="458" t="s">
        <v>755</v>
      </c>
      <c r="B8" s="458"/>
      <c r="C8" s="458"/>
      <c r="D8" s="458"/>
      <c r="E8" s="458"/>
      <c r="F8" s="458"/>
      <c r="G8" s="458"/>
      <c r="H8" s="458"/>
      <c r="I8" s="458"/>
      <c r="J8" s="458"/>
      <c r="N8" s="309"/>
    </row>
    <row r="9" spans="1:10" s="4" customFormat="1" ht="25.5" customHeight="1">
      <c r="A9" s="347"/>
      <c r="B9" s="348"/>
      <c r="C9" s="348"/>
      <c r="D9" s="349"/>
      <c r="E9" s="350"/>
      <c r="F9" s="350"/>
      <c r="G9" s="30"/>
      <c r="H9" s="31"/>
      <c r="I9" s="31"/>
      <c r="J9" s="31" t="s">
        <v>754</v>
      </c>
    </row>
    <row r="10" spans="1:14" s="5" customFormat="1" ht="15" customHeight="1">
      <c r="A10" s="459" t="s">
        <v>42</v>
      </c>
      <c r="B10" s="459" t="s">
        <v>43</v>
      </c>
      <c r="C10" s="459" t="s">
        <v>44</v>
      </c>
      <c r="D10" s="464" t="s">
        <v>756</v>
      </c>
      <c r="E10" s="446" t="s">
        <v>45</v>
      </c>
      <c r="F10" s="464" t="s">
        <v>82</v>
      </c>
      <c r="G10" s="472" t="s">
        <v>83</v>
      </c>
      <c r="H10" s="472" t="s">
        <v>60</v>
      </c>
      <c r="I10" s="466" t="s">
        <v>61</v>
      </c>
      <c r="J10" s="467"/>
      <c r="N10" s="307"/>
    </row>
    <row r="11" spans="1:10" s="5" customFormat="1" ht="15" customHeight="1">
      <c r="A11" s="460"/>
      <c r="B11" s="460"/>
      <c r="C11" s="460"/>
      <c r="D11" s="465"/>
      <c r="E11" s="447"/>
      <c r="F11" s="465"/>
      <c r="G11" s="473"/>
      <c r="H11" s="473"/>
      <c r="I11" s="468"/>
      <c r="J11" s="469"/>
    </row>
    <row r="12" spans="1:14" s="5" customFormat="1" ht="15" customHeight="1">
      <c r="A12" s="460"/>
      <c r="B12" s="460"/>
      <c r="C12" s="460"/>
      <c r="D12" s="465"/>
      <c r="E12" s="447"/>
      <c r="F12" s="465"/>
      <c r="G12" s="473"/>
      <c r="H12" s="473"/>
      <c r="I12" s="470"/>
      <c r="J12" s="471"/>
      <c r="N12" s="307"/>
    </row>
    <row r="13" spans="1:15" s="5" customFormat="1" ht="123" customHeight="1">
      <c r="A13" s="460"/>
      <c r="B13" s="460"/>
      <c r="C13" s="460"/>
      <c r="D13" s="446"/>
      <c r="E13" s="447"/>
      <c r="F13" s="446"/>
      <c r="G13" s="474"/>
      <c r="H13" s="474"/>
      <c r="I13" s="32" t="s">
        <v>84</v>
      </c>
      <c r="J13" s="314" t="s">
        <v>85</v>
      </c>
      <c r="K13" s="316" t="s">
        <v>532</v>
      </c>
      <c r="L13" s="316" t="s">
        <v>530</v>
      </c>
      <c r="M13" s="316" t="s">
        <v>531</v>
      </c>
      <c r="N13" s="317" t="s">
        <v>698</v>
      </c>
      <c r="O13" s="315"/>
    </row>
    <row r="14" spans="1:10" s="6" customFormat="1" ht="20.25" customHeight="1">
      <c r="A14" s="44">
        <v>1</v>
      </c>
      <c r="B14" s="44">
        <v>2</v>
      </c>
      <c r="C14" s="44">
        <v>3</v>
      </c>
      <c r="D14" s="33">
        <v>4</v>
      </c>
      <c r="E14" s="33">
        <v>5</v>
      </c>
      <c r="F14" s="33">
        <v>6</v>
      </c>
      <c r="G14" s="33">
        <v>7</v>
      </c>
      <c r="H14" s="33">
        <v>8</v>
      </c>
      <c r="I14" s="33">
        <v>9</v>
      </c>
      <c r="J14" s="33">
        <v>10</v>
      </c>
    </row>
    <row r="15" spans="1:14" s="15" customFormat="1" ht="143.25" customHeight="1">
      <c r="A15" s="45" t="s">
        <v>62</v>
      </c>
      <c r="B15" s="46"/>
      <c r="C15" s="46"/>
      <c r="D15" s="455" t="s">
        <v>666</v>
      </c>
      <c r="E15" s="456"/>
      <c r="F15" s="47" t="s">
        <v>284</v>
      </c>
      <c r="G15" s="48">
        <f>G16</f>
        <v>6990701</v>
      </c>
      <c r="H15" s="48">
        <f>H16</f>
        <v>6290701</v>
      </c>
      <c r="I15" s="48">
        <f>I16</f>
        <v>700000</v>
      </c>
      <c r="J15" s="48">
        <f>J16</f>
        <v>700000</v>
      </c>
      <c r="M15" s="49"/>
      <c r="N15" s="310"/>
    </row>
    <row r="16" spans="1:14" s="15" customFormat="1" ht="39" customHeight="1">
      <c r="A16" s="50" t="s">
        <v>63</v>
      </c>
      <c r="B16" s="51"/>
      <c r="C16" s="51"/>
      <c r="D16" s="453" t="s">
        <v>581</v>
      </c>
      <c r="E16" s="454"/>
      <c r="F16" s="52" t="s">
        <v>284</v>
      </c>
      <c r="G16" s="53">
        <f>G17+G18+G20+G21+G19</f>
        <v>6990701</v>
      </c>
      <c r="H16" s="53">
        <f>H17+H18+H20+H21+H19</f>
        <v>6290701</v>
      </c>
      <c r="I16" s="53">
        <f>I17+I18+I20+I21+I19</f>
        <v>700000</v>
      </c>
      <c r="J16" s="53">
        <f>J17+J18+J20+J21+J19</f>
        <v>700000</v>
      </c>
      <c r="K16" s="54">
        <f>H18+H19+H20+H21</f>
        <v>6290701</v>
      </c>
      <c r="L16" s="54">
        <f>I18+I19+I20+I21</f>
        <v>700000</v>
      </c>
      <c r="M16" s="54">
        <f>K16+L16</f>
        <v>6990701</v>
      </c>
      <c r="N16" s="310">
        <f>M16-G16</f>
        <v>0</v>
      </c>
    </row>
    <row r="17" spans="1:14" s="15" customFormat="1" ht="65.25" customHeight="1" hidden="1">
      <c r="A17" s="55" t="s">
        <v>266</v>
      </c>
      <c r="B17" s="56" t="s">
        <v>121</v>
      </c>
      <c r="C17" s="55" t="s">
        <v>65</v>
      </c>
      <c r="D17" s="57" t="s">
        <v>168</v>
      </c>
      <c r="E17" s="58" t="s">
        <v>650</v>
      </c>
      <c r="F17" s="58" t="s">
        <v>330</v>
      </c>
      <c r="G17" s="59">
        <f>SUM(H17+I17)</f>
        <v>0</v>
      </c>
      <c r="H17" s="60">
        <v>0</v>
      </c>
      <c r="I17" s="61"/>
      <c r="J17" s="61"/>
      <c r="M17" s="49"/>
      <c r="N17" s="310">
        <f>M17-G17</f>
        <v>0</v>
      </c>
    </row>
    <row r="18" spans="1:14" s="65" customFormat="1" ht="144" customHeight="1">
      <c r="A18" s="395" t="s">
        <v>180</v>
      </c>
      <c r="B18" s="395">
        <v>8410</v>
      </c>
      <c r="C18" s="395" t="s">
        <v>64</v>
      </c>
      <c r="D18" s="426" t="s">
        <v>181</v>
      </c>
      <c r="E18" s="63" t="s">
        <v>536</v>
      </c>
      <c r="F18" s="63" t="s">
        <v>367</v>
      </c>
      <c r="G18" s="59">
        <f>SUM(H18+I18)</f>
        <v>5376305</v>
      </c>
      <c r="H18" s="61">
        <f>5610300-233995</f>
        <v>5376305</v>
      </c>
      <c r="I18" s="61"/>
      <c r="J18" s="61"/>
      <c r="K18" s="64"/>
      <c r="M18" s="49"/>
      <c r="N18" s="310"/>
    </row>
    <row r="19" spans="1:14" s="65" customFormat="1" ht="90" customHeight="1">
      <c r="A19" s="397"/>
      <c r="B19" s="397"/>
      <c r="C19" s="397"/>
      <c r="D19" s="428"/>
      <c r="E19" s="62" t="s">
        <v>717</v>
      </c>
      <c r="F19" s="62" t="s">
        <v>401</v>
      </c>
      <c r="G19" s="59">
        <f>SUM(H19+I19)</f>
        <v>700000</v>
      </c>
      <c r="H19" s="61"/>
      <c r="I19" s="61">
        <f>500000+200000</f>
        <v>700000</v>
      </c>
      <c r="J19" s="66">
        <f>500000+200000</f>
        <v>700000</v>
      </c>
      <c r="K19" s="64"/>
      <c r="M19" s="49"/>
      <c r="N19" s="310"/>
    </row>
    <row r="20" spans="1:14" s="15" customFormat="1" ht="92.25" customHeight="1">
      <c r="A20" s="55" t="s">
        <v>266</v>
      </c>
      <c r="B20" s="56" t="s">
        <v>121</v>
      </c>
      <c r="C20" s="55" t="s">
        <v>65</v>
      </c>
      <c r="D20" s="57" t="s">
        <v>166</v>
      </c>
      <c r="E20" s="434" t="s">
        <v>267</v>
      </c>
      <c r="F20" s="434" t="s">
        <v>331</v>
      </c>
      <c r="G20" s="59">
        <f>SUM(H20+I20)</f>
        <v>686600</v>
      </c>
      <c r="H20" s="60">
        <f>368600+95000+281000-90000+20000+50000-38000</f>
        <v>686600</v>
      </c>
      <c r="I20" s="61"/>
      <c r="J20" s="61"/>
      <c r="M20" s="49"/>
      <c r="N20" s="310"/>
    </row>
    <row r="21" spans="1:14" s="15" customFormat="1" ht="114.75" customHeight="1">
      <c r="A21" s="56" t="s">
        <v>662</v>
      </c>
      <c r="B21" s="56" t="s">
        <v>661</v>
      </c>
      <c r="C21" s="56" t="s">
        <v>92</v>
      </c>
      <c r="D21" s="57" t="s">
        <v>663</v>
      </c>
      <c r="E21" s="435"/>
      <c r="F21" s="435"/>
      <c r="G21" s="59">
        <f>SUM(H21+I21)</f>
        <v>227796</v>
      </c>
      <c r="H21" s="68">
        <f>156000+71796</f>
        <v>227796</v>
      </c>
      <c r="I21" s="61"/>
      <c r="J21" s="61"/>
      <c r="M21" s="49"/>
      <c r="N21" s="310"/>
    </row>
    <row r="22" spans="1:14" s="15" customFormat="1" ht="116.25" customHeight="1">
      <c r="A22" s="69" t="s">
        <v>279</v>
      </c>
      <c r="B22" s="70"/>
      <c r="C22" s="70"/>
      <c r="D22" s="455" t="s">
        <v>648</v>
      </c>
      <c r="E22" s="456"/>
      <c r="F22" s="71" t="s">
        <v>284</v>
      </c>
      <c r="G22" s="72">
        <f aca="true" t="shared" si="0" ref="G22:J23">G23</f>
        <v>120000</v>
      </c>
      <c r="H22" s="72">
        <f t="shared" si="0"/>
        <v>120000</v>
      </c>
      <c r="I22" s="72">
        <f t="shared" si="0"/>
        <v>0</v>
      </c>
      <c r="J22" s="72">
        <f t="shared" si="0"/>
        <v>0</v>
      </c>
      <c r="M22" s="49"/>
      <c r="N22" s="310"/>
    </row>
    <row r="23" spans="1:14" s="73" customFormat="1" ht="51" customHeight="1">
      <c r="A23" s="51" t="s">
        <v>280</v>
      </c>
      <c r="B23" s="50"/>
      <c r="C23" s="50"/>
      <c r="D23" s="453" t="s">
        <v>647</v>
      </c>
      <c r="E23" s="454"/>
      <c r="F23" s="52" t="s">
        <v>284</v>
      </c>
      <c r="G23" s="53">
        <f>G24</f>
        <v>120000</v>
      </c>
      <c r="H23" s="53">
        <f t="shared" si="0"/>
        <v>120000</v>
      </c>
      <c r="I23" s="53">
        <f t="shared" si="0"/>
        <v>0</v>
      </c>
      <c r="J23" s="53">
        <f t="shared" si="0"/>
        <v>0</v>
      </c>
      <c r="K23" s="54">
        <f>H24</f>
        <v>120000</v>
      </c>
      <c r="L23" s="54">
        <f>I24</f>
        <v>0</v>
      </c>
      <c r="M23" s="54">
        <f>K23+L23</f>
        <v>120000</v>
      </c>
      <c r="N23" s="310">
        <f>M23-G23</f>
        <v>0</v>
      </c>
    </row>
    <row r="24" spans="1:14" s="15" customFormat="1" ht="120" customHeight="1">
      <c r="A24" s="56" t="s">
        <v>561</v>
      </c>
      <c r="B24" s="56" t="s">
        <v>121</v>
      </c>
      <c r="C24" s="56" t="s">
        <v>65</v>
      </c>
      <c r="D24" s="57" t="s">
        <v>166</v>
      </c>
      <c r="E24" s="58" t="s">
        <v>651</v>
      </c>
      <c r="F24" s="58" t="s">
        <v>332</v>
      </c>
      <c r="G24" s="74">
        <f>SUM(H24+I24)</f>
        <v>120000</v>
      </c>
      <c r="H24" s="60">
        <f>80000+40000</f>
        <v>120000</v>
      </c>
      <c r="I24" s="61"/>
      <c r="J24" s="61"/>
      <c r="L24" s="49"/>
      <c r="M24" s="49"/>
      <c r="N24" s="310"/>
    </row>
    <row r="25" spans="1:14" s="15" customFormat="1" ht="39" customHeight="1">
      <c r="A25" s="70" t="s">
        <v>182</v>
      </c>
      <c r="B25" s="69"/>
      <c r="C25" s="69"/>
      <c r="D25" s="412" t="s">
        <v>188</v>
      </c>
      <c r="E25" s="413"/>
      <c r="F25" s="75" t="s">
        <v>284</v>
      </c>
      <c r="G25" s="76">
        <f>G26</f>
        <v>128008072.2</v>
      </c>
      <c r="H25" s="76">
        <f>H26</f>
        <v>82534997.08</v>
      </c>
      <c r="I25" s="76">
        <f>I26</f>
        <v>45473075.120000005</v>
      </c>
      <c r="J25" s="76">
        <f>J26</f>
        <v>44773075.120000005</v>
      </c>
      <c r="M25" s="49"/>
      <c r="N25" s="310"/>
    </row>
    <row r="26" spans="1:14" s="73" customFormat="1" ht="42.75" customHeight="1">
      <c r="A26" s="50" t="s">
        <v>189</v>
      </c>
      <c r="B26" s="51"/>
      <c r="C26" s="51"/>
      <c r="D26" s="432" t="s">
        <v>69</v>
      </c>
      <c r="E26" s="433"/>
      <c r="F26" s="52" t="s">
        <v>284</v>
      </c>
      <c r="G26" s="77">
        <f>H26+I26</f>
        <v>128008072.2</v>
      </c>
      <c r="H26" s="78">
        <f>H27+H28+H30+H44+H47+H49+H50+H54+H55+H56+H57+H69+H73+H76+H77+H78+H79+H80+H82+H85+H86+H88+H89+H93+H98+H99+H100+H102+H103+H104+H105+H108+H109+H68+H71+H53+H84+H52</f>
        <v>82534997.08</v>
      </c>
      <c r="I26" s="78">
        <f>I27+I28+I30+I44+I47+I49+I50+I54+I55+I56+I57+I69+I73+I76+I77+I78+I79+I80+I82+I85+I86+I88+I89+I93+I98+I99+I100+I102+I103+I104+I105+I108+I109+I68+I71+I53+I84+I52</f>
        <v>45473075.120000005</v>
      </c>
      <c r="J26" s="78">
        <f>J27+J28+J30+J44+J47+J49+J50+J54+J55+J56+J57+J69+J73+J76+J77+J78+J79+J80+J82+J85+J86+J88+J89+J93+J98+J99+J100+J102+J103+J104+J105+J108+J109+J68+J71+J53+J84+J52</f>
        <v>44773075.120000005</v>
      </c>
      <c r="K26" s="336">
        <f>H27+H28+H30+H44+H49+H50+H52+H53+H54+H55+H56+H68+H69+H71+H73+H76+H77+H78+H79+H80+H82+H84+H85+H86+H88+H89+H93+H98+H100+H102+H103+H104+H105+H108+H109</f>
        <v>82534997.08</v>
      </c>
      <c r="L26" s="336">
        <f>I27+I28+I30+I44+I49+I50+I52+I53+I54+I55+I56+I68+I69+I71+I73+I76+I77+I78+I79+I80+I82+I84+I85+I86+I88+I89+I93+I98+I100+I102+I103+I104+I105+I108+I109</f>
        <v>45473075.120000005</v>
      </c>
      <c r="M26" s="337">
        <f>K26+L26</f>
        <v>128008072.2</v>
      </c>
      <c r="N26" s="310">
        <f>M26-G26</f>
        <v>0</v>
      </c>
    </row>
    <row r="27" spans="1:14" s="15" customFormat="1" ht="116.25" customHeight="1">
      <c r="A27" s="56" t="s">
        <v>275</v>
      </c>
      <c r="B27" s="56" t="s">
        <v>121</v>
      </c>
      <c r="C27" s="56" t="s">
        <v>65</v>
      </c>
      <c r="D27" s="57" t="s">
        <v>166</v>
      </c>
      <c r="E27" s="58" t="s">
        <v>267</v>
      </c>
      <c r="F27" s="58" t="s">
        <v>332</v>
      </c>
      <c r="G27" s="74">
        <f>SUM(H27+I27)</f>
        <v>385945</v>
      </c>
      <c r="H27" s="60">
        <f>271900+50000+40000+24045</f>
        <v>385945</v>
      </c>
      <c r="I27" s="61"/>
      <c r="J27" s="61"/>
      <c r="M27" s="49"/>
      <c r="N27" s="310"/>
    </row>
    <row r="28" spans="1:14" s="15" customFormat="1" ht="99" customHeight="1">
      <c r="A28" s="56" t="s">
        <v>241</v>
      </c>
      <c r="B28" s="55">
        <v>1010</v>
      </c>
      <c r="C28" s="55" t="s">
        <v>70</v>
      </c>
      <c r="D28" s="57" t="s">
        <v>244</v>
      </c>
      <c r="E28" s="426" t="s">
        <v>353</v>
      </c>
      <c r="F28" s="79" t="s">
        <v>428</v>
      </c>
      <c r="G28" s="74">
        <f>SUM(H28+I28)</f>
        <v>8160512.11</v>
      </c>
      <c r="H28" s="61">
        <f>886338.28+237292+6600+10150+48434.31+130605-74860-70+151798.06+20902.89+144990.04+55758+110000+27857.41+130499.88+10025+8273+7190.24+37600+3350+319081</f>
        <v>2271815.1100000003</v>
      </c>
      <c r="I28" s="61">
        <f>2974068+20450-6600-10150+6410+984500+74860+25000+81612+40920+60000+35000+9700+1500000+6727+20000+2+6200-2+60000</f>
        <v>5888697</v>
      </c>
      <c r="J28" s="66">
        <f>2974068+20450-6600-10150+6410+984500+74860+25000+81612+40920+60000+35000+9700+1500000+6727+20000+2+6200-2+60000</f>
        <v>5888697</v>
      </c>
      <c r="K28" s="49"/>
      <c r="M28" s="49"/>
      <c r="N28" s="310"/>
    </row>
    <row r="29" spans="1:14" s="15" customFormat="1" ht="129.75" customHeight="1">
      <c r="A29" s="56"/>
      <c r="B29" s="55"/>
      <c r="C29" s="55"/>
      <c r="D29" s="284" t="s">
        <v>184</v>
      </c>
      <c r="E29" s="427"/>
      <c r="F29" s="79" t="s">
        <v>428</v>
      </c>
      <c r="G29" s="292">
        <f aca="true" t="shared" si="1" ref="G29:G62">SUM(H29+I29)</f>
        <v>248804.89</v>
      </c>
      <c r="H29" s="293">
        <f>167629.89+3350</f>
        <v>170979.89</v>
      </c>
      <c r="I29" s="293">
        <v>77825</v>
      </c>
      <c r="J29" s="381">
        <v>77825</v>
      </c>
      <c r="K29" s="49"/>
      <c r="M29" s="49"/>
      <c r="N29" s="310"/>
    </row>
    <row r="30" spans="1:14" s="15" customFormat="1" ht="240.75" customHeight="1">
      <c r="A30" s="55" t="s">
        <v>242</v>
      </c>
      <c r="B30" s="55">
        <v>1020</v>
      </c>
      <c r="C30" s="55" t="s">
        <v>72</v>
      </c>
      <c r="D30" s="57" t="s">
        <v>245</v>
      </c>
      <c r="E30" s="427"/>
      <c r="F30" s="79" t="s">
        <v>427</v>
      </c>
      <c r="G30" s="74">
        <f t="shared" si="1"/>
        <v>37566536.41</v>
      </c>
      <c r="H30" s="61">
        <f>7220389+295000+605559.6+162083.13+22000+167360.4+94909.44+16000+147695+121941-73536+207554.02+280134.87+22015.13+95000+341174.08+74977.62+950000+20000+70054+11050</f>
        <v>10851361.289999997</v>
      </c>
      <c r="I30" s="61">
        <f>26560446.8+27744+38200+111010-628500-30000+56000+55000+37305-60000+27041.34+47850+317090+6385+85000+37397.98+10000-2+20000-2793</f>
        <v>26715175.12</v>
      </c>
      <c r="J30" s="61">
        <f>26560446.8+27744+38200+111010-628500-30000+56000+55000+37305-60000+27041.34+47850+317090+6385+85000+37397.98+10000-2+20000-2793</f>
        <v>26715175.12</v>
      </c>
      <c r="K30" s="49"/>
      <c r="M30" s="49"/>
      <c r="N30" s="310"/>
    </row>
    <row r="31" spans="1:14" s="294" customFormat="1" ht="99" customHeight="1">
      <c r="A31" s="290"/>
      <c r="B31" s="290"/>
      <c r="C31" s="290"/>
      <c r="D31" s="284" t="s">
        <v>38</v>
      </c>
      <c r="E31" s="427"/>
      <c r="F31" s="291" t="s">
        <v>428</v>
      </c>
      <c r="G31" s="292">
        <f t="shared" si="1"/>
        <v>86702.8</v>
      </c>
      <c r="H31" s="293"/>
      <c r="I31" s="293">
        <v>86702.8</v>
      </c>
      <c r="J31" s="293">
        <f>86702.8</f>
        <v>86702.8</v>
      </c>
      <c r="K31" s="9"/>
      <c r="M31" s="9"/>
      <c r="N31" s="310"/>
    </row>
    <row r="32" spans="1:14" s="15" customFormat="1" ht="1.5" customHeight="1" hidden="1">
      <c r="A32" s="55"/>
      <c r="B32" s="55"/>
      <c r="C32" s="55"/>
      <c r="D32" s="80" t="s">
        <v>0</v>
      </c>
      <c r="E32" s="427"/>
      <c r="F32" s="79"/>
      <c r="G32" s="81">
        <f t="shared" si="1"/>
        <v>0</v>
      </c>
      <c r="H32" s="82"/>
      <c r="I32" s="82"/>
      <c r="J32" s="82"/>
      <c r="K32" s="49"/>
      <c r="M32" s="49"/>
      <c r="N32" s="310"/>
    </row>
    <row r="33" spans="1:14" s="15" customFormat="1" ht="71.25" customHeight="1" hidden="1">
      <c r="A33" s="55"/>
      <c r="B33" s="55"/>
      <c r="C33" s="55"/>
      <c r="D33" s="80" t="s">
        <v>1</v>
      </c>
      <c r="E33" s="427"/>
      <c r="F33" s="79"/>
      <c r="G33" s="81">
        <f t="shared" si="1"/>
        <v>0</v>
      </c>
      <c r="H33" s="82"/>
      <c r="I33" s="82"/>
      <c r="J33" s="82"/>
      <c r="K33" s="49"/>
      <c r="M33" s="49"/>
      <c r="N33" s="310"/>
    </row>
    <row r="34" spans="1:14" s="15" customFormat="1" ht="0.75" customHeight="1" hidden="1">
      <c r="A34" s="55"/>
      <c r="B34" s="55"/>
      <c r="C34" s="55"/>
      <c r="D34" s="80" t="s">
        <v>2</v>
      </c>
      <c r="E34" s="427"/>
      <c r="F34" s="79"/>
      <c r="G34" s="81">
        <f t="shared" si="1"/>
        <v>0</v>
      </c>
      <c r="H34" s="82"/>
      <c r="I34" s="82"/>
      <c r="J34" s="82"/>
      <c r="K34" s="49"/>
      <c r="M34" s="49"/>
      <c r="N34" s="310"/>
    </row>
    <row r="35" spans="1:14" s="15" customFormat="1" ht="0.75" customHeight="1" hidden="1">
      <c r="A35" s="55"/>
      <c r="B35" s="55"/>
      <c r="C35" s="55"/>
      <c r="D35" s="80" t="s">
        <v>3</v>
      </c>
      <c r="E35" s="427"/>
      <c r="F35" s="79"/>
      <c r="G35" s="81">
        <f t="shared" si="1"/>
        <v>0</v>
      </c>
      <c r="H35" s="82"/>
      <c r="I35" s="82"/>
      <c r="J35" s="82"/>
      <c r="K35" s="49"/>
      <c r="M35" s="49"/>
      <c r="N35" s="310"/>
    </row>
    <row r="36" spans="1:14" s="15" customFormat="1" ht="0.75" customHeight="1" hidden="1">
      <c r="A36" s="55"/>
      <c r="B36" s="55"/>
      <c r="C36" s="55"/>
      <c r="D36" s="80" t="s">
        <v>4</v>
      </c>
      <c r="E36" s="427"/>
      <c r="F36" s="79"/>
      <c r="G36" s="81">
        <f t="shared" si="1"/>
        <v>0</v>
      </c>
      <c r="H36" s="82"/>
      <c r="I36" s="82"/>
      <c r="J36" s="82"/>
      <c r="K36" s="49"/>
      <c r="M36" s="49"/>
      <c r="N36" s="310"/>
    </row>
    <row r="37" spans="1:14" s="15" customFormat="1" ht="93" customHeight="1" hidden="1">
      <c r="A37" s="55"/>
      <c r="B37" s="55"/>
      <c r="C37" s="55"/>
      <c r="D37" s="80" t="s">
        <v>5</v>
      </c>
      <c r="E37" s="427"/>
      <c r="F37" s="79" t="s">
        <v>352</v>
      </c>
      <c r="G37" s="81">
        <f t="shared" si="1"/>
        <v>0</v>
      </c>
      <c r="H37" s="82"/>
      <c r="I37" s="82"/>
      <c r="J37" s="82"/>
      <c r="K37" s="49"/>
      <c r="M37" s="49"/>
      <c r="N37" s="310"/>
    </row>
    <row r="38" spans="1:14" s="15" customFormat="1" ht="108.75" customHeight="1" hidden="1">
      <c r="A38" s="55"/>
      <c r="B38" s="55"/>
      <c r="C38" s="55"/>
      <c r="D38" s="80" t="s">
        <v>118</v>
      </c>
      <c r="E38" s="427"/>
      <c r="F38" s="79"/>
      <c r="G38" s="81">
        <f t="shared" si="1"/>
        <v>0</v>
      </c>
      <c r="H38" s="82"/>
      <c r="I38" s="82"/>
      <c r="J38" s="82"/>
      <c r="K38" s="49"/>
      <c r="M38" s="49"/>
      <c r="N38" s="310"/>
    </row>
    <row r="39" spans="1:14" s="15" customFormat="1" ht="75" customHeight="1" hidden="1">
      <c r="A39" s="55" t="s">
        <v>243</v>
      </c>
      <c r="B39" s="55">
        <v>1040</v>
      </c>
      <c r="C39" s="55" t="s">
        <v>74</v>
      </c>
      <c r="D39" s="57" t="s">
        <v>246</v>
      </c>
      <c r="E39" s="427"/>
      <c r="F39" s="79"/>
      <c r="G39" s="81">
        <f t="shared" si="1"/>
        <v>0</v>
      </c>
      <c r="H39" s="82"/>
      <c r="I39" s="82"/>
      <c r="J39" s="82"/>
      <c r="K39" s="49"/>
      <c r="M39" s="49"/>
      <c r="N39" s="310"/>
    </row>
    <row r="40" spans="1:14" s="15" customFormat="1" ht="35.25" customHeight="1" hidden="1">
      <c r="A40" s="55"/>
      <c r="B40" s="55"/>
      <c r="C40" s="55"/>
      <c r="D40" s="57" t="s">
        <v>142</v>
      </c>
      <c r="E40" s="427"/>
      <c r="F40" s="79"/>
      <c r="G40" s="81">
        <f t="shared" si="1"/>
        <v>0</v>
      </c>
      <c r="H40" s="82"/>
      <c r="I40" s="82"/>
      <c r="J40" s="82"/>
      <c r="K40" s="49"/>
      <c r="M40" s="49"/>
      <c r="N40" s="310"/>
    </row>
    <row r="41" spans="1:14" s="294" customFormat="1" ht="115.5" customHeight="1">
      <c r="A41" s="290"/>
      <c r="B41" s="290"/>
      <c r="C41" s="290"/>
      <c r="D41" s="284" t="s">
        <v>21</v>
      </c>
      <c r="E41" s="427"/>
      <c r="F41" s="291" t="s">
        <v>428</v>
      </c>
      <c r="G41" s="292">
        <f t="shared" si="1"/>
        <v>10903753</v>
      </c>
      <c r="H41" s="293"/>
      <c r="I41" s="293">
        <v>10903753</v>
      </c>
      <c r="J41" s="293">
        <v>10903753</v>
      </c>
      <c r="K41" s="9"/>
      <c r="M41" s="9"/>
      <c r="N41" s="310"/>
    </row>
    <row r="42" spans="1:14" s="294" customFormat="1" ht="115.5" customHeight="1">
      <c r="A42" s="290"/>
      <c r="B42" s="290"/>
      <c r="C42" s="290"/>
      <c r="D42" s="284" t="s">
        <v>183</v>
      </c>
      <c r="E42" s="427"/>
      <c r="F42" s="291" t="s">
        <v>428</v>
      </c>
      <c r="G42" s="292">
        <f t="shared" si="1"/>
        <v>240050</v>
      </c>
      <c r="H42" s="293">
        <f>164000+11050</f>
        <v>175050</v>
      </c>
      <c r="I42" s="293">
        <v>65000</v>
      </c>
      <c r="J42" s="293">
        <v>65000</v>
      </c>
      <c r="K42" s="9"/>
      <c r="M42" s="9"/>
      <c r="N42" s="310"/>
    </row>
    <row r="43" spans="1:14" s="294" customFormat="1" ht="128.25" customHeight="1">
      <c r="A43" s="290"/>
      <c r="B43" s="290"/>
      <c r="C43" s="290"/>
      <c r="D43" s="284" t="s">
        <v>22</v>
      </c>
      <c r="E43" s="427"/>
      <c r="F43" s="291" t="s">
        <v>428</v>
      </c>
      <c r="G43" s="292">
        <f t="shared" si="1"/>
        <v>3725323</v>
      </c>
      <c r="H43" s="293">
        <v>2421460</v>
      </c>
      <c r="I43" s="293">
        <v>1303863</v>
      </c>
      <c r="J43" s="293">
        <v>1303863</v>
      </c>
      <c r="K43" s="9"/>
      <c r="M43" s="9"/>
      <c r="N43" s="310"/>
    </row>
    <row r="44" spans="1:14" s="15" customFormat="1" ht="129.75" customHeight="1">
      <c r="A44" s="55" t="s">
        <v>247</v>
      </c>
      <c r="B44" s="55">
        <v>1090</v>
      </c>
      <c r="C44" s="55" t="s">
        <v>75</v>
      </c>
      <c r="D44" s="57" t="s">
        <v>248</v>
      </c>
      <c r="E44" s="427"/>
      <c r="F44" s="79" t="s">
        <v>428</v>
      </c>
      <c r="G44" s="74">
        <f t="shared" si="1"/>
        <v>130600.59999999999</v>
      </c>
      <c r="H44" s="61">
        <f>27818.02+36946.18+19151+7799.4+3466</f>
        <v>95180.59999999999</v>
      </c>
      <c r="I44" s="61">
        <f>9907+25513</f>
        <v>35420</v>
      </c>
      <c r="J44" s="66">
        <f>9907+25513</f>
        <v>35420</v>
      </c>
      <c r="K44" s="49"/>
      <c r="M44" s="49"/>
      <c r="N44" s="310"/>
    </row>
    <row r="45" spans="1:14" s="15" customFormat="1" ht="0.75" customHeight="1" hidden="1">
      <c r="A45" s="55"/>
      <c r="B45" s="55"/>
      <c r="C45" s="55"/>
      <c r="D45" s="80" t="s">
        <v>766</v>
      </c>
      <c r="E45" s="427"/>
      <c r="F45" s="79" t="s">
        <v>386</v>
      </c>
      <c r="G45" s="74">
        <f t="shared" si="1"/>
        <v>0</v>
      </c>
      <c r="H45" s="61"/>
      <c r="I45" s="83"/>
      <c r="J45" s="83"/>
      <c r="K45" s="49"/>
      <c r="M45" s="49"/>
      <c r="N45" s="310"/>
    </row>
    <row r="46" spans="1:14" s="89" customFormat="1" ht="33" customHeight="1" hidden="1">
      <c r="A46" s="84" t="s">
        <v>381</v>
      </c>
      <c r="B46" s="85" t="s">
        <v>382</v>
      </c>
      <c r="C46" s="84" t="s">
        <v>76</v>
      </c>
      <c r="D46" s="86" t="s">
        <v>383</v>
      </c>
      <c r="E46" s="427"/>
      <c r="F46" s="79"/>
      <c r="G46" s="87">
        <f>G47+G49</f>
        <v>554500</v>
      </c>
      <c r="H46" s="88">
        <f>H47+H49</f>
        <v>554500</v>
      </c>
      <c r="I46" s="88">
        <f>I47+I49</f>
        <v>0</v>
      </c>
      <c r="J46" s="88">
        <f>J47+J49</f>
        <v>0</v>
      </c>
      <c r="K46" s="49"/>
      <c r="M46" s="49"/>
      <c r="N46" s="310"/>
    </row>
    <row r="47" spans="1:14" s="15" customFormat="1" ht="49.5" customHeight="1" hidden="1">
      <c r="A47" s="56" t="s">
        <v>115</v>
      </c>
      <c r="B47" s="55">
        <v>1161</v>
      </c>
      <c r="C47" s="56" t="s">
        <v>76</v>
      </c>
      <c r="D47" s="57" t="s">
        <v>116</v>
      </c>
      <c r="E47" s="427"/>
      <c r="F47" s="79"/>
      <c r="G47" s="74">
        <f t="shared" si="1"/>
        <v>0</v>
      </c>
      <c r="H47" s="61"/>
      <c r="I47" s="61">
        <v>0</v>
      </c>
      <c r="J47" s="61">
        <v>0</v>
      </c>
      <c r="K47" s="49"/>
      <c r="M47" s="49"/>
      <c r="N47" s="310"/>
    </row>
    <row r="48" spans="1:14" s="15" customFormat="1" ht="30.75" customHeight="1" hidden="1">
      <c r="A48" s="56"/>
      <c r="B48" s="55"/>
      <c r="C48" s="56"/>
      <c r="D48" s="80" t="s">
        <v>117</v>
      </c>
      <c r="E48" s="427"/>
      <c r="F48" s="79"/>
      <c r="G48" s="74">
        <f t="shared" si="1"/>
        <v>0</v>
      </c>
      <c r="H48" s="61"/>
      <c r="I48" s="82"/>
      <c r="J48" s="82"/>
      <c r="K48" s="49"/>
      <c r="M48" s="49"/>
      <c r="N48" s="310"/>
    </row>
    <row r="49" spans="1:14" s="15" customFormat="1" ht="81" customHeight="1">
      <c r="A49" s="56" t="s">
        <v>686</v>
      </c>
      <c r="B49" s="56" t="s">
        <v>687</v>
      </c>
      <c r="C49" s="56" t="s">
        <v>76</v>
      </c>
      <c r="D49" s="57" t="s">
        <v>688</v>
      </c>
      <c r="E49" s="427"/>
      <c r="F49" s="79" t="s">
        <v>428</v>
      </c>
      <c r="G49" s="74">
        <f t="shared" si="1"/>
        <v>554500</v>
      </c>
      <c r="H49" s="61">
        <f>476700+77800</f>
        <v>554500</v>
      </c>
      <c r="I49" s="61"/>
      <c r="J49" s="61"/>
      <c r="K49" s="49"/>
      <c r="M49" s="49"/>
      <c r="N49" s="310"/>
    </row>
    <row r="50" spans="1:14" s="15" customFormat="1" ht="99.75" customHeight="1">
      <c r="A50" s="56" t="s">
        <v>23</v>
      </c>
      <c r="B50" s="56" t="s">
        <v>24</v>
      </c>
      <c r="C50" s="56" t="s">
        <v>76</v>
      </c>
      <c r="D50" s="57" t="s">
        <v>25</v>
      </c>
      <c r="E50" s="427"/>
      <c r="F50" s="79" t="s">
        <v>428</v>
      </c>
      <c r="G50" s="74">
        <f t="shared" si="1"/>
        <v>1554172.76</v>
      </c>
      <c r="H50" s="61">
        <f>200000+5999.76</f>
        <v>205999.76</v>
      </c>
      <c r="I50" s="61">
        <f>1158470+189703</f>
        <v>1348173</v>
      </c>
      <c r="J50" s="66">
        <f>1158470+189703</f>
        <v>1348173</v>
      </c>
      <c r="K50" s="49"/>
      <c r="M50" s="49"/>
      <c r="N50" s="310"/>
    </row>
    <row r="51" spans="1:14" s="15" customFormat="1" ht="140.25" customHeight="1">
      <c r="A51" s="56"/>
      <c r="B51" s="56"/>
      <c r="C51" s="56"/>
      <c r="D51" s="284" t="s">
        <v>185</v>
      </c>
      <c r="E51" s="428"/>
      <c r="F51" s="79" t="s">
        <v>428</v>
      </c>
      <c r="G51" s="292">
        <f t="shared" si="1"/>
        <v>200000</v>
      </c>
      <c r="H51" s="293">
        <v>200000</v>
      </c>
      <c r="I51" s="293"/>
      <c r="J51" s="381"/>
      <c r="K51" s="49"/>
      <c r="M51" s="49"/>
      <c r="N51" s="310"/>
    </row>
    <row r="52" spans="1:14" s="15" customFormat="1" ht="132" customHeight="1">
      <c r="A52" s="55" t="s">
        <v>247</v>
      </c>
      <c r="B52" s="55">
        <v>1090</v>
      </c>
      <c r="C52" s="55" t="s">
        <v>75</v>
      </c>
      <c r="D52" s="57" t="s">
        <v>248</v>
      </c>
      <c r="E52" s="424" t="s">
        <v>294</v>
      </c>
      <c r="F52" s="91" t="s">
        <v>421</v>
      </c>
      <c r="G52" s="74">
        <f t="shared" si="1"/>
        <v>184751</v>
      </c>
      <c r="H52" s="61">
        <v>184751</v>
      </c>
      <c r="I52" s="61">
        <v>0</v>
      </c>
      <c r="J52" s="66">
        <v>0</v>
      </c>
      <c r="K52" s="49"/>
      <c r="M52" s="49"/>
      <c r="N52" s="310"/>
    </row>
    <row r="53" spans="1:14" s="15" customFormat="1" ht="231" customHeight="1">
      <c r="A53" s="55" t="s">
        <v>242</v>
      </c>
      <c r="B53" s="55">
        <v>1020</v>
      </c>
      <c r="C53" s="55" t="s">
        <v>72</v>
      </c>
      <c r="D53" s="57" t="s">
        <v>245</v>
      </c>
      <c r="E53" s="461"/>
      <c r="F53" s="91" t="s">
        <v>421</v>
      </c>
      <c r="G53" s="74">
        <f t="shared" si="1"/>
        <v>795930</v>
      </c>
      <c r="H53" s="61">
        <f>59400+83500+21600+199980+20000+177500</f>
        <v>561980</v>
      </c>
      <c r="I53" s="61">
        <f>56550+177400</f>
        <v>233950</v>
      </c>
      <c r="J53" s="61">
        <f>56550+177400</f>
        <v>233950</v>
      </c>
      <c r="K53" s="49"/>
      <c r="M53" s="49"/>
      <c r="N53" s="310"/>
    </row>
    <row r="54" spans="1:14" s="15" customFormat="1" ht="225" customHeight="1">
      <c r="A54" s="55" t="s">
        <v>242</v>
      </c>
      <c r="B54" s="55">
        <v>1020</v>
      </c>
      <c r="C54" s="55" t="s">
        <v>72</v>
      </c>
      <c r="D54" s="57" t="s">
        <v>245</v>
      </c>
      <c r="E54" s="63" t="s">
        <v>354</v>
      </c>
      <c r="F54" s="63" t="s">
        <v>364</v>
      </c>
      <c r="G54" s="74">
        <f>SUM(H54+I54)</f>
        <v>811100</v>
      </c>
      <c r="H54" s="61">
        <f>271100+540000</f>
        <v>811100</v>
      </c>
      <c r="J54" s="61"/>
      <c r="K54" s="49"/>
      <c r="M54" s="49"/>
      <c r="N54" s="310"/>
    </row>
    <row r="55" spans="1:14" s="15" customFormat="1" ht="213" customHeight="1">
      <c r="A55" s="55" t="s">
        <v>242</v>
      </c>
      <c r="B55" s="55">
        <v>1020</v>
      </c>
      <c r="C55" s="55" t="s">
        <v>72</v>
      </c>
      <c r="D55" s="57" t="s">
        <v>245</v>
      </c>
      <c r="E55" s="426" t="s">
        <v>356</v>
      </c>
      <c r="F55" s="426" t="s">
        <v>355</v>
      </c>
      <c r="G55" s="74">
        <f t="shared" si="1"/>
        <v>2874620</v>
      </c>
      <c r="H55" s="61">
        <f>3105952-72789-255019-115075</f>
        <v>2663069</v>
      </c>
      <c r="I55" s="61">
        <f>193769-6385+21372+2+2793</f>
        <v>211551</v>
      </c>
      <c r="J55" s="61">
        <f>193769-6385+21372+2+2793</f>
        <v>211551</v>
      </c>
      <c r="K55" s="49"/>
      <c r="L55" s="49"/>
      <c r="M55" s="49"/>
      <c r="N55" s="310"/>
    </row>
    <row r="56" spans="1:14" s="15" customFormat="1" ht="47.25" customHeight="1">
      <c r="A56" s="56" t="s">
        <v>241</v>
      </c>
      <c r="B56" s="55">
        <v>1010</v>
      </c>
      <c r="C56" s="55" t="s">
        <v>70</v>
      </c>
      <c r="D56" s="57" t="s">
        <v>244</v>
      </c>
      <c r="E56" s="427"/>
      <c r="F56" s="427"/>
      <c r="G56" s="92">
        <f t="shared" si="1"/>
        <v>1709380</v>
      </c>
      <c r="H56" s="93">
        <f>1474536-19200+26095-22846</f>
        <v>1458585</v>
      </c>
      <c r="I56" s="61">
        <f>284378-12211-21372-2+2</f>
        <v>250795</v>
      </c>
      <c r="J56" s="61">
        <f>284378-12211-21372-2+2</f>
        <v>250795</v>
      </c>
      <c r="K56" s="49"/>
      <c r="M56" s="49"/>
      <c r="N56" s="310"/>
    </row>
    <row r="57" spans="1:14" s="15" customFormat="1" ht="0.75" customHeight="1" hidden="1">
      <c r="A57" s="55" t="s">
        <v>243</v>
      </c>
      <c r="B57" s="55">
        <v>1040</v>
      </c>
      <c r="C57" s="55" t="s">
        <v>74</v>
      </c>
      <c r="D57" s="57" t="s">
        <v>246</v>
      </c>
      <c r="E57" s="427"/>
      <c r="F57" s="427"/>
      <c r="G57" s="74">
        <f t="shared" si="1"/>
        <v>0</v>
      </c>
      <c r="H57" s="61">
        <f>600000-600000</f>
        <v>0</v>
      </c>
      <c r="I57" s="61"/>
      <c r="J57" s="61"/>
      <c r="K57" s="49"/>
      <c r="M57" s="49"/>
      <c r="N57" s="310"/>
    </row>
    <row r="58" spans="1:14" s="15" customFormat="1" ht="68.25" customHeight="1" hidden="1">
      <c r="A58" s="55" t="s">
        <v>247</v>
      </c>
      <c r="B58" s="55">
        <v>1090</v>
      </c>
      <c r="C58" s="55" t="s">
        <v>75</v>
      </c>
      <c r="D58" s="57" t="s">
        <v>248</v>
      </c>
      <c r="E58" s="428"/>
      <c r="F58" s="428"/>
      <c r="G58" s="74">
        <f t="shared" si="1"/>
        <v>0</v>
      </c>
      <c r="H58" s="61"/>
      <c r="I58" s="61"/>
      <c r="J58" s="61"/>
      <c r="K58" s="49"/>
      <c r="M58" s="49"/>
      <c r="N58" s="310"/>
    </row>
    <row r="59" spans="1:14" s="15" customFormat="1" ht="95.25" customHeight="1" hidden="1">
      <c r="A59" s="55" t="s">
        <v>242</v>
      </c>
      <c r="B59" s="55">
        <v>1020</v>
      </c>
      <c r="C59" s="55" t="s">
        <v>72</v>
      </c>
      <c r="D59" s="57" t="s">
        <v>245</v>
      </c>
      <c r="E59" s="426" t="s">
        <v>7</v>
      </c>
      <c r="F59" s="63"/>
      <c r="G59" s="74">
        <f t="shared" si="1"/>
        <v>0</v>
      </c>
      <c r="H59" s="61"/>
      <c r="I59" s="61"/>
      <c r="J59" s="61"/>
      <c r="K59" s="49"/>
      <c r="M59" s="49"/>
      <c r="N59" s="310"/>
    </row>
    <row r="60" spans="1:14" s="15" customFormat="1" ht="33" customHeight="1" hidden="1">
      <c r="A60" s="56" t="s">
        <v>8</v>
      </c>
      <c r="B60" s="55">
        <v>4030</v>
      </c>
      <c r="C60" s="55">
        <v>824</v>
      </c>
      <c r="D60" s="57" t="s">
        <v>9</v>
      </c>
      <c r="E60" s="427"/>
      <c r="F60" s="63"/>
      <c r="G60" s="74">
        <f t="shared" si="1"/>
        <v>0</v>
      </c>
      <c r="H60" s="61"/>
      <c r="I60" s="61"/>
      <c r="J60" s="61"/>
      <c r="K60" s="49"/>
      <c r="M60" s="49"/>
      <c r="N60" s="310"/>
    </row>
    <row r="61" spans="1:14" s="15" customFormat="1" ht="29.25" customHeight="1" hidden="1">
      <c r="A61" s="55" t="s">
        <v>10</v>
      </c>
      <c r="B61" s="55" t="s">
        <v>11</v>
      </c>
      <c r="C61" s="55" t="s">
        <v>12</v>
      </c>
      <c r="D61" s="94" t="s">
        <v>13</v>
      </c>
      <c r="E61" s="427"/>
      <c r="F61" s="63"/>
      <c r="G61" s="74">
        <f t="shared" si="1"/>
        <v>0</v>
      </c>
      <c r="H61" s="61"/>
      <c r="I61" s="61"/>
      <c r="J61" s="61"/>
      <c r="K61" s="49"/>
      <c r="M61" s="49"/>
      <c r="N61" s="310"/>
    </row>
    <row r="62" spans="1:14" s="15" customFormat="1" ht="0.75" customHeight="1" hidden="1">
      <c r="A62" s="55" t="s">
        <v>14</v>
      </c>
      <c r="B62" s="55" t="s">
        <v>36</v>
      </c>
      <c r="C62" s="55" t="s">
        <v>79</v>
      </c>
      <c r="D62" s="94" t="s">
        <v>37</v>
      </c>
      <c r="E62" s="428"/>
      <c r="F62" s="63"/>
      <c r="G62" s="74">
        <f t="shared" si="1"/>
        <v>0</v>
      </c>
      <c r="H62" s="61"/>
      <c r="I62" s="61"/>
      <c r="J62" s="61"/>
      <c r="K62" s="49"/>
      <c r="M62" s="49"/>
      <c r="N62" s="310"/>
    </row>
    <row r="63" spans="1:14" s="15" customFormat="1" ht="65.25" customHeight="1" hidden="1">
      <c r="A63" s="55">
        <v>1011020</v>
      </c>
      <c r="B63" s="55">
        <v>1020</v>
      </c>
      <c r="C63" s="55" t="s">
        <v>72</v>
      </c>
      <c r="D63" s="57" t="s">
        <v>73</v>
      </c>
      <c r="E63" s="63" t="s">
        <v>169</v>
      </c>
      <c r="F63" s="63"/>
      <c r="G63" s="95"/>
      <c r="H63" s="61"/>
      <c r="I63" s="61"/>
      <c r="J63" s="61"/>
      <c r="K63" s="49"/>
      <c r="M63" s="49"/>
      <c r="N63" s="310"/>
    </row>
    <row r="64" spans="1:14" s="15" customFormat="1" ht="85.5" customHeight="1" hidden="1">
      <c r="A64" s="55"/>
      <c r="B64" s="55"/>
      <c r="C64" s="55"/>
      <c r="D64" s="57" t="s">
        <v>170</v>
      </c>
      <c r="E64" s="63"/>
      <c r="F64" s="63"/>
      <c r="G64" s="95"/>
      <c r="H64" s="61"/>
      <c r="I64" s="61"/>
      <c r="J64" s="61"/>
      <c r="K64" s="49"/>
      <c r="M64" s="49"/>
      <c r="N64" s="310"/>
    </row>
    <row r="65" spans="1:14" s="15" customFormat="1" ht="46.5" customHeight="1" hidden="1">
      <c r="A65" s="55">
        <v>1011010</v>
      </c>
      <c r="B65" s="55">
        <v>1010</v>
      </c>
      <c r="C65" s="55" t="s">
        <v>70</v>
      </c>
      <c r="D65" s="57" t="s">
        <v>71</v>
      </c>
      <c r="E65" s="63" t="s">
        <v>169</v>
      </c>
      <c r="F65" s="63"/>
      <c r="G65" s="95"/>
      <c r="H65" s="61"/>
      <c r="I65" s="61"/>
      <c r="J65" s="61"/>
      <c r="K65" s="49"/>
      <c r="M65" s="49"/>
      <c r="N65" s="310"/>
    </row>
    <row r="66" spans="1:14" s="15" customFormat="1" ht="85.5" customHeight="1" hidden="1">
      <c r="A66" s="55"/>
      <c r="B66" s="55"/>
      <c r="C66" s="55"/>
      <c r="D66" s="57" t="s">
        <v>170</v>
      </c>
      <c r="E66" s="63"/>
      <c r="F66" s="63"/>
      <c r="G66" s="95"/>
      <c r="H66" s="61"/>
      <c r="I66" s="61"/>
      <c r="J66" s="61"/>
      <c r="K66" s="49"/>
      <c r="M66" s="49"/>
      <c r="N66" s="310"/>
    </row>
    <row r="67" spans="1:14" s="15" customFormat="1" ht="40.5" customHeight="1" hidden="1">
      <c r="A67" s="96" t="s">
        <v>190</v>
      </c>
      <c r="B67" s="96" t="s">
        <v>601</v>
      </c>
      <c r="C67" s="96"/>
      <c r="D67" s="86" t="s">
        <v>160</v>
      </c>
      <c r="E67" s="97" t="s">
        <v>284</v>
      </c>
      <c r="F67" s="98" t="s">
        <v>284</v>
      </c>
      <c r="G67" s="99">
        <f>H67+I67</f>
        <v>154245</v>
      </c>
      <c r="H67" s="88">
        <f>H68</f>
        <v>139245</v>
      </c>
      <c r="I67" s="88">
        <f>I68</f>
        <v>15000</v>
      </c>
      <c r="J67" s="88">
        <f>J68</f>
        <v>15000</v>
      </c>
      <c r="K67" s="49"/>
      <c r="M67" s="49"/>
      <c r="N67" s="310"/>
    </row>
    <row r="68" spans="1:14" s="102" customFormat="1" ht="144" customHeight="1">
      <c r="A68" s="56" t="s">
        <v>191</v>
      </c>
      <c r="B68" s="56" t="s">
        <v>192</v>
      </c>
      <c r="C68" s="55" t="s">
        <v>77</v>
      </c>
      <c r="D68" s="94" t="s">
        <v>150</v>
      </c>
      <c r="E68" s="91" t="s">
        <v>464</v>
      </c>
      <c r="F68" s="91" t="s">
        <v>429</v>
      </c>
      <c r="G68" s="100">
        <f>H68+I68</f>
        <v>154245</v>
      </c>
      <c r="H68" s="101">
        <f>251150-35000+311000+15000+74000-45900-10100-326000-94905</f>
        <v>139245</v>
      </c>
      <c r="I68" s="61">
        <f>15000</f>
        <v>15000</v>
      </c>
      <c r="J68" s="61">
        <f>15000</f>
        <v>15000</v>
      </c>
      <c r="K68" s="49"/>
      <c r="M68" s="49"/>
      <c r="N68" s="310"/>
    </row>
    <row r="69" spans="1:14" s="15" customFormat="1" ht="228.75" customHeight="1">
      <c r="A69" s="56" t="s">
        <v>193</v>
      </c>
      <c r="B69" s="56" t="s">
        <v>194</v>
      </c>
      <c r="C69" s="55" t="s">
        <v>77</v>
      </c>
      <c r="D69" s="94" t="s">
        <v>151</v>
      </c>
      <c r="E69" s="58" t="s">
        <v>353</v>
      </c>
      <c r="F69" s="58" t="s">
        <v>430</v>
      </c>
      <c r="G69" s="100">
        <f>H69+I69</f>
        <v>5994887</v>
      </c>
      <c r="H69" s="60">
        <f>4722600+608400-12162-23951</f>
        <v>5294887</v>
      </c>
      <c r="I69" s="61">
        <v>700000</v>
      </c>
      <c r="J69" s="61"/>
      <c r="K69" s="49"/>
      <c r="M69" s="49"/>
      <c r="N69" s="310"/>
    </row>
    <row r="70" spans="1:14" s="89" customFormat="1" ht="26.25" customHeight="1" hidden="1">
      <c r="A70" s="103" t="s">
        <v>673</v>
      </c>
      <c r="B70" s="104" t="s">
        <v>674</v>
      </c>
      <c r="C70" s="103"/>
      <c r="D70" s="105" t="s">
        <v>675</v>
      </c>
      <c r="E70" s="106" t="s">
        <v>284</v>
      </c>
      <c r="F70" s="106" t="s">
        <v>284</v>
      </c>
      <c r="G70" s="99">
        <f>G71</f>
        <v>99702</v>
      </c>
      <c r="H70" s="88">
        <f>H71</f>
        <v>99702</v>
      </c>
      <c r="I70" s="88">
        <f>I71</f>
        <v>0</v>
      </c>
      <c r="J70" s="88">
        <f>J71</f>
        <v>0</v>
      </c>
      <c r="K70" s="49"/>
      <c r="M70" s="49">
        <f>H70+I70</f>
        <v>99702</v>
      </c>
      <c r="N70" s="310"/>
    </row>
    <row r="71" spans="1:14" s="109" customFormat="1" ht="120.75" customHeight="1">
      <c r="A71" s="55" t="s">
        <v>672</v>
      </c>
      <c r="B71" s="56" t="s">
        <v>670</v>
      </c>
      <c r="C71" s="55">
        <v>1090</v>
      </c>
      <c r="D71" s="94" t="s">
        <v>671</v>
      </c>
      <c r="E71" s="91" t="s">
        <v>465</v>
      </c>
      <c r="F71" s="91" t="s">
        <v>431</v>
      </c>
      <c r="G71" s="100">
        <f>H71+I71</f>
        <v>99702</v>
      </c>
      <c r="H71" s="107">
        <f>375000+35000-310298</f>
        <v>99702</v>
      </c>
      <c r="I71" s="108"/>
      <c r="J71" s="108"/>
      <c r="K71" s="49"/>
      <c r="M71" s="49"/>
      <c r="N71" s="310"/>
    </row>
    <row r="72" spans="1:14" s="89" customFormat="1" ht="21.75" customHeight="1" hidden="1">
      <c r="A72" s="103" t="s">
        <v>384</v>
      </c>
      <c r="B72" s="104">
        <v>4080</v>
      </c>
      <c r="C72" s="103"/>
      <c r="D72" s="105" t="s">
        <v>385</v>
      </c>
      <c r="E72" s="106" t="s">
        <v>284</v>
      </c>
      <c r="F72" s="106" t="s">
        <v>284</v>
      </c>
      <c r="G72" s="99">
        <f>G73</f>
        <v>3132100</v>
      </c>
      <c r="H72" s="88">
        <f>H73</f>
        <v>3132100</v>
      </c>
      <c r="I72" s="88">
        <f>I73</f>
        <v>0</v>
      </c>
      <c r="J72" s="88">
        <f>J73</f>
        <v>0</v>
      </c>
      <c r="K72" s="49"/>
      <c r="M72" s="49"/>
      <c r="N72" s="310"/>
    </row>
    <row r="73" spans="1:14" s="15" customFormat="1" ht="49.5" customHeight="1">
      <c r="A73" s="395" t="s">
        <v>751</v>
      </c>
      <c r="B73" s="395">
        <v>4082</v>
      </c>
      <c r="C73" s="395" t="s">
        <v>752</v>
      </c>
      <c r="D73" s="57" t="s">
        <v>753</v>
      </c>
      <c r="E73" s="429" t="s">
        <v>419</v>
      </c>
      <c r="F73" s="429" t="s">
        <v>525</v>
      </c>
      <c r="G73" s="100">
        <f>H73+I73</f>
        <v>3132100</v>
      </c>
      <c r="H73" s="110">
        <f>4048100-311000+85000-1240000+550000</f>
        <v>3132100</v>
      </c>
      <c r="I73" s="61">
        <v>0</v>
      </c>
      <c r="J73" s="61">
        <v>0</v>
      </c>
      <c r="K73" s="49"/>
      <c r="M73" s="49"/>
      <c r="N73" s="310"/>
    </row>
    <row r="74" spans="1:14" s="15" customFormat="1" ht="45" customHeight="1" hidden="1">
      <c r="A74" s="400"/>
      <c r="B74" s="396"/>
      <c r="C74" s="396"/>
      <c r="D74" s="57"/>
      <c r="E74" s="430"/>
      <c r="F74" s="477"/>
      <c r="G74" s="100">
        <f aca="true" t="shared" si="2" ref="G74:G84">H74+I74</f>
        <v>0</v>
      </c>
      <c r="H74" s="112"/>
      <c r="I74" s="61">
        <v>0</v>
      </c>
      <c r="J74" s="61">
        <v>0</v>
      </c>
      <c r="K74" s="49"/>
      <c r="M74" s="49"/>
      <c r="N74" s="310"/>
    </row>
    <row r="75" spans="1:14" s="15" customFormat="1" ht="45" customHeight="1" hidden="1">
      <c r="A75" s="399"/>
      <c r="B75" s="399"/>
      <c r="C75" s="399"/>
      <c r="D75" s="113"/>
      <c r="E75" s="430"/>
      <c r="F75" s="477"/>
      <c r="G75" s="100">
        <f t="shared" si="2"/>
        <v>0</v>
      </c>
      <c r="H75" s="112"/>
      <c r="I75" s="61"/>
      <c r="J75" s="61"/>
      <c r="K75" s="49"/>
      <c r="M75" s="49"/>
      <c r="N75" s="310"/>
    </row>
    <row r="76" spans="1:14" s="15" customFormat="1" ht="174" customHeight="1">
      <c r="A76" s="55" t="s">
        <v>369</v>
      </c>
      <c r="B76" s="56" t="s">
        <v>370</v>
      </c>
      <c r="C76" s="56" t="s">
        <v>75</v>
      </c>
      <c r="D76" s="94" t="s">
        <v>368</v>
      </c>
      <c r="E76" s="430"/>
      <c r="F76" s="477"/>
      <c r="G76" s="100">
        <f t="shared" si="2"/>
        <v>2083038</v>
      </c>
      <c r="H76" s="110">
        <f>30000+3038+20000</f>
        <v>53038</v>
      </c>
      <c r="I76" s="61">
        <f>2000000-50000+50000+30000</f>
        <v>2030000</v>
      </c>
      <c r="J76" s="61">
        <f>2000000-50000+50000+30000</f>
        <v>2030000</v>
      </c>
      <c r="K76" s="49"/>
      <c r="L76" s="49">
        <f>J76+J56+J55+J54+J50+J49+J44+J30+J28</f>
        <v>36479811.120000005</v>
      </c>
      <c r="M76" s="49"/>
      <c r="N76" s="310"/>
    </row>
    <row r="77" spans="1:14" s="118" customFormat="1" ht="63" customHeight="1">
      <c r="A77" s="114" t="s">
        <v>371</v>
      </c>
      <c r="B77" s="114" t="s">
        <v>372</v>
      </c>
      <c r="C77" s="114" t="s">
        <v>373</v>
      </c>
      <c r="D77" s="115" t="s">
        <v>379</v>
      </c>
      <c r="E77" s="430"/>
      <c r="F77" s="477"/>
      <c r="G77" s="116">
        <f t="shared" si="2"/>
        <v>31501855</v>
      </c>
      <c r="H77" s="66">
        <f>28114600+10000+8754+119500+1146301-173808+8754+7000+8754+2000000</f>
        <v>31249855</v>
      </c>
      <c r="I77" s="66">
        <f>1356293-1304293+200000</f>
        <v>252000</v>
      </c>
      <c r="J77" s="66">
        <f>1356293-1304293+200000</f>
        <v>252000</v>
      </c>
      <c r="K77" s="117"/>
      <c r="M77" s="117"/>
      <c r="N77" s="310"/>
    </row>
    <row r="78" spans="1:14" s="15" customFormat="1" ht="63" customHeight="1">
      <c r="A78" s="56" t="s">
        <v>8</v>
      </c>
      <c r="B78" s="56" t="s">
        <v>374</v>
      </c>
      <c r="C78" s="56" t="s">
        <v>12</v>
      </c>
      <c r="D78" s="94" t="s">
        <v>9</v>
      </c>
      <c r="E78" s="430"/>
      <c r="F78" s="477"/>
      <c r="G78" s="100">
        <f t="shared" si="2"/>
        <v>6128060.82</v>
      </c>
      <c r="H78" s="110">
        <f>5794000+10000+3246.82+163800+14105+6535+89000+2374+40000</f>
        <v>6123060.82</v>
      </c>
      <c r="I78" s="61">
        <f>5000</f>
        <v>5000</v>
      </c>
      <c r="J78" s="61">
        <f>5000</f>
        <v>5000</v>
      </c>
      <c r="K78" s="49"/>
      <c r="M78" s="49"/>
      <c r="N78" s="310"/>
    </row>
    <row r="79" spans="1:14" s="15" customFormat="1" ht="63" customHeight="1">
      <c r="A79" s="56" t="s">
        <v>10</v>
      </c>
      <c r="B79" s="56" t="s">
        <v>11</v>
      </c>
      <c r="C79" s="56" t="s">
        <v>12</v>
      </c>
      <c r="D79" s="94" t="s">
        <v>13</v>
      </c>
      <c r="E79" s="430"/>
      <c r="F79" s="477"/>
      <c r="G79" s="100">
        <f t="shared" si="2"/>
        <v>4128700</v>
      </c>
      <c r="H79" s="110">
        <f>3827700+190000+50000+30000+25000+26000-40000</f>
        <v>4108700</v>
      </c>
      <c r="I79" s="61">
        <f>20000</f>
        <v>20000</v>
      </c>
      <c r="J79" s="61">
        <f>20000</f>
        <v>20000</v>
      </c>
      <c r="K79" s="49"/>
      <c r="M79" s="49"/>
      <c r="N79" s="310"/>
    </row>
    <row r="80" spans="1:14" s="15" customFormat="1" ht="63" customHeight="1">
      <c r="A80" s="56" t="s">
        <v>375</v>
      </c>
      <c r="B80" s="56" t="s">
        <v>376</v>
      </c>
      <c r="C80" s="56" t="s">
        <v>377</v>
      </c>
      <c r="D80" s="57" t="s">
        <v>380</v>
      </c>
      <c r="E80" s="431"/>
      <c r="F80" s="477"/>
      <c r="G80" s="100">
        <f t="shared" si="2"/>
        <v>5715400</v>
      </c>
      <c r="H80" s="110">
        <f>2022900+25000+89800+122500+20000+20000+240000+25000</f>
        <v>2565200</v>
      </c>
      <c r="I80" s="61">
        <f>2500000+15000+35200+600000</f>
        <v>3150200</v>
      </c>
      <c r="J80" s="61">
        <f>2500000+15000+35200+600000</f>
        <v>3150200</v>
      </c>
      <c r="K80" s="49"/>
      <c r="M80" s="49"/>
      <c r="N80" s="310"/>
    </row>
    <row r="81" spans="1:14" s="89" customFormat="1" ht="31.5" customHeight="1" hidden="1">
      <c r="A81" s="103" t="s">
        <v>384</v>
      </c>
      <c r="B81" s="104">
        <v>4080</v>
      </c>
      <c r="C81" s="103"/>
      <c r="D81" s="105" t="s">
        <v>385</v>
      </c>
      <c r="E81" s="106" t="s">
        <v>284</v>
      </c>
      <c r="F81" s="111"/>
      <c r="G81" s="119">
        <f>G82</f>
        <v>61000</v>
      </c>
      <c r="H81" s="120">
        <f>H82</f>
        <v>61000</v>
      </c>
      <c r="I81" s="120">
        <f>I82</f>
        <v>0</v>
      </c>
      <c r="J81" s="120">
        <f>J82</f>
        <v>0</v>
      </c>
      <c r="K81" s="49"/>
      <c r="M81" s="49"/>
      <c r="N81" s="310"/>
    </row>
    <row r="82" spans="1:14" s="15" customFormat="1" ht="100.5" customHeight="1">
      <c r="A82" s="56" t="s">
        <v>751</v>
      </c>
      <c r="B82" s="56" t="s">
        <v>378</v>
      </c>
      <c r="C82" s="56" t="s">
        <v>752</v>
      </c>
      <c r="D82" s="57" t="s">
        <v>753</v>
      </c>
      <c r="E82" s="121" t="s">
        <v>552</v>
      </c>
      <c r="F82" s="122" t="s">
        <v>716</v>
      </c>
      <c r="G82" s="100">
        <f t="shared" si="2"/>
        <v>61000</v>
      </c>
      <c r="H82" s="110">
        <f>61000-30500+30500</f>
        <v>61000</v>
      </c>
      <c r="I82" s="61">
        <v>0</v>
      </c>
      <c r="J82" s="61">
        <v>0</v>
      </c>
      <c r="K82" s="49"/>
      <c r="M82" s="49"/>
      <c r="N82" s="310"/>
    </row>
    <row r="83" spans="1:14" s="15" customFormat="1" ht="31.5" customHeight="1" hidden="1">
      <c r="A83" s="96" t="s">
        <v>253</v>
      </c>
      <c r="B83" s="96"/>
      <c r="C83" s="96"/>
      <c r="D83" s="123" t="s">
        <v>78</v>
      </c>
      <c r="E83" s="124" t="s">
        <v>284</v>
      </c>
      <c r="F83" s="97" t="s">
        <v>284</v>
      </c>
      <c r="G83" s="100">
        <f t="shared" si="2"/>
        <v>51660</v>
      </c>
      <c r="H83" s="88">
        <f>H85+H86</f>
        <v>51660</v>
      </c>
      <c r="I83" s="88">
        <f>I85+I86</f>
        <v>0</v>
      </c>
      <c r="J83" s="88">
        <f>J85+J86</f>
        <v>0</v>
      </c>
      <c r="K83" s="49"/>
      <c r="M83" s="49"/>
      <c r="N83" s="310"/>
    </row>
    <row r="84" spans="1:14" s="15" customFormat="1" ht="115.5" customHeight="1">
      <c r="A84" s="56" t="s">
        <v>8</v>
      </c>
      <c r="B84" s="56" t="s">
        <v>374</v>
      </c>
      <c r="C84" s="56" t="s">
        <v>12</v>
      </c>
      <c r="D84" s="94" t="s">
        <v>9</v>
      </c>
      <c r="E84" s="90" t="s">
        <v>294</v>
      </c>
      <c r="F84" s="91" t="s">
        <v>421</v>
      </c>
      <c r="G84" s="100">
        <f t="shared" si="2"/>
        <v>199000</v>
      </c>
      <c r="H84" s="110">
        <f>115800+48000</f>
        <v>163800</v>
      </c>
      <c r="I84" s="110">
        <f>35200</f>
        <v>35200</v>
      </c>
      <c r="J84" s="110">
        <v>35200</v>
      </c>
      <c r="K84" s="49"/>
      <c r="M84" s="49"/>
      <c r="N84" s="310"/>
    </row>
    <row r="85" spans="1:14" s="15" customFormat="1" ht="110.25" customHeight="1">
      <c r="A85" s="55" t="s">
        <v>254</v>
      </c>
      <c r="B85" s="55">
        <v>5011</v>
      </c>
      <c r="C85" s="55" t="s">
        <v>79</v>
      </c>
      <c r="D85" s="125" t="s">
        <v>157</v>
      </c>
      <c r="E85" s="429" t="s">
        <v>714</v>
      </c>
      <c r="F85" s="429" t="s">
        <v>715</v>
      </c>
      <c r="G85" s="100">
        <f>H85+I85</f>
        <v>43220</v>
      </c>
      <c r="H85" s="110">
        <v>43220</v>
      </c>
      <c r="I85" s="61"/>
      <c r="J85" s="61"/>
      <c r="K85" s="49"/>
      <c r="M85" s="49"/>
      <c r="N85" s="310"/>
    </row>
    <row r="86" spans="1:14" s="15" customFormat="1" ht="106.5" customHeight="1">
      <c r="A86" s="55" t="s">
        <v>255</v>
      </c>
      <c r="B86" s="55">
        <v>5012</v>
      </c>
      <c r="C86" s="55" t="s">
        <v>79</v>
      </c>
      <c r="D86" s="125" t="s">
        <v>80</v>
      </c>
      <c r="E86" s="430"/>
      <c r="F86" s="430"/>
      <c r="G86" s="100">
        <f>H86+I86</f>
        <v>8440</v>
      </c>
      <c r="H86" s="110">
        <v>8440</v>
      </c>
      <c r="I86" s="61"/>
      <c r="J86" s="61"/>
      <c r="K86" s="49"/>
      <c r="M86" s="49"/>
      <c r="N86" s="310"/>
    </row>
    <row r="87" spans="1:14" s="15" customFormat="1" ht="31.5" customHeight="1" hidden="1">
      <c r="A87" s="84" t="s">
        <v>256</v>
      </c>
      <c r="B87" s="96"/>
      <c r="C87" s="96"/>
      <c r="D87" s="126" t="s">
        <v>81</v>
      </c>
      <c r="E87" s="430"/>
      <c r="F87" s="430"/>
      <c r="G87" s="100">
        <f>H87+I87</f>
        <v>34910</v>
      </c>
      <c r="H87" s="127">
        <f>H89</f>
        <v>34910</v>
      </c>
      <c r="I87" s="88"/>
      <c r="J87" s="88"/>
      <c r="K87" s="49"/>
      <c r="M87" s="49"/>
      <c r="N87" s="310"/>
    </row>
    <row r="88" spans="1:14" s="15" customFormat="1" ht="117" customHeight="1">
      <c r="A88" s="114" t="s">
        <v>187</v>
      </c>
      <c r="B88" s="114" t="s">
        <v>307</v>
      </c>
      <c r="C88" s="114" t="s">
        <v>79</v>
      </c>
      <c r="D88" s="128" t="s">
        <v>309</v>
      </c>
      <c r="E88" s="430"/>
      <c r="F88" s="430"/>
      <c r="G88" s="100">
        <f>H88+I88</f>
        <v>479995.82</v>
      </c>
      <c r="H88" s="129">
        <v>159995.82</v>
      </c>
      <c r="I88" s="66">
        <v>320000</v>
      </c>
      <c r="J88" s="66">
        <v>320000</v>
      </c>
      <c r="K88" s="49"/>
      <c r="M88" s="49"/>
      <c r="N88" s="310"/>
    </row>
    <row r="89" spans="1:14" s="15" customFormat="1" ht="105" customHeight="1">
      <c r="A89" s="55" t="s">
        <v>257</v>
      </c>
      <c r="B89" s="55">
        <v>5022</v>
      </c>
      <c r="C89" s="55" t="s">
        <v>79</v>
      </c>
      <c r="D89" s="125" t="s">
        <v>664</v>
      </c>
      <c r="E89" s="430"/>
      <c r="F89" s="430"/>
      <c r="G89" s="130">
        <f>H89+I89</f>
        <v>34910</v>
      </c>
      <c r="H89" s="131">
        <v>34910</v>
      </c>
      <c r="I89" s="61"/>
      <c r="J89" s="61"/>
      <c r="K89" s="49"/>
      <c r="M89" s="49"/>
      <c r="N89" s="310"/>
    </row>
    <row r="90" spans="1:14" s="15" customFormat="1" ht="78.75" customHeight="1" hidden="1">
      <c r="A90" s="55" t="s">
        <v>258</v>
      </c>
      <c r="B90" s="55">
        <v>5023</v>
      </c>
      <c r="C90" s="55" t="s">
        <v>79</v>
      </c>
      <c r="D90" s="57" t="s">
        <v>86</v>
      </c>
      <c r="E90" s="430"/>
      <c r="F90" s="430"/>
      <c r="G90" s="95"/>
      <c r="H90" s="61"/>
      <c r="I90" s="61"/>
      <c r="J90" s="61"/>
      <c r="K90" s="49"/>
      <c r="M90" s="49"/>
      <c r="N90" s="310"/>
    </row>
    <row r="91" spans="1:14" s="15" customFormat="1" ht="28.5" customHeight="1" hidden="1">
      <c r="A91" s="55" t="s">
        <v>259</v>
      </c>
      <c r="B91" s="55">
        <v>5024</v>
      </c>
      <c r="C91" s="55" t="s">
        <v>79</v>
      </c>
      <c r="D91" s="57" t="s">
        <v>87</v>
      </c>
      <c r="E91" s="430"/>
      <c r="F91" s="430"/>
      <c r="G91" s="95"/>
      <c r="H91" s="61"/>
      <c r="I91" s="61"/>
      <c r="J91" s="61"/>
      <c r="K91" s="49"/>
      <c r="M91" s="49"/>
      <c r="N91" s="310"/>
    </row>
    <row r="92" spans="1:14" s="15" customFormat="1" ht="31.5" customHeight="1" hidden="1">
      <c r="A92" s="84" t="s">
        <v>260</v>
      </c>
      <c r="B92" s="96"/>
      <c r="C92" s="96"/>
      <c r="D92" s="86" t="s">
        <v>88</v>
      </c>
      <c r="E92" s="430"/>
      <c r="F92" s="430"/>
      <c r="G92" s="132">
        <f>G93</f>
        <v>7420841.36</v>
      </c>
      <c r="H92" s="127">
        <f>H93</f>
        <v>7380841.36</v>
      </c>
      <c r="I92" s="88"/>
      <c r="J92" s="88"/>
      <c r="K92" s="49"/>
      <c r="M92" s="49"/>
      <c r="N92" s="310"/>
    </row>
    <row r="93" spans="1:14" s="15" customFormat="1" ht="126" customHeight="1">
      <c r="A93" s="114" t="s">
        <v>14</v>
      </c>
      <c r="B93" s="114" t="s">
        <v>36</v>
      </c>
      <c r="C93" s="133" t="s">
        <v>79</v>
      </c>
      <c r="D93" s="134" t="s">
        <v>37</v>
      </c>
      <c r="E93" s="430"/>
      <c r="F93" s="430"/>
      <c r="G93" s="135">
        <f>H93+I93</f>
        <v>7420841.36</v>
      </c>
      <c r="H93" s="136">
        <v>7380841.36</v>
      </c>
      <c r="I93" s="110">
        <v>40000</v>
      </c>
      <c r="J93" s="110">
        <v>40000</v>
      </c>
      <c r="K93" s="49"/>
      <c r="M93" s="49"/>
      <c r="N93" s="310"/>
    </row>
    <row r="94" spans="1:14" s="15" customFormat="1" ht="47.25" customHeight="1" hidden="1">
      <c r="A94" s="137" t="s">
        <v>261</v>
      </c>
      <c r="B94" s="137">
        <v>5033</v>
      </c>
      <c r="C94" s="55" t="s">
        <v>79</v>
      </c>
      <c r="D94" s="57" t="s">
        <v>89</v>
      </c>
      <c r="E94" s="430"/>
      <c r="F94" s="430"/>
      <c r="G94" s="135">
        <f aca="true" t="shared" si="3" ref="G94:G99">H94+I94</f>
        <v>0</v>
      </c>
      <c r="H94" s="61"/>
      <c r="I94" s="61"/>
      <c r="J94" s="61"/>
      <c r="K94" s="49"/>
      <c r="M94" s="49">
        <f>H94+I94</f>
        <v>0</v>
      </c>
      <c r="N94" s="310"/>
    </row>
    <row r="95" spans="1:14" s="15" customFormat="1" ht="31.5" customHeight="1" hidden="1">
      <c r="A95" s="137" t="s">
        <v>262</v>
      </c>
      <c r="B95" s="114"/>
      <c r="C95" s="96"/>
      <c r="D95" s="86" t="s">
        <v>90</v>
      </c>
      <c r="E95" s="430"/>
      <c r="F95" s="430"/>
      <c r="G95" s="135">
        <f t="shared" si="3"/>
        <v>0</v>
      </c>
      <c r="H95" s="127"/>
      <c r="I95" s="88"/>
      <c r="J95" s="88"/>
      <c r="K95" s="49"/>
      <c r="M95" s="49">
        <f>H95+I95</f>
        <v>0</v>
      </c>
      <c r="N95" s="310"/>
    </row>
    <row r="96" spans="1:14" s="15" customFormat="1" ht="31.5" customHeight="1" hidden="1">
      <c r="A96" s="137" t="s">
        <v>263</v>
      </c>
      <c r="B96" s="137">
        <v>5041</v>
      </c>
      <c r="C96" s="55" t="s">
        <v>79</v>
      </c>
      <c r="D96" s="57" t="s">
        <v>91</v>
      </c>
      <c r="E96" s="430"/>
      <c r="F96" s="430"/>
      <c r="G96" s="135">
        <f t="shared" si="3"/>
        <v>0</v>
      </c>
      <c r="H96" s="61"/>
      <c r="I96" s="61"/>
      <c r="J96" s="61"/>
      <c r="K96" s="49"/>
      <c r="M96" s="49">
        <f>H96+I96</f>
        <v>0</v>
      </c>
      <c r="N96" s="310"/>
    </row>
    <row r="97" spans="1:14" s="15" customFormat="1" ht="31.5" customHeight="1" hidden="1">
      <c r="A97" s="137" t="s">
        <v>264</v>
      </c>
      <c r="B97" s="114"/>
      <c r="C97" s="96"/>
      <c r="D97" s="86" t="s">
        <v>173</v>
      </c>
      <c r="E97" s="430"/>
      <c r="F97" s="430"/>
      <c r="G97" s="135">
        <f t="shared" si="3"/>
        <v>474399.4</v>
      </c>
      <c r="H97" s="127">
        <f>H100</f>
        <v>474399.4</v>
      </c>
      <c r="I97" s="88"/>
      <c r="J97" s="88"/>
      <c r="K97" s="49"/>
      <c r="M97" s="49">
        <f>H97+I97</f>
        <v>474399.4</v>
      </c>
      <c r="N97" s="310"/>
    </row>
    <row r="98" spans="1:14" s="118" customFormat="1" ht="121.5" customHeight="1">
      <c r="A98" s="114" t="s">
        <v>313</v>
      </c>
      <c r="B98" s="114" t="s">
        <v>314</v>
      </c>
      <c r="C98" s="114" t="s">
        <v>79</v>
      </c>
      <c r="D98" s="128" t="s">
        <v>315</v>
      </c>
      <c r="E98" s="430"/>
      <c r="F98" s="430"/>
      <c r="G98" s="135">
        <f t="shared" si="3"/>
        <v>862395.92</v>
      </c>
      <c r="H98" s="129">
        <v>862395.92</v>
      </c>
      <c r="I98" s="66"/>
      <c r="J98" s="66"/>
      <c r="K98" s="49"/>
      <c r="M98" s="49"/>
      <c r="N98" s="310"/>
    </row>
    <row r="99" spans="1:14" s="118" customFormat="1" ht="43.5" customHeight="1" hidden="1">
      <c r="A99" s="114" t="s">
        <v>263</v>
      </c>
      <c r="B99" s="114" t="s">
        <v>308</v>
      </c>
      <c r="C99" s="114" t="s">
        <v>79</v>
      </c>
      <c r="D99" s="128" t="s">
        <v>310</v>
      </c>
      <c r="E99" s="430"/>
      <c r="F99" s="430"/>
      <c r="G99" s="135">
        <f t="shared" si="3"/>
        <v>0</v>
      </c>
      <c r="H99" s="129">
        <f>7462530-549800-6912730</f>
        <v>0</v>
      </c>
      <c r="I99" s="66"/>
      <c r="J99" s="66"/>
      <c r="K99" s="49"/>
      <c r="M99" s="49"/>
      <c r="N99" s="310"/>
    </row>
    <row r="100" spans="1:14" s="15" customFormat="1" ht="179.25" customHeight="1">
      <c r="A100" s="137" t="s">
        <v>265</v>
      </c>
      <c r="B100" s="137">
        <v>5061</v>
      </c>
      <c r="C100" s="55" t="s">
        <v>79</v>
      </c>
      <c r="D100" s="57" t="s">
        <v>159</v>
      </c>
      <c r="E100" s="430"/>
      <c r="F100" s="430"/>
      <c r="G100" s="130">
        <f>H100+I100</f>
        <v>494399.4</v>
      </c>
      <c r="H100" s="131">
        <f>13400+460999.4</f>
        <v>474399.4</v>
      </c>
      <c r="I100" s="61">
        <v>20000</v>
      </c>
      <c r="J100" s="61">
        <v>20000</v>
      </c>
      <c r="K100" s="49"/>
      <c r="M100" s="49"/>
      <c r="N100" s="310"/>
    </row>
    <row r="101" spans="1:14" s="89" customFormat="1" ht="40.5" customHeight="1" hidden="1">
      <c r="A101" s="137" t="s">
        <v>602</v>
      </c>
      <c r="B101" s="138">
        <v>7320</v>
      </c>
      <c r="C101" s="139"/>
      <c r="D101" s="86" t="s">
        <v>603</v>
      </c>
      <c r="E101" s="430"/>
      <c r="F101" s="430"/>
      <c r="G101" s="130">
        <f>H101+I101</f>
        <v>1323914</v>
      </c>
      <c r="H101" s="140">
        <f>H103</f>
        <v>0</v>
      </c>
      <c r="I101" s="140">
        <f>I103</f>
        <v>1323914</v>
      </c>
      <c r="J101" s="140">
        <f>J103</f>
        <v>1323914</v>
      </c>
      <c r="K101" s="49"/>
      <c r="M101" s="49"/>
      <c r="N101" s="310"/>
    </row>
    <row r="102" spans="1:14" s="118" customFormat="1" ht="143.25" customHeight="1">
      <c r="A102" s="114" t="s">
        <v>311</v>
      </c>
      <c r="B102" s="138">
        <v>5062</v>
      </c>
      <c r="C102" s="141">
        <v>810</v>
      </c>
      <c r="D102" s="128" t="s">
        <v>312</v>
      </c>
      <c r="E102" s="431"/>
      <c r="F102" s="431"/>
      <c r="G102" s="130">
        <f>H102+I102</f>
        <v>345780</v>
      </c>
      <c r="H102" s="142">
        <v>345780</v>
      </c>
      <c r="I102" s="142"/>
      <c r="J102" s="142"/>
      <c r="K102" s="49"/>
      <c r="M102" s="49"/>
      <c r="N102" s="310"/>
    </row>
    <row r="103" spans="1:14" s="150" customFormat="1" ht="102.75" customHeight="1">
      <c r="A103" s="143" t="s">
        <v>604</v>
      </c>
      <c r="B103" s="144">
        <v>7321</v>
      </c>
      <c r="C103" s="145" t="s">
        <v>124</v>
      </c>
      <c r="D103" s="146" t="s">
        <v>605</v>
      </c>
      <c r="E103" s="58" t="s">
        <v>283</v>
      </c>
      <c r="F103" s="147" t="s">
        <v>713</v>
      </c>
      <c r="G103" s="148">
        <f aca="true" t="shared" si="4" ref="G103:G109">H103+I103</f>
        <v>1323914</v>
      </c>
      <c r="H103" s="149"/>
      <c r="I103" s="149">
        <f>600000+1499914-420000-180000-176000</f>
        <v>1323914</v>
      </c>
      <c r="J103" s="149">
        <f>I103</f>
        <v>1323914</v>
      </c>
      <c r="K103" s="49"/>
      <c r="M103" s="49"/>
      <c r="N103" s="310"/>
    </row>
    <row r="104" spans="1:14" s="150" customFormat="1" ht="96" customHeight="1">
      <c r="A104" s="143" t="s">
        <v>359</v>
      </c>
      <c r="B104" s="144">
        <v>7340</v>
      </c>
      <c r="C104" s="145" t="s">
        <v>124</v>
      </c>
      <c r="D104" s="146" t="s">
        <v>360</v>
      </c>
      <c r="E104" s="58" t="s">
        <v>361</v>
      </c>
      <c r="F104" s="147" t="s">
        <v>545</v>
      </c>
      <c r="G104" s="148">
        <f t="shared" si="4"/>
        <v>190140</v>
      </c>
      <c r="H104" s="149">
        <f>220000-29860</f>
        <v>190140</v>
      </c>
      <c r="I104" s="149"/>
      <c r="J104" s="149"/>
      <c r="K104" s="49"/>
      <c r="M104" s="49"/>
      <c r="N104" s="310"/>
    </row>
    <row r="105" spans="1:14" s="150" customFormat="1" ht="150" customHeight="1">
      <c r="A105" s="143" t="s">
        <v>546</v>
      </c>
      <c r="B105" s="144">
        <v>7363</v>
      </c>
      <c r="C105" s="145" t="s">
        <v>92</v>
      </c>
      <c r="D105" s="146" t="s">
        <v>547</v>
      </c>
      <c r="E105" s="244" t="s">
        <v>353</v>
      </c>
      <c r="F105" s="147" t="s">
        <v>550</v>
      </c>
      <c r="G105" s="148">
        <f t="shared" si="4"/>
        <v>306000</v>
      </c>
      <c r="H105" s="149"/>
      <c r="I105" s="149">
        <f>0+206000+100000</f>
        <v>306000</v>
      </c>
      <c r="J105" s="149">
        <f>I105</f>
        <v>306000</v>
      </c>
      <c r="K105" s="49"/>
      <c r="M105" s="49"/>
      <c r="N105" s="310"/>
    </row>
    <row r="106" spans="1:14" s="289" customFormat="1" ht="143.25" customHeight="1">
      <c r="A106" s="282"/>
      <c r="B106" s="283"/>
      <c r="C106" s="283"/>
      <c r="D106" s="284" t="s">
        <v>548</v>
      </c>
      <c r="E106" s="285"/>
      <c r="F106" s="285"/>
      <c r="G106" s="286">
        <f t="shared" si="4"/>
        <v>200000</v>
      </c>
      <c r="H106" s="287"/>
      <c r="I106" s="288">
        <v>200000</v>
      </c>
      <c r="J106" s="288">
        <f>I106</f>
        <v>200000</v>
      </c>
      <c r="K106" s="9"/>
      <c r="M106" s="9"/>
      <c r="N106" s="310"/>
    </row>
    <row r="107" spans="1:14" s="289" customFormat="1" ht="141.75" customHeight="1">
      <c r="A107" s="282"/>
      <c r="B107" s="283"/>
      <c r="C107" s="283"/>
      <c r="D107" s="284" t="s">
        <v>422</v>
      </c>
      <c r="E107" s="285"/>
      <c r="F107" s="285"/>
      <c r="G107" s="286">
        <f t="shared" si="4"/>
        <v>100000</v>
      </c>
      <c r="H107" s="287"/>
      <c r="I107" s="288">
        <v>100000</v>
      </c>
      <c r="J107" s="288">
        <f>I107</f>
        <v>100000</v>
      </c>
      <c r="K107" s="9"/>
      <c r="M107" s="9"/>
      <c r="N107" s="310"/>
    </row>
    <row r="108" spans="1:16" s="15" customFormat="1" ht="126.75" customHeight="1">
      <c r="A108" s="393" t="s">
        <v>228</v>
      </c>
      <c r="B108" s="395">
        <v>7670</v>
      </c>
      <c r="C108" s="393" t="s">
        <v>92</v>
      </c>
      <c r="D108" s="421" t="s">
        <v>164</v>
      </c>
      <c r="E108" s="67" t="s">
        <v>281</v>
      </c>
      <c r="F108" s="58" t="s">
        <v>544</v>
      </c>
      <c r="G108" s="74">
        <f t="shared" si="4"/>
        <v>2000000</v>
      </c>
      <c r="H108" s="60"/>
      <c r="I108" s="61">
        <f>3000000-165000+165000-1000000</f>
        <v>2000000</v>
      </c>
      <c r="J108" s="110">
        <f>I108</f>
        <v>2000000</v>
      </c>
      <c r="K108" s="49"/>
      <c r="M108" s="49">
        <f>J108+J109+J304+J305+J306+J307+J308+J309+J311+J338+J339+J351</f>
        <v>126986920.13</v>
      </c>
      <c r="N108" s="310"/>
      <c r="P108" s="49"/>
    </row>
    <row r="109" spans="1:14" s="65" customFormat="1" ht="135.75" customHeight="1">
      <c r="A109" s="394"/>
      <c r="B109" s="397"/>
      <c r="C109" s="394"/>
      <c r="D109" s="423"/>
      <c r="E109" s="58" t="s">
        <v>494</v>
      </c>
      <c r="F109" s="58" t="s">
        <v>543</v>
      </c>
      <c r="G109" s="74">
        <f t="shared" si="4"/>
        <v>572000</v>
      </c>
      <c r="H109" s="60"/>
      <c r="I109" s="61">
        <f>165000+407000</f>
        <v>572000</v>
      </c>
      <c r="J109" s="61">
        <f>I109</f>
        <v>572000</v>
      </c>
      <c r="K109" s="49">
        <f>H112+H113+H115+H117+H118+H119+H122+H123+H124+H127+H128+H129+H135+H136+H137+H138+H139</f>
        <v>31206292</v>
      </c>
      <c r="M109" s="49"/>
      <c r="N109" s="310"/>
    </row>
    <row r="110" spans="1:14" s="15" customFormat="1" ht="30" customHeight="1">
      <c r="A110" s="70" t="s">
        <v>196</v>
      </c>
      <c r="B110" s="69"/>
      <c r="C110" s="69"/>
      <c r="D110" s="412" t="s">
        <v>197</v>
      </c>
      <c r="E110" s="413"/>
      <c r="F110" s="158" t="s">
        <v>284</v>
      </c>
      <c r="G110" s="76">
        <f>G111</f>
        <v>42652458.19</v>
      </c>
      <c r="H110" s="76">
        <f>H111</f>
        <v>31206292</v>
      </c>
      <c r="I110" s="76">
        <f>I111</f>
        <v>11446166.19</v>
      </c>
      <c r="J110" s="76">
        <f>J111</f>
        <v>11062462</v>
      </c>
      <c r="K110" s="159"/>
      <c r="M110" s="159"/>
      <c r="N110" s="310"/>
    </row>
    <row r="111" spans="1:14" s="73" customFormat="1" ht="27" customHeight="1">
      <c r="A111" s="50" t="s">
        <v>174</v>
      </c>
      <c r="B111" s="51"/>
      <c r="C111" s="51"/>
      <c r="D111" s="432" t="s">
        <v>172</v>
      </c>
      <c r="E111" s="433"/>
      <c r="F111" s="52" t="s">
        <v>284</v>
      </c>
      <c r="G111" s="160">
        <f>G112+G113+G115+G118+G119+G120+G124+G126+G128+G129+G130+G131+G138+G135+G139+G117+G127+G136+G137+G122</f>
        <v>42652458.19</v>
      </c>
      <c r="H111" s="160">
        <f>H112+H113+H115+H118+H119+H120+H124+H126+H128+H129+H130+H131+H138+H135+H139+H117+H127+H136+H137+H122</f>
        <v>31206292</v>
      </c>
      <c r="I111" s="160">
        <f>I112+I113+I115+I118+I119+I120+I124+I126+I128+I129+I130+I131+I138+I135+I139+I117+I127+I136+I137+I122</f>
        <v>11446166.19</v>
      </c>
      <c r="J111" s="160">
        <f>J112+J113+J115+J118+J119+J120+J124+J126+J128+J129+J130+J131+J138+J135+J139+J117+J127+J136+J137+J122</f>
        <v>11062462</v>
      </c>
      <c r="K111" s="304">
        <f>H112+H113+H115+H117+H118+H119+H123+H124+H127+H128+H129+H135+H136+H137+H138+H139+H122</f>
        <v>31206292</v>
      </c>
      <c r="L111" s="304">
        <f>I112+I113+I115+I117+I118+I119+I123+I124+I127+I128+I129+I135+I136+I137+I138+I139</f>
        <v>11446166.19</v>
      </c>
      <c r="M111" s="304">
        <f>K111+L111</f>
        <v>42652458.19</v>
      </c>
      <c r="N111" s="310">
        <f>M111-G111</f>
        <v>0</v>
      </c>
    </row>
    <row r="112" spans="1:14" s="15" customFormat="1" ht="132.75" customHeight="1">
      <c r="A112" s="56" t="s">
        <v>276</v>
      </c>
      <c r="B112" s="56" t="s">
        <v>121</v>
      </c>
      <c r="C112" s="56" t="s">
        <v>65</v>
      </c>
      <c r="D112" s="57" t="s">
        <v>166</v>
      </c>
      <c r="E112" s="58" t="s">
        <v>651</v>
      </c>
      <c r="F112" s="58" t="s">
        <v>332</v>
      </c>
      <c r="G112" s="74">
        <f>SUM(H112+I112)</f>
        <v>248263</v>
      </c>
      <c r="H112" s="60">
        <f>230000+18263</f>
        <v>248263</v>
      </c>
      <c r="I112" s="61"/>
      <c r="J112" s="61"/>
      <c r="K112" s="332">
        <v>2010</v>
      </c>
      <c r="L112" s="330">
        <f>H113+H124+H136</f>
        <v>4411061</v>
      </c>
      <c r="M112" s="330">
        <f>I113+I136</f>
        <v>6889547</v>
      </c>
      <c r="N112" s="330">
        <f>J113+J136</f>
        <v>6842647</v>
      </c>
    </row>
    <row r="113" spans="1:14" s="15" customFormat="1" ht="77.25" customHeight="1">
      <c r="A113" s="411" t="s">
        <v>175</v>
      </c>
      <c r="B113" s="411">
        <v>2010</v>
      </c>
      <c r="C113" s="411" t="s">
        <v>93</v>
      </c>
      <c r="D113" s="401" t="s">
        <v>154</v>
      </c>
      <c r="E113" s="414" t="s">
        <v>697</v>
      </c>
      <c r="F113" s="414" t="s">
        <v>490</v>
      </c>
      <c r="G113" s="74">
        <f aca="true" t="shared" si="5" ref="G113:G138">SUM(H113+I113)</f>
        <v>10553780</v>
      </c>
      <c r="H113" s="66">
        <f>3859398+12590</f>
        <v>3871988</v>
      </c>
      <c r="I113" s="101">
        <v>6681792</v>
      </c>
      <c r="J113" s="101">
        <v>6634892</v>
      </c>
      <c r="K113" s="332">
        <v>2020</v>
      </c>
      <c r="L113" s="330">
        <f>H115+H127</f>
        <v>135664</v>
      </c>
      <c r="M113" s="330">
        <f>I115+I127</f>
        <v>19488</v>
      </c>
      <c r="N113" s="330">
        <f>J115+J127</f>
        <v>19488</v>
      </c>
    </row>
    <row r="114" spans="1:14" s="15" customFormat="1" ht="34.5" customHeight="1" hidden="1">
      <c r="A114" s="411"/>
      <c r="B114" s="411"/>
      <c r="C114" s="411"/>
      <c r="D114" s="401"/>
      <c r="E114" s="415"/>
      <c r="F114" s="415"/>
      <c r="G114" s="74">
        <f t="shared" si="5"/>
        <v>0</v>
      </c>
      <c r="H114" s="66"/>
      <c r="I114" s="101"/>
      <c r="J114" s="101"/>
      <c r="K114" s="331"/>
      <c r="L114" s="331"/>
      <c r="M114" s="330">
        <f>H114+I114</f>
        <v>0</v>
      </c>
      <c r="N114" s="310"/>
    </row>
    <row r="115" spans="1:14" s="15" customFormat="1" ht="69.75">
      <c r="A115" s="55" t="s">
        <v>176</v>
      </c>
      <c r="B115" s="55">
        <v>2020</v>
      </c>
      <c r="C115" s="55" t="s">
        <v>94</v>
      </c>
      <c r="D115" s="57" t="s">
        <v>156</v>
      </c>
      <c r="E115" s="415"/>
      <c r="F115" s="415"/>
      <c r="G115" s="74">
        <f t="shared" si="5"/>
        <v>144352</v>
      </c>
      <c r="H115" s="66">
        <v>124864</v>
      </c>
      <c r="I115" s="61">
        <f>19488</f>
        <v>19488</v>
      </c>
      <c r="J115" s="61">
        <v>19488</v>
      </c>
      <c r="K115" s="331">
        <v>2080</v>
      </c>
      <c r="L115" s="330">
        <f>H117</f>
        <v>239023</v>
      </c>
      <c r="M115" s="330">
        <f>I117</f>
        <v>167486</v>
      </c>
      <c r="N115" s="330">
        <f>J117</f>
        <v>167486</v>
      </c>
    </row>
    <row r="116" spans="1:14" s="15" customFormat="1" ht="46.5">
      <c r="A116" s="55" t="s">
        <v>177</v>
      </c>
      <c r="B116" s="55">
        <v>2100</v>
      </c>
      <c r="C116" s="55" t="s">
        <v>95</v>
      </c>
      <c r="D116" s="57" t="s">
        <v>178</v>
      </c>
      <c r="E116" s="415"/>
      <c r="F116" s="415"/>
      <c r="G116" s="74">
        <f t="shared" si="5"/>
        <v>0</v>
      </c>
      <c r="H116" s="66"/>
      <c r="I116" s="61"/>
      <c r="J116" s="61"/>
      <c r="K116" s="331"/>
      <c r="L116" s="331"/>
      <c r="M116" s="330"/>
      <c r="N116" s="310"/>
    </row>
    <row r="117" spans="1:14" s="15" customFormat="1" ht="132" customHeight="1">
      <c r="A117" s="56" t="s">
        <v>727</v>
      </c>
      <c r="B117" s="161" t="s">
        <v>728</v>
      </c>
      <c r="C117" s="55" t="s">
        <v>729</v>
      </c>
      <c r="D117" s="128" t="s">
        <v>726</v>
      </c>
      <c r="E117" s="415"/>
      <c r="F117" s="415"/>
      <c r="G117" s="74">
        <f t="shared" si="5"/>
        <v>406509</v>
      </c>
      <c r="H117" s="66">
        <v>239023</v>
      </c>
      <c r="I117" s="61">
        <v>167486</v>
      </c>
      <c r="J117" s="61">
        <v>167486</v>
      </c>
      <c r="K117" s="331">
        <v>2100</v>
      </c>
      <c r="L117" s="330">
        <f>H118+H128</f>
        <v>1250576</v>
      </c>
      <c r="M117" s="330">
        <f>I118+I128</f>
        <v>0</v>
      </c>
      <c r="N117" s="330">
        <f>J118+J128</f>
        <v>0</v>
      </c>
    </row>
    <row r="118" spans="1:14" s="15" customFormat="1" ht="54.75" customHeight="1">
      <c r="A118" s="55" t="s">
        <v>177</v>
      </c>
      <c r="B118" s="55">
        <v>2100</v>
      </c>
      <c r="C118" s="55" t="s">
        <v>95</v>
      </c>
      <c r="D118" s="57" t="s">
        <v>178</v>
      </c>
      <c r="E118" s="415"/>
      <c r="F118" s="415"/>
      <c r="G118" s="74">
        <f t="shared" si="5"/>
        <v>650576</v>
      </c>
      <c r="H118" s="66">
        <f>600000-100000+49947+100629</f>
        <v>650576</v>
      </c>
      <c r="I118" s="61"/>
      <c r="J118" s="61"/>
      <c r="K118" s="331">
        <v>2111</v>
      </c>
      <c r="L118" s="330">
        <f>H119+H135+H137</f>
        <v>6931978</v>
      </c>
      <c r="M118" s="330">
        <f>I119+I135+I137</f>
        <v>2449540</v>
      </c>
      <c r="N118" s="330">
        <f>J119+J135+J137</f>
        <v>2449540</v>
      </c>
    </row>
    <row r="119" spans="1:14" s="15" customFormat="1" ht="152.25" customHeight="1">
      <c r="A119" s="56" t="s">
        <v>503</v>
      </c>
      <c r="B119" s="56" t="s">
        <v>500</v>
      </c>
      <c r="C119" s="55" t="s">
        <v>502</v>
      </c>
      <c r="D119" s="57" t="s">
        <v>501</v>
      </c>
      <c r="E119" s="415"/>
      <c r="F119" s="415"/>
      <c r="G119" s="74">
        <f t="shared" si="5"/>
        <v>9029362</v>
      </c>
      <c r="H119" s="66">
        <v>6859362</v>
      </c>
      <c r="I119" s="61">
        <v>2170000</v>
      </c>
      <c r="J119" s="61">
        <v>2170000</v>
      </c>
      <c r="K119" s="49">
        <f>G113+G115+G118+G119+G121+G123+G117+G122</f>
        <v>40014461</v>
      </c>
      <c r="L119" s="49">
        <f>H113+H115+H118+H119+H121+H123+H117+H122</f>
        <v>29398074</v>
      </c>
      <c r="M119" s="49"/>
      <c r="N119" s="310"/>
    </row>
    <row r="120" spans="1:14" s="89" customFormat="1" ht="36" customHeight="1" hidden="1">
      <c r="A120" s="84" t="s">
        <v>389</v>
      </c>
      <c r="B120" s="84" t="s">
        <v>390</v>
      </c>
      <c r="C120" s="84"/>
      <c r="D120" s="123" t="s">
        <v>391</v>
      </c>
      <c r="E120" s="415"/>
      <c r="F120" s="415"/>
      <c r="G120" s="74">
        <f t="shared" si="5"/>
        <v>19221230</v>
      </c>
      <c r="H120" s="162">
        <f>H121+H123</f>
        <v>17643609</v>
      </c>
      <c r="I120" s="162">
        <f>I121+I123</f>
        <v>1577621</v>
      </c>
      <c r="J120" s="162">
        <f>J121+J123</f>
        <v>1577621</v>
      </c>
      <c r="M120" s="49"/>
      <c r="N120" s="310"/>
    </row>
    <row r="121" spans="1:14" s="15" customFormat="1" ht="69.75">
      <c r="A121" s="56" t="s">
        <v>621</v>
      </c>
      <c r="B121" s="55">
        <v>2151</v>
      </c>
      <c r="C121" s="56" t="s">
        <v>59</v>
      </c>
      <c r="D121" s="57" t="s">
        <v>6</v>
      </c>
      <c r="E121" s="415"/>
      <c r="F121" s="415"/>
      <c r="G121" s="74">
        <f t="shared" si="5"/>
        <v>0</v>
      </c>
      <c r="H121" s="66">
        <v>0</v>
      </c>
      <c r="I121" s="61"/>
      <c r="J121" s="61"/>
      <c r="M121" s="49"/>
      <c r="N121" s="310"/>
    </row>
    <row r="122" spans="1:14" s="15" customFormat="1" ht="49.5" customHeight="1">
      <c r="A122" s="56" t="s">
        <v>621</v>
      </c>
      <c r="B122" s="56" t="s">
        <v>762</v>
      </c>
      <c r="C122" s="56" t="s">
        <v>96</v>
      </c>
      <c r="D122" s="57" t="s">
        <v>763</v>
      </c>
      <c r="E122" s="415"/>
      <c r="F122" s="415"/>
      <c r="G122" s="74">
        <f t="shared" si="5"/>
        <v>8652</v>
      </c>
      <c r="H122" s="66">
        <v>8652</v>
      </c>
      <c r="I122" s="61"/>
      <c r="J122" s="61"/>
      <c r="M122" s="49"/>
      <c r="N122" s="310"/>
    </row>
    <row r="123" spans="1:14" s="15" customFormat="1" ht="68.25" customHeight="1">
      <c r="A123" s="55" t="s">
        <v>665</v>
      </c>
      <c r="B123" s="55">
        <v>2152</v>
      </c>
      <c r="C123" s="55" t="s">
        <v>96</v>
      </c>
      <c r="D123" s="57" t="s">
        <v>750</v>
      </c>
      <c r="E123" s="416"/>
      <c r="F123" s="416"/>
      <c r="G123" s="74">
        <f t="shared" si="5"/>
        <v>19221230</v>
      </c>
      <c r="H123" s="66">
        <v>17643609</v>
      </c>
      <c r="I123" s="61">
        <f>3000000-100000+705000-50000-50000-650000-199000-198900-199000+312218-992697</f>
        <v>1577621</v>
      </c>
      <c r="J123" s="61">
        <f>3000000-100000+705000-50000-50000-650000-199000-198900-199000+312218-992697</f>
        <v>1577621</v>
      </c>
      <c r="K123" s="329">
        <v>2152</v>
      </c>
      <c r="L123" s="328">
        <f>H123</f>
        <v>17643609</v>
      </c>
      <c r="M123" s="328">
        <f>I123</f>
        <v>1577621</v>
      </c>
      <c r="N123" s="328">
        <f>J123</f>
        <v>1577621</v>
      </c>
    </row>
    <row r="124" spans="1:14" s="15" customFormat="1" ht="70.5" customHeight="1">
      <c r="A124" s="411" t="s">
        <v>175</v>
      </c>
      <c r="B124" s="411">
        <v>2010</v>
      </c>
      <c r="C124" s="411" t="s">
        <v>93</v>
      </c>
      <c r="D124" s="401" t="s">
        <v>154</v>
      </c>
      <c r="E124" s="414" t="s">
        <v>466</v>
      </c>
      <c r="F124" s="414" t="s">
        <v>186</v>
      </c>
      <c r="G124" s="74">
        <f t="shared" si="5"/>
        <v>539073</v>
      </c>
      <c r="H124" s="66">
        <v>539073</v>
      </c>
      <c r="I124" s="61"/>
      <c r="J124" s="61"/>
      <c r="K124" s="329"/>
      <c r="L124" s="329"/>
      <c r="M124" s="328"/>
      <c r="N124" s="333"/>
    </row>
    <row r="125" spans="1:14" s="15" customFormat="1" ht="28.5" customHeight="1" hidden="1">
      <c r="A125" s="411"/>
      <c r="B125" s="411"/>
      <c r="C125" s="411"/>
      <c r="D125" s="401"/>
      <c r="E125" s="415"/>
      <c r="F125" s="415"/>
      <c r="G125" s="74">
        <f t="shared" si="5"/>
        <v>0</v>
      </c>
      <c r="H125" s="66"/>
      <c r="I125" s="61"/>
      <c r="J125" s="61"/>
      <c r="M125" s="49"/>
      <c r="N125" s="310"/>
    </row>
    <row r="126" spans="1:14" s="15" customFormat="1" ht="51.75" customHeight="1" hidden="1">
      <c r="A126" s="55" t="s">
        <v>176</v>
      </c>
      <c r="B126" s="55">
        <v>2020</v>
      </c>
      <c r="C126" s="55" t="s">
        <v>94</v>
      </c>
      <c r="D126" s="57" t="s">
        <v>156</v>
      </c>
      <c r="E126" s="415"/>
      <c r="F126" s="415"/>
      <c r="G126" s="74">
        <f t="shared" si="5"/>
        <v>0</v>
      </c>
      <c r="H126" s="66"/>
      <c r="I126" s="61"/>
      <c r="J126" s="61"/>
      <c r="M126" s="49"/>
      <c r="N126" s="310"/>
    </row>
    <row r="127" spans="1:14" s="15" customFormat="1" ht="81" customHeight="1">
      <c r="A127" s="55" t="s">
        <v>176</v>
      </c>
      <c r="B127" s="55">
        <v>2020</v>
      </c>
      <c r="C127" s="55" t="s">
        <v>94</v>
      </c>
      <c r="D127" s="57" t="s">
        <v>156</v>
      </c>
      <c r="E127" s="415"/>
      <c r="F127" s="415"/>
      <c r="G127" s="74">
        <f t="shared" si="5"/>
        <v>10800</v>
      </c>
      <c r="H127" s="66">
        <v>10800</v>
      </c>
      <c r="I127" s="61"/>
      <c r="J127" s="61"/>
      <c r="M127" s="49"/>
      <c r="N127" s="310"/>
    </row>
    <row r="128" spans="1:14" s="15" customFormat="1" ht="60.75" customHeight="1">
      <c r="A128" s="55" t="s">
        <v>177</v>
      </c>
      <c r="B128" s="55">
        <v>2100</v>
      </c>
      <c r="C128" s="55" t="s">
        <v>95</v>
      </c>
      <c r="D128" s="57" t="s">
        <v>178</v>
      </c>
      <c r="E128" s="415"/>
      <c r="F128" s="415"/>
      <c r="G128" s="74">
        <f t="shared" si="5"/>
        <v>600000</v>
      </c>
      <c r="H128" s="66">
        <v>600000</v>
      </c>
      <c r="I128" s="61"/>
      <c r="J128" s="61"/>
      <c r="K128" s="49">
        <f>G124+G128+G129+G127</f>
        <v>1487339</v>
      </c>
      <c r="M128" s="49"/>
      <c r="N128" s="310"/>
    </row>
    <row r="129" spans="1:14" s="15" customFormat="1" ht="62.25" customHeight="1">
      <c r="A129" s="55" t="s">
        <v>179</v>
      </c>
      <c r="B129" s="55">
        <v>2110</v>
      </c>
      <c r="C129" s="55" t="s">
        <v>643</v>
      </c>
      <c r="D129" s="57" t="s">
        <v>749</v>
      </c>
      <c r="E129" s="416"/>
      <c r="F129" s="416"/>
      <c r="G129" s="74">
        <f t="shared" si="5"/>
        <v>337466</v>
      </c>
      <c r="H129" s="66">
        <v>337466</v>
      </c>
      <c r="I129" s="61"/>
      <c r="J129" s="61"/>
      <c r="M129" s="49"/>
      <c r="N129" s="310"/>
    </row>
    <row r="130" spans="1:14" s="15" customFormat="1" ht="37.5" customHeight="1" hidden="1">
      <c r="A130" s="56" t="s">
        <v>175</v>
      </c>
      <c r="B130" s="55">
        <v>2010</v>
      </c>
      <c r="C130" s="56" t="s">
        <v>93</v>
      </c>
      <c r="D130" s="57" t="s">
        <v>154</v>
      </c>
      <c r="E130" s="414" t="s">
        <v>387</v>
      </c>
      <c r="F130" s="414" t="s">
        <v>388</v>
      </c>
      <c r="G130" s="74">
        <f t="shared" si="5"/>
        <v>0</v>
      </c>
      <c r="H130" s="66"/>
      <c r="I130" s="61"/>
      <c r="J130" s="61"/>
      <c r="M130" s="49">
        <f>H130+I130</f>
        <v>0</v>
      </c>
      <c r="N130" s="310"/>
    </row>
    <row r="131" spans="1:14" s="15" customFormat="1" ht="35.25" customHeight="1" hidden="1">
      <c r="A131" s="55" t="s">
        <v>179</v>
      </c>
      <c r="B131" s="55">
        <v>2110</v>
      </c>
      <c r="C131" s="55" t="s">
        <v>643</v>
      </c>
      <c r="D131" s="57" t="s">
        <v>749</v>
      </c>
      <c r="E131" s="416"/>
      <c r="F131" s="416"/>
      <c r="G131" s="74">
        <f t="shared" si="5"/>
        <v>0</v>
      </c>
      <c r="H131" s="66"/>
      <c r="I131" s="61"/>
      <c r="J131" s="61"/>
      <c r="M131" s="49">
        <f>H131+I131</f>
        <v>0</v>
      </c>
      <c r="N131" s="310"/>
    </row>
    <row r="132" spans="1:14" s="15" customFormat="1" ht="54" customHeight="1" hidden="1">
      <c r="A132" s="55">
        <v>712150</v>
      </c>
      <c r="B132" s="55">
        <v>2150</v>
      </c>
      <c r="C132" s="56" t="s">
        <v>96</v>
      </c>
      <c r="D132" s="163" t="s">
        <v>595</v>
      </c>
      <c r="E132" s="67" t="s">
        <v>596</v>
      </c>
      <c r="F132" s="58"/>
      <c r="G132" s="74">
        <f t="shared" si="5"/>
        <v>0</v>
      </c>
      <c r="H132" s="60"/>
      <c r="I132" s="61"/>
      <c r="J132" s="61"/>
      <c r="M132" s="49">
        <f>H132+I132</f>
        <v>0</v>
      </c>
      <c r="N132" s="310"/>
    </row>
    <row r="133" spans="1:14" s="15" customFormat="1" ht="45.75" customHeight="1" hidden="1">
      <c r="A133" s="55" t="s">
        <v>179</v>
      </c>
      <c r="B133" s="55">
        <v>2110</v>
      </c>
      <c r="C133" s="55" t="s">
        <v>643</v>
      </c>
      <c r="D133" s="57" t="s">
        <v>749</v>
      </c>
      <c r="E133" s="434" t="s">
        <v>7</v>
      </c>
      <c r="F133" s="58"/>
      <c r="G133" s="74">
        <f t="shared" si="5"/>
        <v>0</v>
      </c>
      <c r="H133" s="60"/>
      <c r="I133" s="61"/>
      <c r="J133" s="61"/>
      <c r="M133" s="49">
        <f>H133+I133</f>
        <v>0</v>
      </c>
      <c r="N133" s="310"/>
    </row>
    <row r="134" spans="1:14" s="15" customFormat="1" ht="48.75" customHeight="1" hidden="1">
      <c r="A134" s="56" t="s">
        <v>175</v>
      </c>
      <c r="B134" s="55">
        <v>2010</v>
      </c>
      <c r="C134" s="56" t="s">
        <v>93</v>
      </c>
      <c r="D134" s="57" t="s">
        <v>154</v>
      </c>
      <c r="E134" s="435"/>
      <c r="F134" s="58"/>
      <c r="G134" s="74">
        <f t="shared" si="5"/>
        <v>0</v>
      </c>
      <c r="H134" s="60"/>
      <c r="I134" s="61"/>
      <c r="J134" s="61"/>
      <c r="M134" s="49">
        <f>H134+I134</f>
        <v>0</v>
      </c>
      <c r="N134" s="310"/>
    </row>
    <row r="135" spans="1:14" s="15" customFormat="1" ht="156" customHeight="1">
      <c r="A135" s="55" t="s">
        <v>503</v>
      </c>
      <c r="B135" s="56" t="s">
        <v>500</v>
      </c>
      <c r="C135" s="55" t="s">
        <v>502</v>
      </c>
      <c r="D135" s="57" t="s">
        <v>712</v>
      </c>
      <c r="E135" s="164" t="s">
        <v>425</v>
      </c>
      <c r="F135" s="58" t="s">
        <v>426</v>
      </c>
      <c r="G135" s="74">
        <f t="shared" si="5"/>
        <v>152256</v>
      </c>
      <c r="H135" s="60">
        <v>52276</v>
      </c>
      <c r="I135" s="66">
        <v>99980</v>
      </c>
      <c r="J135" s="61">
        <v>99980</v>
      </c>
      <c r="M135" s="49"/>
      <c r="N135" s="310"/>
    </row>
    <row r="136" spans="1:14" s="15" customFormat="1" ht="99.75" customHeight="1">
      <c r="A136" s="56" t="s">
        <v>175</v>
      </c>
      <c r="B136" s="56" t="s">
        <v>451</v>
      </c>
      <c r="C136" s="56" t="s">
        <v>93</v>
      </c>
      <c r="D136" s="57" t="s">
        <v>154</v>
      </c>
      <c r="E136" s="424" t="s">
        <v>294</v>
      </c>
      <c r="F136" s="417" t="s">
        <v>421</v>
      </c>
      <c r="G136" s="74">
        <f t="shared" si="5"/>
        <v>207755</v>
      </c>
      <c r="H136" s="60">
        <v>0</v>
      </c>
      <c r="I136" s="66">
        <v>207755</v>
      </c>
      <c r="J136" s="61">
        <v>207755</v>
      </c>
      <c r="K136" s="49"/>
      <c r="M136" s="49"/>
      <c r="N136" s="310"/>
    </row>
    <row r="137" spans="1:14" s="15" customFormat="1" ht="152.25" customHeight="1">
      <c r="A137" s="55" t="s">
        <v>503</v>
      </c>
      <c r="B137" s="56" t="s">
        <v>500</v>
      </c>
      <c r="C137" s="55" t="s">
        <v>502</v>
      </c>
      <c r="D137" s="57" t="s">
        <v>712</v>
      </c>
      <c r="E137" s="425"/>
      <c r="F137" s="399"/>
      <c r="G137" s="74">
        <f t="shared" si="5"/>
        <v>199900</v>
      </c>
      <c r="H137" s="60">
        <v>20340</v>
      </c>
      <c r="I137" s="66">
        <f>199900-20340</f>
        <v>179560</v>
      </c>
      <c r="J137" s="61">
        <f>199900-20340</f>
        <v>179560</v>
      </c>
      <c r="M137" s="49"/>
      <c r="N137" s="310"/>
    </row>
    <row r="138" spans="1:14" s="15" customFormat="1" ht="92.25" customHeight="1">
      <c r="A138" s="55" t="s">
        <v>497</v>
      </c>
      <c r="B138" s="55" t="s">
        <v>609</v>
      </c>
      <c r="C138" s="56" t="s">
        <v>124</v>
      </c>
      <c r="D138" s="57" t="s">
        <v>610</v>
      </c>
      <c r="E138" s="67" t="s">
        <v>283</v>
      </c>
      <c r="F138" s="147" t="s">
        <v>710</v>
      </c>
      <c r="G138" s="74">
        <f t="shared" si="5"/>
        <v>5680</v>
      </c>
      <c r="H138" s="60"/>
      <c r="I138" s="61">
        <v>5680</v>
      </c>
      <c r="J138" s="61">
        <f>I138</f>
        <v>5680</v>
      </c>
      <c r="M138" s="49"/>
      <c r="N138" s="310"/>
    </row>
    <row r="139" spans="1:14" s="65" customFormat="1" ht="390.75" customHeight="1">
      <c r="A139" s="161" t="s">
        <v>317</v>
      </c>
      <c r="B139" s="161">
        <v>7691</v>
      </c>
      <c r="C139" s="56" t="s">
        <v>92</v>
      </c>
      <c r="D139" s="57" t="s">
        <v>306</v>
      </c>
      <c r="E139" s="90" t="s">
        <v>697</v>
      </c>
      <c r="F139" s="147" t="s">
        <v>490</v>
      </c>
      <c r="G139" s="166">
        <f>H139+I139</f>
        <v>336804.19</v>
      </c>
      <c r="H139" s="149">
        <f>0</f>
        <v>0</v>
      </c>
      <c r="I139" s="112">
        <v>336804.19</v>
      </c>
      <c r="J139" s="110"/>
      <c r="M139" s="49"/>
      <c r="N139" s="310"/>
    </row>
    <row r="140" spans="1:14" s="15" customFormat="1" ht="39" customHeight="1">
      <c r="A140" s="70" t="s">
        <v>198</v>
      </c>
      <c r="B140" s="69"/>
      <c r="C140" s="69"/>
      <c r="D140" s="412" t="s">
        <v>101</v>
      </c>
      <c r="E140" s="413"/>
      <c r="F140" s="167" t="s">
        <v>284</v>
      </c>
      <c r="G140" s="48">
        <f>G141+G160+G176+G190+G204</f>
        <v>60596152.34</v>
      </c>
      <c r="H140" s="48">
        <f>H141+H160+H176+H190+H204</f>
        <v>57889694.34</v>
      </c>
      <c r="I140" s="48">
        <f>I141+I160+I176+I190+I204</f>
        <v>2706458</v>
      </c>
      <c r="J140" s="48">
        <f>J141+J160+J176+J190+J204</f>
        <v>2413358</v>
      </c>
      <c r="K140" s="49"/>
      <c r="M140" s="49"/>
      <c r="N140" s="310"/>
    </row>
    <row r="141" spans="1:14" s="170" customFormat="1" ht="36.75" customHeight="1">
      <c r="A141" s="51" t="s">
        <v>199</v>
      </c>
      <c r="B141" s="51"/>
      <c r="C141" s="51"/>
      <c r="D141" s="436" t="s">
        <v>171</v>
      </c>
      <c r="E141" s="437"/>
      <c r="F141" s="169" t="s">
        <v>284</v>
      </c>
      <c r="G141" s="53">
        <f>G142+G143+G148+G151+G152+G153+G155</f>
        <v>30557191</v>
      </c>
      <c r="H141" s="53">
        <f>H142+H143+H148+H151+H152+H153+H155</f>
        <v>30442191</v>
      </c>
      <c r="I141" s="53">
        <f>I142+I143+I148+I151+I152+I153+I155</f>
        <v>115000</v>
      </c>
      <c r="J141" s="53">
        <f>J142+J143+J148+J151+J152+J153+J155</f>
        <v>115000</v>
      </c>
      <c r="K141" s="305">
        <f>H142+H144+H145+H146+H147+H149+H150+H151+H152+H154+H156+H157+H158+H159</f>
        <v>30442191</v>
      </c>
      <c r="L141" s="305">
        <f>I142+I144+I145+I146+I147+I149+I150+I151+I152+I154+I156+I157+I158+I159</f>
        <v>115000</v>
      </c>
      <c r="M141" s="305">
        <f>K141+L141</f>
        <v>30557191</v>
      </c>
      <c r="N141" s="310">
        <f>M141-G141</f>
        <v>0</v>
      </c>
    </row>
    <row r="142" spans="1:14" s="150" customFormat="1" ht="102" customHeight="1">
      <c r="A142" s="133" t="s">
        <v>277</v>
      </c>
      <c r="B142" s="133" t="s">
        <v>121</v>
      </c>
      <c r="C142" s="133" t="s">
        <v>65</v>
      </c>
      <c r="D142" s="146" t="s">
        <v>166</v>
      </c>
      <c r="E142" s="58" t="s">
        <v>267</v>
      </c>
      <c r="F142" s="58" t="s">
        <v>332</v>
      </c>
      <c r="G142" s="116">
        <f>H142+I142</f>
        <v>221438</v>
      </c>
      <c r="H142" s="60">
        <f>232000-82000+40000+20000+11438</f>
        <v>221438</v>
      </c>
      <c r="I142" s="110"/>
      <c r="J142" s="110"/>
      <c r="M142" s="49"/>
      <c r="N142" s="310"/>
    </row>
    <row r="143" spans="1:14" s="173" customFormat="1" ht="89.25" customHeight="1" hidden="1">
      <c r="A143" s="96" t="s">
        <v>212</v>
      </c>
      <c r="B143" s="96">
        <v>3030</v>
      </c>
      <c r="C143" s="171"/>
      <c r="D143" s="172" t="s">
        <v>200</v>
      </c>
      <c r="E143" s="97" t="s">
        <v>284</v>
      </c>
      <c r="F143" s="97" t="s">
        <v>284</v>
      </c>
      <c r="G143" s="99">
        <f>G144+G145+G146+G147</f>
        <v>7272100</v>
      </c>
      <c r="H143" s="88">
        <f>H144+H145+H146+H147</f>
        <v>7157100</v>
      </c>
      <c r="I143" s="88">
        <f>I144+I145+I146+I147</f>
        <v>115000</v>
      </c>
      <c r="J143" s="88">
        <f>J144+J145+J146+J147</f>
        <v>115000</v>
      </c>
      <c r="M143" s="49"/>
      <c r="N143" s="310"/>
    </row>
    <row r="144" spans="1:14" s="178" customFormat="1" ht="102.75" customHeight="1">
      <c r="A144" s="56" t="s">
        <v>201</v>
      </c>
      <c r="B144" s="56">
        <v>3031</v>
      </c>
      <c r="C144" s="56">
        <v>1030</v>
      </c>
      <c r="D144" s="174" t="s">
        <v>202</v>
      </c>
      <c r="E144" s="448" t="s">
        <v>467</v>
      </c>
      <c r="F144" s="418" t="s">
        <v>489</v>
      </c>
      <c r="G144" s="100">
        <f>H144+I144</f>
        <v>115000</v>
      </c>
      <c r="H144" s="110"/>
      <c r="I144" s="61">
        <v>115000</v>
      </c>
      <c r="J144" s="61">
        <v>115000</v>
      </c>
      <c r="K144" s="177">
        <f>G144+G145+G146+G147+G152+G153+G155+G162+G164+G167+G168+G170+G178+G181+G184+G185+G187+G193+G195+G198+G199+G201</f>
        <v>51816503.85</v>
      </c>
      <c r="M144" s="49"/>
      <c r="N144" s="310"/>
    </row>
    <row r="145" spans="1:14" s="178" customFormat="1" ht="141" customHeight="1">
      <c r="A145" s="133" t="s">
        <v>203</v>
      </c>
      <c r="B145" s="133">
        <v>3033</v>
      </c>
      <c r="C145" s="133">
        <v>1070</v>
      </c>
      <c r="D145" s="179" t="s">
        <v>98</v>
      </c>
      <c r="E145" s="449"/>
      <c r="F145" s="419"/>
      <c r="G145" s="100">
        <f>H145+I145</f>
        <v>1074000</v>
      </c>
      <c r="H145" s="136">
        <v>1074000</v>
      </c>
      <c r="I145" s="61"/>
      <c r="J145" s="61"/>
      <c r="M145" s="49"/>
      <c r="N145" s="310"/>
    </row>
    <row r="146" spans="1:14" s="178" customFormat="1" ht="134.25" customHeight="1">
      <c r="A146" s="133" t="s">
        <v>204</v>
      </c>
      <c r="B146" s="133">
        <v>3035</v>
      </c>
      <c r="C146" s="133">
        <v>1070</v>
      </c>
      <c r="D146" s="179" t="s">
        <v>99</v>
      </c>
      <c r="E146" s="449"/>
      <c r="F146" s="419"/>
      <c r="G146" s="100">
        <f>H146+I146</f>
        <v>561100</v>
      </c>
      <c r="H146" s="136">
        <v>561100</v>
      </c>
      <c r="I146" s="61"/>
      <c r="J146" s="61"/>
      <c r="M146" s="49"/>
      <c r="N146" s="310"/>
    </row>
    <row r="147" spans="1:14" s="180" customFormat="1" ht="137.25" customHeight="1">
      <c r="A147" s="133" t="s">
        <v>205</v>
      </c>
      <c r="B147" s="133">
        <v>3036</v>
      </c>
      <c r="C147" s="133">
        <v>1070</v>
      </c>
      <c r="D147" s="179" t="s">
        <v>100</v>
      </c>
      <c r="E147" s="449"/>
      <c r="F147" s="420"/>
      <c r="G147" s="100">
        <f>H147+I147</f>
        <v>5522000</v>
      </c>
      <c r="H147" s="136">
        <v>5522000</v>
      </c>
      <c r="I147" s="61"/>
      <c r="J147" s="61"/>
      <c r="M147" s="49"/>
      <c r="N147" s="310"/>
    </row>
    <row r="148" spans="1:14" s="173" customFormat="1" ht="49.5" customHeight="1" hidden="1">
      <c r="A148" s="96" t="s">
        <v>206</v>
      </c>
      <c r="B148" s="96">
        <v>3120</v>
      </c>
      <c r="C148" s="96"/>
      <c r="D148" s="172" t="s">
        <v>140</v>
      </c>
      <c r="E148" s="181" t="s">
        <v>284</v>
      </c>
      <c r="F148" s="181" t="s">
        <v>284</v>
      </c>
      <c r="G148" s="132">
        <f>G149+G150</f>
        <v>2700550</v>
      </c>
      <c r="H148" s="127">
        <f>H149+H150</f>
        <v>2700550</v>
      </c>
      <c r="I148" s="127">
        <f>I149+I150</f>
        <v>0</v>
      </c>
      <c r="J148" s="127">
        <f>J149+J150</f>
        <v>0</v>
      </c>
      <c r="M148" s="49"/>
      <c r="N148" s="310"/>
    </row>
    <row r="149" spans="1:14" s="182" customFormat="1" ht="129" customHeight="1">
      <c r="A149" s="56" t="s">
        <v>207</v>
      </c>
      <c r="B149" s="56">
        <v>3121</v>
      </c>
      <c r="C149" s="56">
        <v>1040</v>
      </c>
      <c r="D149" s="174" t="s">
        <v>208</v>
      </c>
      <c r="E149" s="122" t="s">
        <v>468</v>
      </c>
      <c r="F149" s="122" t="s">
        <v>488</v>
      </c>
      <c r="G149" s="95">
        <f>H149+I149</f>
        <v>2508000</v>
      </c>
      <c r="H149" s="61">
        <v>2508000</v>
      </c>
      <c r="I149" s="66"/>
      <c r="J149" s="66"/>
      <c r="K149" s="177">
        <f>G149+G150+G151</f>
        <v>4204150</v>
      </c>
      <c r="M149" s="49"/>
      <c r="N149" s="310"/>
    </row>
    <row r="150" spans="1:14" s="182" customFormat="1" ht="62.25" customHeight="1">
      <c r="A150" s="56" t="s">
        <v>209</v>
      </c>
      <c r="B150" s="56">
        <v>3123</v>
      </c>
      <c r="C150" s="56">
        <v>1040</v>
      </c>
      <c r="D150" s="174" t="s">
        <v>152</v>
      </c>
      <c r="E150" s="450" t="s">
        <v>468</v>
      </c>
      <c r="F150" s="480" t="s">
        <v>487</v>
      </c>
      <c r="G150" s="95">
        <f>H150+I150</f>
        <v>192550</v>
      </c>
      <c r="H150" s="66">
        <v>192550</v>
      </c>
      <c r="I150" s="66"/>
      <c r="J150" s="66"/>
      <c r="M150" s="49"/>
      <c r="N150" s="310"/>
    </row>
    <row r="151" spans="1:14" s="186" customFormat="1" ht="252" customHeight="1">
      <c r="A151" s="133" t="s">
        <v>210</v>
      </c>
      <c r="B151" s="133">
        <v>3140</v>
      </c>
      <c r="C151" s="133">
        <v>1040</v>
      </c>
      <c r="D151" s="179" t="s">
        <v>151</v>
      </c>
      <c r="E151" s="451"/>
      <c r="F151" s="481"/>
      <c r="G151" s="95">
        <f>H151+I151</f>
        <v>1503600</v>
      </c>
      <c r="H151" s="185">
        <v>1503600</v>
      </c>
      <c r="I151" s="110"/>
      <c r="J151" s="110"/>
      <c r="M151" s="49"/>
      <c r="N151" s="310"/>
    </row>
    <row r="152" spans="1:14" s="186" customFormat="1" ht="241.5" customHeight="1">
      <c r="A152" s="133" t="s">
        <v>211</v>
      </c>
      <c r="B152" s="133">
        <v>3180</v>
      </c>
      <c r="C152" s="133">
        <v>1060</v>
      </c>
      <c r="D152" s="179" t="s">
        <v>748</v>
      </c>
      <c r="E152" s="144" t="s">
        <v>467</v>
      </c>
      <c r="F152" s="144" t="s">
        <v>336</v>
      </c>
      <c r="G152" s="95">
        <f>H152+I152</f>
        <v>30000</v>
      </c>
      <c r="H152" s="110">
        <v>30000</v>
      </c>
      <c r="I152" s="110"/>
      <c r="J152" s="110"/>
      <c r="M152" s="49"/>
      <c r="N152" s="310"/>
    </row>
    <row r="153" spans="1:14" s="173" customFormat="1" ht="32.25" customHeight="1" hidden="1">
      <c r="A153" s="96" t="s">
        <v>676</v>
      </c>
      <c r="B153" s="96">
        <v>3190</v>
      </c>
      <c r="C153" s="96"/>
      <c r="D153" s="172" t="s">
        <v>104</v>
      </c>
      <c r="E153" s="97" t="s">
        <v>284</v>
      </c>
      <c r="F153" s="97" t="s">
        <v>284</v>
      </c>
      <c r="G153" s="99">
        <f>G154</f>
        <v>748015</v>
      </c>
      <c r="H153" s="88">
        <f>H154</f>
        <v>748015</v>
      </c>
      <c r="I153" s="88">
        <f>I154</f>
        <v>0</v>
      </c>
      <c r="J153" s="88">
        <f>J154</f>
        <v>0</v>
      </c>
      <c r="M153" s="49"/>
      <c r="N153" s="310"/>
    </row>
    <row r="154" spans="1:14" s="15" customFormat="1" ht="170.25" customHeight="1">
      <c r="A154" s="56" t="s">
        <v>677</v>
      </c>
      <c r="B154" s="56">
        <v>3192</v>
      </c>
      <c r="C154" s="56">
        <v>1030</v>
      </c>
      <c r="D154" s="174" t="s">
        <v>678</v>
      </c>
      <c r="E154" s="79" t="s">
        <v>469</v>
      </c>
      <c r="F154" s="184" t="s">
        <v>337</v>
      </c>
      <c r="G154" s="187">
        <f>H154+I154</f>
        <v>748015</v>
      </c>
      <c r="H154" s="188">
        <f>556100+70515+12000+109400</f>
        <v>748015</v>
      </c>
      <c r="I154" s="189"/>
      <c r="J154" s="189"/>
      <c r="M154" s="49"/>
      <c r="N154" s="310"/>
    </row>
    <row r="155" spans="1:14" s="89" customFormat="1" ht="30" customHeight="1" hidden="1">
      <c r="A155" s="96" t="s">
        <v>679</v>
      </c>
      <c r="B155" s="96">
        <v>3240</v>
      </c>
      <c r="C155" s="96"/>
      <c r="D155" s="86" t="s">
        <v>195</v>
      </c>
      <c r="E155" s="181" t="s">
        <v>284</v>
      </c>
      <c r="F155" s="190" t="s">
        <v>284</v>
      </c>
      <c r="G155" s="191">
        <f>G156+G157+G158+G159</f>
        <v>18081488</v>
      </c>
      <c r="H155" s="191">
        <f>H156+H157+H158+H159</f>
        <v>18081488</v>
      </c>
      <c r="I155" s="191">
        <f>I156+I157+I158+I159</f>
        <v>0</v>
      </c>
      <c r="J155" s="191">
        <f>J156+J157+J158+J159</f>
        <v>0</v>
      </c>
      <c r="M155" s="49"/>
      <c r="N155" s="310"/>
    </row>
    <row r="156" spans="1:14" s="15" customFormat="1" ht="125.25" customHeight="1">
      <c r="A156" s="56" t="s">
        <v>680</v>
      </c>
      <c r="B156" s="56">
        <v>3241</v>
      </c>
      <c r="C156" s="56">
        <v>1090</v>
      </c>
      <c r="D156" s="57" t="s">
        <v>682</v>
      </c>
      <c r="E156" s="183" t="s">
        <v>469</v>
      </c>
      <c r="F156" s="192" t="s">
        <v>338</v>
      </c>
      <c r="G156" s="116">
        <f>H156+I156</f>
        <v>2668470</v>
      </c>
      <c r="H156" s="193">
        <f>2638470+30000</f>
        <v>2668470</v>
      </c>
      <c r="I156" s="189"/>
      <c r="J156" s="189"/>
      <c r="M156" s="49"/>
      <c r="N156" s="310"/>
    </row>
    <row r="157" spans="1:14" s="387" customFormat="1" ht="75" customHeight="1">
      <c r="A157" s="393" t="s">
        <v>681</v>
      </c>
      <c r="B157" s="393" t="s">
        <v>670</v>
      </c>
      <c r="C157" s="395">
        <v>1090</v>
      </c>
      <c r="D157" s="421" t="s">
        <v>671</v>
      </c>
      <c r="E157" s="183" t="s">
        <v>469</v>
      </c>
      <c r="F157" s="183" t="s">
        <v>339</v>
      </c>
      <c r="G157" s="391">
        <f>H157+I157</f>
        <v>11784018</v>
      </c>
      <c r="H157" s="131">
        <v>11784018</v>
      </c>
      <c r="I157" s="385"/>
      <c r="J157" s="385"/>
      <c r="K157" s="49">
        <f>H157+H158+H159</f>
        <v>15413018</v>
      </c>
      <c r="L157" s="386">
        <v>15413018</v>
      </c>
      <c r="M157" s="386">
        <f>L157-K157</f>
        <v>0</v>
      </c>
      <c r="N157" s="326"/>
    </row>
    <row r="158" spans="1:14" s="388" customFormat="1" ht="128.25" customHeight="1">
      <c r="A158" s="398"/>
      <c r="B158" s="398"/>
      <c r="C158" s="396"/>
      <c r="D158" s="422"/>
      <c r="E158" s="183" t="s">
        <v>471</v>
      </c>
      <c r="F158" s="183" t="s">
        <v>340</v>
      </c>
      <c r="G158" s="116">
        <f>H158+I158</f>
        <v>1374000</v>
      </c>
      <c r="H158" s="392">
        <v>1374000</v>
      </c>
      <c r="I158" s="385"/>
      <c r="J158" s="385"/>
      <c r="K158" s="340"/>
      <c r="L158" s="388" t="s">
        <v>456</v>
      </c>
      <c r="M158" s="389"/>
      <c r="N158" s="390"/>
    </row>
    <row r="159" spans="1:14" s="388" customFormat="1" ht="135" customHeight="1">
      <c r="A159" s="394"/>
      <c r="B159" s="394"/>
      <c r="C159" s="397"/>
      <c r="D159" s="423"/>
      <c r="E159" s="183" t="s">
        <v>470</v>
      </c>
      <c r="F159" s="183" t="s">
        <v>659</v>
      </c>
      <c r="G159" s="116">
        <f>H159+I159</f>
        <v>2255000</v>
      </c>
      <c r="H159" s="131">
        <v>2255000</v>
      </c>
      <c r="I159" s="385"/>
      <c r="J159" s="385"/>
      <c r="K159" s="340"/>
      <c r="M159" s="389"/>
      <c r="N159" s="390"/>
    </row>
    <row r="160" spans="1:14" s="15" customFormat="1" ht="54" customHeight="1">
      <c r="A160" s="50" t="s">
        <v>199</v>
      </c>
      <c r="B160" s="51"/>
      <c r="C160" s="51"/>
      <c r="D160" s="432" t="s">
        <v>143</v>
      </c>
      <c r="E160" s="433"/>
      <c r="F160" s="52" t="s">
        <v>284</v>
      </c>
      <c r="G160" s="160">
        <f>G161+G163+G164+G165+G167+G169+G172+G173+G166+G174</f>
        <v>12189803.46</v>
      </c>
      <c r="H160" s="160">
        <f>H161+H163+H164+H165+H167+H169+H172+H173+H166+H174</f>
        <v>9832445.46</v>
      </c>
      <c r="I160" s="160">
        <f>I161+I162+I164+I167+I168+I170+I174</f>
        <v>2357358</v>
      </c>
      <c r="J160" s="160">
        <f>J161+J162+J164+J167+J168+J170+J174</f>
        <v>2243358</v>
      </c>
      <c r="K160" s="305">
        <f>H161+H163+H164+H165+H166+H167+H172+H173+H174</f>
        <v>9832445.46</v>
      </c>
      <c r="L160" s="305">
        <f>I161+I163+I164+I165+I166+I167+I172+I173+I174</f>
        <v>2357358</v>
      </c>
      <c r="M160" s="305">
        <f>K160+L160</f>
        <v>12189803.46</v>
      </c>
      <c r="N160" s="310">
        <f>M160-G160</f>
        <v>0</v>
      </c>
    </row>
    <row r="161" spans="1:14" s="150" customFormat="1" ht="116.25" customHeight="1">
      <c r="A161" s="133" t="s">
        <v>277</v>
      </c>
      <c r="B161" s="133" t="s">
        <v>121</v>
      </c>
      <c r="C161" s="133" t="s">
        <v>65</v>
      </c>
      <c r="D161" s="146" t="s">
        <v>166</v>
      </c>
      <c r="E161" s="58" t="s">
        <v>267</v>
      </c>
      <c r="F161" s="58" t="s">
        <v>332</v>
      </c>
      <c r="G161" s="194">
        <f>H161+I161</f>
        <v>240805</v>
      </c>
      <c r="H161" s="60">
        <f>182000+58805</f>
        <v>240805</v>
      </c>
      <c r="I161" s="110"/>
      <c r="J161" s="110"/>
      <c r="M161" s="49"/>
      <c r="N161" s="310"/>
    </row>
    <row r="162" spans="1:14" s="173" customFormat="1" ht="70.5" customHeight="1" hidden="1">
      <c r="A162" s="96" t="s">
        <v>213</v>
      </c>
      <c r="B162" s="96" t="s">
        <v>597</v>
      </c>
      <c r="C162" s="96"/>
      <c r="D162" s="86" t="s">
        <v>683</v>
      </c>
      <c r="E162" s="181" t="s">
        <v>284</v>
      </c>
      <c r="F162" s="181" t="s">
        <v>284</v>
      </c>
      <c r="G162" s="99">
        <f>G163</f>
        <v>8427380.280000001</v>
      </c>
      <c r="H162" s="88">
        <f>H163</f>
        <v>8295822.28</v>
      </c>
      <c r="I162" s="88">
        <f>I163</f>
        <v>131558</v>
      </c>
      <c r="J162" s="195">
        <f>J163</f>
        <v>17558</v>
      </c>
      <c r="M162" s="49"/>
      <c r="N162" s="310"/>
    </row>
    <row r="163" spans="1:14" s="186" customFormat="1" ht="309.75" customHeight="1">
      <c r="A163" s="196" t="s">
        <v>214</v>
      </c>
      <c r="B163" s="197" t="s">
        <v>215</v>
      </c>
      <c r="C163" s="197" t="s">
        <v>103</v>
      </c>
      <c r="D163" s="198" t="s">
        <v>216</v>
      </c>
      <c r="E163" s="165" t="s">
        <v>512</v>
      </c>
      <c r="F163" s="91" t="s">
        <v>649</v>
      </c>
      <c r="G163" s="199">
        <f>H163+I163</f>
        <v>8427380.280000001</v>
      </c>
      <c r="H163" s="200">
        <f>8278822.28+17000</f>
        <v>8295822.28</v>
      </c>
      <c r="I163" s="131">
        <v>131558</v>
      </c>
      <c r="J163" s="201">
        <v>17558</v>
      </c>
      <c r="M163" s="202"/>
      <c r="N163" s="310"/>
    </row>
    <row r="164" spans="1:14" s="186" customFormat="1" ht="285.75" customHeight="1">
      <c r="A164" s="196" t="s">
        <v>217</v>
      </c>
      <c r="B164" s="196" t="s">
        <v>598</v>
      </c>
      <c r="C164" s="196">
        <v>1010</v>
      </c>
      <c r="D164" s="198" t="s">
        <v>684</v>
      </c>
      <c r="E164" s="165" t="s">
        <v>469</v>
      </c>
      <c r="F164" s="165" t="s">
        <v>329</v>
      </c>
      <c r="G164" s="199">
        <f>H164+I164</f>
        <v>620150</v>
      </c>
      <c r="H164" s="200">
        <v>620150</v>
      </c>
      <c r="I164" s="131"/>
      <c r="J164" s="131"/>
      <c r="M164" s="49"/>
      <c r="N164" s="310"/>
    </row>
    <row r="165" spans="1:14" s="186" customFormat="1" ht="114.75" customHeight="1">
      <c r="A165" s="405" t="s">
        <v>211</v>
      </c>
      <c r="B165" s="402" t="s">
        <v>599</v>
      </c>
      <c r="C165" s="402" t="s">
        <v>102</v>
      </c>
      <c r="D165" s="408" t="s">
        <v>218</v>
      </c>
      <c r="E165" s="91" t="s">
        <v>469</v>
      </c>
      <c r="F165" s="91" t="s">
        <v>329</v>
      </c>
      <c r="G165" s="166">
        <f>H165+I165</f>
        <v>185268.18</v>
      </c>
      <c r="H165" s="149">
        <f>385200-195500-4431.82</f>
        <v>185268.18</v>
      </c>
      <c r="I165" s="110"/>
      <c r="J165" s="110"/>
      <c r="K165" s="203">
        <f>H165+H167+H166</f>
        <v>333768.18</v>
      </c>
      <c r="L165" s="341"/>
      <c r="M165" s="49"/>
      <c r="N165" s="310"/>
    </row>
    <row r="166" spans="1:14" s="186" customFormat="1" ht="112.5" customHeight="1">
      <c r="A166" s="406"/>
      <c r="B166" s="403"/>
      <c r="C166" s="403"/>
      <c r="D166" s="409"/>
      <c r="E166" s="183" t="s">
        <v>471</v>
      </c>
      <c r="F166" s="183" t="s">
        <v>340</v>
      </c>
      <c r="G166" s="166">
        <f>H166+I166</f>
        <v>16600</v>
      </c>
      <c r="H166" s="149">
        <v>16600</v>
      </c>
      <c r="I166" s="204"/>
      <c r="J166" s="204"/>
      <c r="K166" s="203"/>
      <c r="M166" s="49"/>
      <c r="N166" s="310"/>
    </row>
    <row r="167" spans="1:14" s="186" customFormat="1" ht="90" customHeight="1">
      <c r="A167" s="407"/>
      <c r="B167" s="404"/>
      <c r="C167" s="404"/>
      <c r="D167" s="410"/>
      <c r="E167" s="176" t="s">
        <v>470</v>
      </c>
      <c r="F167" s="176" t="s">
        <v>453</v>
      </c>
      <c r="G167" s="166">
        <f>H167+I167</f>
        <v>131900</v>
      </c>
      <c r="H167" s="101">
        <f>148900-17000</f>
        <v>131900</v>
      </c>
      <c r="I167" s="204"/>
      <c r="J167" s="204"/>
      <c r="K167" s="383" t="s">
        <v>657</v>
      </c>
      <c r="M167" s="49"/>
      <c r="N167" s="310"/>
    </row>
    <row r="168" spans="1:14" s="15" customFormat="1" ht="0.75" customHeight="1" hidden="1">
      <c r="A168" s="96" t="s">
        <v>676</v>
      </c>
      <c r="B168" s="96" t="s">
        <v>690</v>
      </c>
      <c r="C168" s="96"/>
      <c r="D168" s="86" t="s">
        <v>104</v>
      </c>
      <c r="E168" s="181" t="s">
        <v>284</v>
      </c>
      <c r="F168" s="181" t="s">
        <v>284</v>
      </c>
      <c r="G168" s="132">
        <f>G169</f>
        <v>0</v>
      </c>
      <c r="H168" s="127">
        <f>H169</f>
        <v>0</v>
      </c>
      <c r="I168" s="127">
        <f>I169</f>
        <v>0</v>
      </c>
      <c r="J168" s="127">
        <f>J169</f>
        <v>0</v>
      </c>
      <c r="M168" s="49"/>
      <c r="N168" s="310"/>
    </row>
    <row r="169" spans="1:14" s="15" customFormat="1" ht="75" customHeight="1" hidden="1">
      <c r="A169" s="56" t="s">
        <v>677</v>
      </c>
      <c r="B169" s="56" t="s">
        <v>685</v>
      </c>
      <c r="C169" s="55" t="s">
        <v>97</v>
      </c>
      <c r="D169" s="94" t="s">
        <v>689</v>
      </c>
      <c r="E169" s="91" t="s">
        <v>467</v>
      </c>
      <c r="F169" s="91" t="s">
        <v>341</v>
      </c>
      <c r="G169" s="166">
        <f>H169+I169</f>
        <v>0</v>
      </c>
      <c r="H169" s="101">
        <f>60000-60000</f>
        <v>0</v>
      </c>
      <c r="I169" s="61"/>
      <c r="J169" s="61"/>
      <c r="M169" s="49"/>
      <c r="N169" s="310"/>
    </row>
    <row r="170" spans="1:14" s="89" customFormat="1" ht="25.5" customHeight="1" hidden="1">
      <c r="A170" s="96" t="s">
        <v>679</v>
      </c>
      <c r="B170" s="96" t="s">
        <v>674</v>
      </c>
      <c r="C170" s="84"/>
      <c r="D170" s="86" t="s">
        <v>195</v>
      </c>
      <c r="E170" s="205"/>
      <c r="F170" s="205"/>
      <c r="G170" s="206">
        <f>G172</f>
        <v>36000</v>
      </c>
      <c r="H170" s="207">
        <f>H172</f>
        <v>36000</v>
      </c>
      <c r="I170" s="207">
        <f>I172</f>
        <v>0</v>
      </c>
      <c r="J170" s="207">
        <f>J172</f>
        <v>0</v>
      </c>
      <c r="M170" s="49"/>
      <c r="N170" s="310"/>
    </row>
    <row r="171" spans="1:14" s="15" customFormat="1" ht="57" customHeight="1" hidden="1">
      <c r="A171" s="55" t="s">
        <v>146</v>
      </c>
      <c r="B171" s="55" t="s">
        <v>162</v>
      </c>
      <c r="C171" s="55" t="s">
        <v>92</v>
      </c>
      <c r="D171" s="57" t="s">
        <v>161</v>
      </c>
      <c r="E171" s="205"/>
      <c r="F171" s="205"/>
      <c r="G171" s="208"/>
      <c r="H171" s="209"/>
      <c r="I171" s="189"/>
      <c r="J171" s="189"/>
      <c r="M171" s="49"/>
      <c r="N171" s="310"/>
    </row>
    <row r="172" spans="1:14" s="15" customFormat="1" ht="96" customHeight="1">
      <c r="A172" s="393" t="s">
        <v>681</v>
      </c>
      <c r="B172" s="395">
        <v>3242</v>
      </c>
      <c r="C172" s="395">
        <v>1090</v>
      </c>
      <c r="D172" s="439" t="s">
        <v>671</v>
      </c>
      <c r="E172" s="91" t="s">
        <v>467</v>
      </c>
      <c r="F172" s="91" t="s">
        <v>341</v>
      </c>
      <c r="G172" s="166">
        <f>H172+I172</f>
        <v>36000</v>
      </c>
      <c r="H172" s="149">
        <f>321900-285900</f>
        <v>36000</v>
      </c>
      <c r="I172" s="61"/>
      <c r="J172" s="61"/>
      <c r="K172" s="210">
        <f>H172+H173</f>
        <v>341900</v>
      </c>
      <c r="L172" s="341"/>
      <c r="M172" s="49"/>
      <c r="N172" s="310"/>
    </row>
    <row r="173" spans="1:14" s="15" customFormat="1" ht="106.5" customHeight="1">
      <c r="A173" s="394"/>
      <c r="B173" s="397"/>
      <c r="C173" s="397"/>
      <c r="D173" s="440"/>
      <c r="E173" s="183" t="s">
        <v>471</v>
      </c>
      <c r="F173" s="183" t="s">
        <v>340</v>
      </c>
      <c r="G173" s="166">
        <f>H173+I173</f>
        <v>305900</v>
      </c>
      <c r="H173" s="101">
        <v>305900</v>
      </c>
      <c r="I173" s="211"/>
      <c r="J173" s="211"/>
      <c r="K173" s="49"/>
      <c r="M173" s="49"/>
      <c r="N173" s="310"/>
    </row>
    <row r="174" spans="1:14" s="150" customFormat="1" ht="310.5" customHeight="1">
      <c r="A174" s="133" t="s">
        <v>17</v>
      </c>
      <c r="B174" s="364">
        <v>6083</v>
      </c>
      <c r="C174" s="133" t="s">
        <v>587</v>
      </c>
      <c r="D174" s="362" t="s">
        <v>15</v>
      </c>
      <c r="E174" s="91" t="s">
        <v>481</v>
      </c>
      <c r="F174" s="91" t="s">
        <v>393</v>
      </c>
      <c r="G174" s="166">
        <f>H174+I174</f>
        <v>2225800</v>
      </c>
      <c r="H174" s="361">
        <f>H175</f>
        <v>0</v>
      </c>
      <c r="I174" s="361">
        <f>I175</f>
        <v>2225800</v>
      </c>
      <c r="J174" s="361">
        <f>J175</f>
        <v>2225800</v>
      </c>
      <c r="K174" s="202"/>
      <c r="L174" s="213"/>
      <c r="M174" s="202"/>
      <c r="N174" s="368"/>
    </row>
    <row r="175" spans="1:14" s="150" customFormat="1" ht="314.25" customHeight="1">
      <c r="A175" s="359"/>
      <c r="B175" s="365"/>
      <c r="C175" s="365"/>
      <c r="D175" s="363" t="s">
        <v>16</v>
      </c>
      <c r="E175" s="220"/>
      <c r="F175" s="366"/>
      <c r="G175" s="166">
        <f>H175+I175</f>
        <v>2225800</v>
      </c>
      <c r="H175" s="361"/>
      <c r="I175" s="367">
        <f>445160+1780640</f>
        <v>2225800</v>
      </c>
      <c r="J175" s="367">
        <f>445160+1780640</f>
        <v>2225800</v>
      </c>
      <c r="K175" s="202"/>
      <c r="M175" s="202"/>
      <c r="N175" s="368"/>
    </row>
    <row r="176" spans="1:14" s="15" customFormat="1" ht="58.5" customHeight="1">
      <c r="A176" s="50" t="s">
        <v>199</v>
      </c>
      <c r="B176" s="51"/>
      <c r="C176" s="51"/>
      <c r="D176" s="432" t="s">
        <v>144</v>
      </c>
      <c r="E176" s="433"/>
      <c r="F176" s="52" t="s">
        <v>284</v>
      </c>
      <c r="G176" s="160">
        <f>G177+G180+G181+G182+G184+G186+G188+G189+G179+G183</f>
        <v>8401813.46</v>
      </c>
      <c r="H176" s="160">
        <f>H177+H180+H181+H182+H184+H186+H188+H189+H179+H183</f>
        <v>8295713.46</v>
      </c>
      <c r="I176" s="160">
        <f>I177+I178+I181+I184+I185+I187</f>
        <v>106100</v>
      </c>
      <c r="J176" s="160">
        <f>J177+J178+J181+J184+J185+J187</f>
        <v>0</v>
      </c>
      <c r="K176" s="305">
        <f>H177+H179+H180+H181+H182+H183+H184+H188+H189</f>
        <v>8295713.46</v>
      </c>
      <c r="L176" s="305">
        <f>I177+I179+I180+I181+I182+I183+I184+I188+I189</f>
        <v>106100</v>
      </c>
      <c r="M176" s="305">
        <f>K176+L176</f>
        <v>8401813.46</v>
      </c>
      <c r="N176" s="310">
        <f>M176-G176</f>
        <v>0</v>
      </c>
    </row>
    <row r="177" spans="1:14" s="150" customFormat="1" ht="114.75" customHeight="1">
      <c r="A177" s="133" t="s">
        <v>277</v>
      </c>
      <c r="B177" s="133" t="s">
        <v>121</v>
      </c>
      <c r="C177" s="133" t="s">
        <v>65</v>
      </c>
      <c r="D177" s="146" t="s">
        <v>166</v>
      </c>
      <c r="E177" s="58" t="s">
        <v>267</v>
      </c>
      <c r="F177" s="58" t="s">
        <v>332</v>
      </c>
      <c r="G177" s="74">
        <f aca="true" t="shared" si="6" ref="G177:G184">H177+I177</f>
        <v>242038</v>
      </c>
      <c r="H177" s="60">
        <f>155000+87038</f>
        <v>242038</v>
      </c>
      <c r="I177" s="110"/>
      <c r="J177" s="110"/>
      <c r="M177" s="49"/>
      <c r="N177" s="310"/>
    </row>
    <row r="178" spans="1:14" s="15" customFormat="1" ht="79.5" customHeight="1" hidden="1">
      <c r="A178" s="96" t="s">
        <v>213</v>
      </c>
      <c r="B178" s="96" t="s">
        <v>597</v>
      </c>
      <c r="C178" s="96"/>
      <c r="D178" s="86" t="s">
        <v>683</v>
      </c>
      <c r="E178" s="181" t="s">
        <v>284</v>
      </c>
      <c r="F178" s="181" t="s">
        <v>284</v>
      </c>
      <c r="G178" s="74">
        <f t="shared" si="6"/>
        <v>7005182.36</v>
      </c>
      <c r="H178" s="127">
        <f>H180</f>
        <v>6899082.36</v>
      </c>
      <c r="I178" s="127">
        <f>I180</f>
        <v>106100</v>
      </c>
      <c r="J178" s="127">
        <f>J180</f>
        <v>0</v>
      </c>
      <c r="M178" s="49"/>
      <c r="N178" s="310"/>
    </row>
    <row r="179" spans="1:14" s="150" customFormat="1" ht="122.25" customHeight="1">
      <c r="A179" s="196" t="s">
        <v>444</v>
      </c>
      <c r="B179" s="133" t="s">
        <v>445</v>
      </c>
      <c r="C179" s="133" t="s">
        <v>447</v>
      </c>
      <c r="D179" s="212" t="s">
        <v>446</v>
      </c>
      <c r="E179" s="165" t="s">
        <v>467</v>
      </c>
      <c r="F179" s="165" t="s">
        <v>345</v>
      </c>
      <c r="G179" s="74">
        <f t="shared" si="6"/>
        <v>12300</v>
      </c>
      <c r="H179" s="136">
        <v>12300</v>
      </c>
      <c r="I179" s="136"/>
      <c r="J179" s="136"/>
      <c r="M179" s="202"/>
      <c r="N179" s="310"/>
    </row>
    <row r="180" spans="1:14" s="213" customFormat="1" ht="293.25" customHeight="1">
      <c r="A180" s="196" t="s">
        <v>214</v>
      </c>
      <c r="B180" s="197" t="s">
        <v>215</v>
      </c>
      <c r="C180" s="197" t="s">
        <v>103</v>
      </c>
      <c r="D180" s="198" t="s">
        <v>216</v>
      </c>
      <c r="E180" s="91" t="s">
        <v>513</v>
      </c>
      <c r="F180" s="91" t="s">
        <v>474</v>
      </c>
      <c r="G180" s="166">
        <f t="shared" si="6"/>
        <v>7005182.36</v>
      </c>
      <c r="H180" s="101">
        <f>6872231.36+26851</f>
        <v>6899082.36</v>
      </c>
      <c r="I180" s="110">
        <v>106100</v>
      </c>
      <c r="J180" s="110"/>
      <c r="M180" s="202"/>
      <c r="N180" s="310"/>
    </row>
    <row r="181" spans="1:14" s="150" customFormat="1" ht="273.75" customHeight="1">
      <c r="A181" s="133" t="s">
        <v>217</v>
      </c>
      <c r="B181" s="133" t="s">
        <v>598</v>
      </c>
      <c r="C181" s="133">
        <v>1010</v>
      </c>
      <c r="D181" s="214" t="s">
        <v>684</v>
      </c>
      <c r="E181" s="91" t="s">
        <v>467</v>
      </c>
      <c r="F181" s="91" t="s">
        <v>342</v>
      </c>
      <c r="G181" s="166">
        <f t="shared" si="6"/>
        <v>542400</v>
      </c>
      <c r="H181" s="101">
        <v>542400</v>
      </c>
      <c r="I181" s="110"/>
      <c r="J181" s="110"/>
      <c r="M181" s="49"/>
      <c r="N181" s="310"/>
    </row>
    <row r="182" spans="1:14" s="150" customFormat="1" ht="107.25" customHeight="1">
      <c r="A182" s="393" t="s">
        <v>211</v>
      </c>
      <c r="B182" s="395" t="s">
        <v>599</v>
      </c>
      <c r="C182" s="395" t="s">
        <v>102</v>
      </c>
      <c r="D182" s="441" t="s">
        <v>218</v>
      </c>
      <c r="E182" s="176" t="s">
        <v>470</v>
      </c>
      <c r="F182" s="176" t="s">
        <v>453</v>
      </c>
      <c r="G182" s="166">
        <f t="shared" si="6"/>
        <v>177307.31</v>
      </c>
      <c r="H182" s="101">
        <v>177307.31</v>
      </c>
      <c r="I182" s="101"/>
      <c r="J182" s="110"/>
      <c r="K182" s="202">
        <f>H182+H184+H183</f>
        <v>290793.1</v>
      </c>
      <c r="L182" s="341"/>
      <c r="M182" s="49"/>
      <c r="N182" s="310"/>
    </row>
    <row r="183" spans="1:14" s="150" customFormat="1" ht="110.25" customHeight="1">
      <c r="A183" s="398"/>
      <c r="B183" s="396"/>
      <c r="C183" s="396"/>
      <c r="D183" s="442"/>
      <c r="E183" s="183" t="s">
        <v>471</v>
      </c>
      <c r="F183" s="183" t="s">
        <v>340</v>
      </c>
      <c r="G183" s="166">
        <f t="shared" si="6"/>
        <v>19616</v>
      </c>
      <c r="H183" s="101">
        <v>19616</v>
      </c>
      <c r="I183" s="101"/>
      <c r="J183" s="110"/>
      <c r="K183" s="384" t="s">
        <v>457</v>
      </c>
      <c r="M183" s="49"/>
      <c r="N183" s="310"/>
    </row>
    <row r="184" spans="1:14" s="15" customFormat="1" ht="101.25" customHeight="1">
      <c r="A184" s="394"/>
      <c r="B184" s="397"/>
      <c r="C184" s="397"/>
      <c r="D184" s="443"/>
      <c r="E184" s="91" t="s">
        <v>467</v>
      </c>
      <c r="F184" s="91" t="s">
        <v>449</v>
      </c>
      <c r="G184" s="166">
        <f t="shared" si="6"/>
        <v>93869.78999999998</v>
      </c>
      <c r="H184" s="149">
        <f>293369.79-199500</f>
        <v>93869.78999999998</v>
      </c>
      <c r="I184" s="149"/>
      <c r="J184" s="61"/>
      <c r="M184" s="49"/>
      <c r="N184" s="310"/>
    </row>
    <row r="185" spans="1:14" s="15" customFormat="1" ht="34.5" customHeight="1" hidden="1">
      <c r="A185" s="96" t="s">
        <v>676</v>
      </c>
      <c r="B185" s="96" t="s">
        <v>690</v>
      </c>
      <c r="C185" s="96"/>
      <c r="D185" s="86" t="s">
        <v>104</v>
      </c>
      <c r="E185" s="181" t="s">
        <v>284</v>
      </c>
      <c r="F185" s="181" t="s">
        <v>284</v>
      </c>
      <c r="G185" s="132">
        <f>G186</f>
        <v>0</v>
      </c>
      <c r="H185" s="127">
        <f>H186</f>
        <v>0</v>
      </c>
      <c r="I185" s="127">
        <f>I186</f>
        <v>0</v>
      </c>
      <c r="J185" s="127">
        <f>J186</f>
        <v>0</v>
      </c>
      <c r="M185" s="49"/>
      <c r="N185" s="310"/>
    </row>
    <row r="186" spans="1:14" s="15" customFormat="1" ht="69" customHeight="1" hidden="1">
      <c r="A186" s="56" t="s">
        <v>677</v>
      </c>
      <c r="B186" s="56" t="s">
        <v>685</v>
      </c>
      <c r="C186" s="55" t="s">
        <v>97</v>
      </c>
      <c r="D186" s="94" t="s">
        <v>689</v>
      </c>
      <c r="E186" s="91" t="s">
        <v>467</v>
      </c>
      <c r="F186" s="91" t="s">
        <v>343</v>
      </c>
      <c r="G186" s="166">
        <f>H186+I186</f>
        <v>0</v>
      </c>
      <c r="H186" s="101">
        <f>60000-60000</f>
        <v>0</v>
      </c>
      <c r="I186" s="61"/>
      <c r="J186" s="61"/>
      <c r="M186" s="49"/>
      <c r="N186" s="310"/>
    </row>
    <row r="187" spans="1:14" s="89" customFormat="1" ht="26.25" customHeight="1" hidden="1">
      <c r="A187" s="96" t="s">
        <v>679</v>
      </c>
      <c r="B187" s="96" t="s">
        <v>674</v>
      </c>
      <c r="C187" s="84"/>
      <c r="D187" s="86" t="s">
        <v>195</v>
      </c>
      <c r="E187" s="91"/>
      <c r="F187" s="91"/>
      <c r="G187" s="99">
        <f>G188</f>
        <v>37080</v>
      </c>
      <c r="H187" s="88">
        <f>H188</f>
        <v>37080</v>
      </c>
      <c r="I187" s="88">
        <f>I188</f>
        <v>0</v>
      </c>
      <c r="J187" s="88">
        <f>J188</f>
        <v>0</v>
      </c>
      <c r="M187" s="49"/>
      <c r="N187" s="310"/>
    </row>
    <row r="188" spans="1:14" s="15" customFormat="1" ht="99" customHeight="1">
      <c r="A188" s="393" t="s">
        <v>681</v>
      </c>
      <c r="B188" s="395">
        <v>3242</v>
      </c>
      <c r="C188" s="395">
        <v>1090</v>
      </c>
      <c r="D188" s="439" t="s">
        <v>671</v>
      </c>
      <c r="E188" s="91" t="s">
        <v>467</v>
      </c>
      <c r="F188" s="91" t="s">
        <v>343</v>
      </c>
      <c r="G188" s="166">
        <f>H188+I188</f>
        <v>37080</v>
      </c>
      <c r="H188" s="149">
        <v>37080</v>
      </c>
      <c r="I188" s="49"/>
      <c r="J188" s="61"/>
      <c r="K188" s="49">
        <f>H188+H189</f>
        <v>309100</v>
      </c>
      <c r="M188" s="49"/>
      <c r="N188" s="310"/>
    </row>
    <row r="189" spans="1:14" s="15" customFormat="1" ht="129.75" customHeight="1">
      <c r="A189" s="394"/>
      <c r="B189" s="397"/>
      <c r="C189" s="397"/>
      <c r="D189" s="440"/>
      <c r="E189" s="183" t="s">
        <v>471</v>
      </c>
      <c r="F189" s="183" t="s">
        <v>340</v>
      </c>
      <c r="G189" s="166">
        <f>H189+I189</f>
        <v>272020</v>
      </c>
      <c r="H189" s="101">
        <v>272020</v>
      </c>
      <c r="I189" s="211"/>
      <c r="J189" s="211"/>
      <c r="K189" s="49"/>
      <c r="M189" s="49"/>
      <c r="N189" s="310"/>
    </row>
    <row r="190" spans="1:14" s="15" customFormat="1" ht="57" customHeight="1">
      <c r="A190" s="50" t="s">
        <v>199</v>
      </c>
      <c r="B190" s="215"/>
      <c r="C190" s="215"/>
      <c r="D190" s="432" t="s">
        <v>145</v>
      </c>
      <c r="E190" s="433"/>
      <c r="F190" s="52" t="s">
        <v>284</v>
      </c>
      <c r="G190" s="160">
        <f>G191+G194+G195+G196+G198+G200+G202+G203+G192+G197</f>
        <v>9365344.42</v>
      </c>
      <c r="H190" s="160">
        <f>H191+H194+H195+H196+H198+H200+H202+H203+H192+H197</f>
        <v>9237344.42</v>
      </c>
      <c r="I190" s="160">
        <f>I191+I193+I195+I198+I199+I201</f>
        <v>128000</v>
      </c>
      <c r="J190" s="160">
        <f>J191+J193+J195+J198+J199+J201</f>
        <v>55000</v>
      </c>
      <c r="K190" s="305">
        <f>H191+H192+H194+H195+H196+H197+H198+H202+H203</f>
        <v>9237344.42</v>
      </c>
      <c r="L190" s="305">
        <f>I191+I192+I194+I195+I196+I197+I198+I202+I203</f>
        <v>128000</v>
      </c>
      <c r="M190" s="305">
        <f>K190+L190</f>
        <v>9365344.42</v>
      </c>
      <c r="N190" s="310">
        <f>M190-G190</f>
        <v>0</v>
      </c>
    </row>
    <row r="191" spans="1:14" s="150" customFormat="1" ht="118.5" customHeight="1">
      <c r="A191" s="133" t="s">
        <v>277</v>
      </c>
      <c r="B191" s="133" t="s">
        <v>121</v>
      </c>
      <c r="C191" s="133" t="s">
        <v>65</v>
      </c>
      <c r="D191" s="146" t="s">
        <v>166</v>
      </c>
      <c r="E191" s="58" t="s">
        <v>267</v>
      </c>
      <c r="F191" s="58" t="s">
        <v>332</v>
      </c>
      <c r="G191" s="74">
        <f>H191+I191</f>
        <v>188106</v>
      </c>
      <c r="H191" s="60">
        <f>144000+44106</f>
        <v>188106</v>
      </c>
      <c r="I191" s="110"/>
      <c r="J191" s="110"/>
      <c r="K191" s="202"/>
      <c r="M191" s="49"/>
      <c r="N191" s="310"/>
    </row>
    <row r="192" spans="1:14" s="150" customFormat="1" ht="115.5" customHeight="1">
      <c r="A192" s="133" t="s">
        <v>444</v>
      </c>
      <c r="B192" s="133" t="s">
        <v>445</v>
      </c>
      <c r="C192" s="133" t="s">
        <v>447</v>
      </c>
      <c r="D192" s="212" t="s">
        <v>446</v>
      </c>
      <c r="E192" s="165" t="s">
        <v>467</v>
      </c>
      <c r="F192" s="165" t="s">
        <v>345</v>
      </c>
      <c r="G192" s="74">
        <f>H192+I192</f>
        <v>1300</v>
      </c>
      <c r="H192" s="60">
        <v>1300</v>
      </c>
      <c r="I192" s="110"/>
      <c r="J192" s="110"/>
      <c r="K192" s="202"/>
      <c r="M192" s="49"/>
      <c r="N192" s="310"/>
    </row>
    <row r="193" spans="1:14" s="15" customFormat="1" ht="18" customHeight="1" hidden="1">
      <c r="A193" s="96" t="s">
        <v>213</v>
      </c>
      <c r="B193" s="96" t="s">
        <v>597</v>
      </c>
      <c r="C193" s="96"/>
      <c r="D193" s="86" t="s">
        <v>683</v>
      </c>
      <c r="E193" s="181" t="s">
        <v>284</v>
      </c>
      <c r="F193" s="181" t="s">
        <v>284</v>
      </c>
      <c r="G193" s="132">
        <f>G194</f>
        <v>8253400</v>
      </c>
      <c r="H193" s="127">
        <f>H194</f>
        <v>8125400</v>
      </c>
      <c r="I193" s="127">
        <f>I194</f>
        <v>128000</v>
      </c>
      <c r="J193" s="127">
        <f>J194</f>
        <v>55000</v>
      </c>
      <c r="M193" s="49"/>
      <c r="N193" s="310"/>
    </row>
    <row r="194" spans="1:14" s="15" customFormat="1" ht="197.25" customHeight="1">
      <c r="A194" s="56" t="s">
        <v>214</v>
      </c>
      <c r="B194" s="55" t="s">
        <v>215</v>
      </c>
      <c r="C194" s="55" t="s">
        <v>103</v>
      </c>
      <c r="D194" s="94" t="s">
        <v>216</v>
      </c>
      <c r="E194" s="417" t="s">
        <v>467</v>
      </c>
      <c r="F194" s="417" t="s">
        <v>344</v>
      </c>
      <c r="G194" s="166">
        <f>H194+I194</f>
        <v>8253400</v>
      </c>
      <c r="H194" s="101">
        <f>7408190+120000+199000+151000+247210</f>
        <v>8125400</v>
      </c>
      <c r="I194" s="61">
        <f>73000+55000</f>
        <v>128000</v>
      </c>
      <c r="J194" s="61">
        <v>55000</v>
      </c>
      <c r="M194" s="49"/>
      <c r="N194" s="310"/>
    </row>
    <row r="195" spans="1:14" s="150" customFormat="1" ht="279" customHeight="1">
      <c r="A195" s="133" t="s">
        <v>217</v>
      </c>
      <c r="B195" s="133" t="s">
        <v>598</v>
      </c>
      <c r="C195" s="133">
        <v>1010</v>
      </c>
      <c r="D195" s="214" t="s">
        <v>684</v>
      </c>
      <c r="E195" s="438"/>
      <c r="F195" s="438"/>
      <c r="G195" s="135">
        <f>H195+I195</f>
        <v>410400</v>
      </c>
      <c r="H195" s="136">
        <v>410400</v>
      </c>
      <c r="I195" s="110"/>
      <c r="J195" s="110"/>
      <c r="M195" s="49"/>
      <c r="N195" s="310"/>
    </row>
    <row r="196" spans="1:14" s="150" customFormat="1" ht="81.75" customHeight="1">
      <c r="A196" s="393" t="s">
        <v>211</v>
      </c>
      <c r="B196" s="395" t="s">
        <v>599</v>
      </c>
      <c r="C196" s="395" t="s">
        <v>102</v>
      </c>
      <c r="D196" s="441" t="s">
        <v>218</v>
      </c>
      <c r="E196" s="176" t="s">
        <v>470</v>
      </c>
      <c r="F196" s="176" t="s">
        <v>448</v>
      </c>
      <c r="G196" s="217">
        <f>H196+I196</f>
        <v>83300</v>
      </c>
      <c r="H196" s="218">
        <v>83300</v>
      </c>
      <c r="I196" s="110"/>
      <c r="J196" s="110"/>
      <c r="K196" s="202">
        <f>H196+H198+H197</f>
        <v>188338.41999999998</v>
      </c>
      <c r="M196" s="49"/>
      <c r="N196" s="310"/>
    </row>
    <row r="197" spans="1:14" s="150" customFormat="1" ht="114" customHeight="1">
      <c r="A197" s="398"/>
      <c r="B197" s="396"/>
      <c r="C197" s="396"/>
      <c r="D197" s="442"/>
      <c r="E197" s="183" t="s">
        <v>471</v>
      </c>
      <c r="F197" s="183" t="s">
        <v>340</v>
      </c>
      <c r="G197" s="217">
        <f>H197+I197</f>
        <v>3000</v>
      </c>
      <c r="H197" s="218">
        <v>3000</v>
      </c>
      <c r="I197" s="110"/>
      <c r="J197" s="110"/>
      <c r="K197" s="202"/>
      <c r="M197" s="49"/>
      <c r="N197" s="310"/>
    </row>
    <row r="198" spans="1:14" s="15" customFormat="1" ht="84.75" customHeight="1">
      <c r="A198" s="394"/>
      <c r="B198" s="397"/>
      <c r="C198" s="397"/>
      <c r="D198" s="443"/>
      <c r="E198" s="165" t="s">
        <v>467</v>
      </c>
      <c r="F198" s="165" t="s">
        <v>345</v>
      </c>
      <c r="G198" s="219">
        <f>H198+I198</f>
        <v>102038.42</v>
      </c>
      <c r="H198" s="220">
        <v>102038.42</v>
      </c>
      <c r="I198" s="61"/>
      <c r="J198" s="61"/>
      <c r="M198" s="49"/>
      <c r="N198" s="310"/>
    </row>
    <row r="199" spans="1:14" s="15" customFormat="1" ht="42" customHeight="1" hidden="1">
      <c r="A199" s="96" t="s">
        <v>676</v>
      </c>
      <c r="B199" s="96" t="s">
        <v>690</v>
      </c>
      <c r="C199" s="96"/>
      <c r="D199" s="86" t="s">
        <v>104</v>
      </c>
      <c r="E199" s="139"/>
      <c r="F199" s="139"/>
      <c r="G199" s="132">
        <f>G200</f>
        <v>0</v>
      </c>
      <c r="H199" s="127">
        <f>H200</f>
        <v>0</v>
      </c>
      <c r="I199" s="127">
        <f>I200</f>
        <v>0</v>
      </c>
      <c r="J199" s="127">
        <f>J200</f>
        <v>0</v>
      </c>
      <c r="M199" s="49"/>
      <c r="N199" s="310"/>
    </row>
    <row r="200" spans="1:14" s="15" customFormat="1" ht="75.75" customHeight="1" hidden="1">
      <c r="A200" s="56" t="s">
        <v>677</v>
      </c>
      <c r="B200" s="56" t="s">
        <v>685</v>
      </c>
      <c r="C200" s="55" t="s">
        <v>97</v>
      </c>
      <c r="D200" s="94" t="s">
        <v>689</v>
      </c>
      <c r="E200" s="165" t="s">
        <v>467</v>
      </c>
      <c r="F200" s="165" t="s">
        <v>346</v>
      </c>
      <c r="G200" s="166">
        <f>H200+I200</f>
        <v>0</v>
      </c>
      <c r="H200" s="101">
        <f>60000-60000</f>
        <v>0</v>
      </c>
      <c r="I200" s="61"/>
      <c r="J200" s="61"/>
      <c r="M200" s="49"/>
      <c r="N200" s="310"/>
    </row>
    <row r="201" spans="1:14" s="89" customFormat="1" ht="27.75" customHeight="1" hidden="1">
      <c r="A201" s="96" t="s">
        <v>679</v>
      </c>
      <c r="B201" s="96" t="s">
        <v>674</v>
      </c>
      <c r="C201" s="84"/>
      <c r="D201" s="86" t="s">
        <v>195</v>
      </c>
      <c r="E201" s="205"/>
      <c r="F201" s="205"/>
      <c r="G201" s="99">
        <f>G202</f>
        <v>25100</v>
      </c>
      <c r="H201" s="88">
        <f>H202</f>
        <v>25100</v>
      </c>
      <c r="I201" s="88">
        <f>I202</f>
        <v>0</v>
      </c>
      <c r="J201" s="88">
        <f>J202</f>
        <v>0</v>
      </c>
      <c r="M201" s="49"/>
      <c r="N201" s="310"/>
    </row>
    <row r="202" spans="1:14" s="15" customFormat="1" ht="96" customHeight="1">
      <c r="A202" s="393" t="s">
        <v>681</v>
      </c>
      <c r="B202" s="395">
        <v>3242</v>
      </c>
      <c r="C202" s="395">
        <v>1090</v>
      </c>
      <c r="D202" s="439" t="s">
        <v>671</v>
      </c>
      <c r="E202" s="165" t="s">
        <v>467</v>
      </c>
      <c r="F202" s="165" t="s">
        <v>346</v>
      </c>
      <c r="G202" s="219">
        <f>H202+I202</f>
        <v>25100</v>
      </c>
      <c r="H202" s="220">
        <f>323800-298700</f>
        <v>25100</v>
      </c>
      <c r="I202" s="61"/>
      <c r="J202" s="61"/>
      <c r="K202" s="210">
        <f>H202+H203</f>
        <v>323800</v>
      </c>
      <c r="M202" s="49"/>
      <c r="N202" s="310"/>
    </row>
    <row r="203" spans="1:14" s="15" customFormat="1" ht="117" customHeight="1">
      <c r="A203" s="394"/>
      <c r="B203" s="397"/>
      <c r="C203" s="397"/>
      <c r="D203" s="440"/>
      <c r="E203" s="183" t="s">
        <v>471</v>
      </c>
      <c r="F203" s="183" t="s">
        <v>340</v>
      </c>
      <c r="G203" s="219">
        <f>H203+I203</f>
        <v>298700</v>
      </c>
      <c r="H203" s="221">
        <v>298700</v>
      </c>
      <c r="I203" s="61"/>
      <c r="J203" s="61"/>
      <c r="K203" s="49"/>
      <c r="M203" s="49"/>
      <c r="N203" s="310"/>
    </row>
    <row r="204" spans="1:14" s="170" customFormat="1" ht="54.75" customHeight="1">
      <c r="A204" s="51" t="s">
        <v>199</v>
      </c>
      <c r="B204" s="51"/>
      <c r="C204" s="51"/>
      <c r="D204" s="436" t="s">
        <v>155</v>
      </c>
      <c r="E204" s="437"/>
      <c r="F204" s="169" t="s">
        <v>284</v>
      </c>
      <c r="G204" s="222">
        <f>H204+I204</f>
        <v>82000</v>
      </c>
      <c r="H204" s="53">
        <f>SUM(H205)</f>
        <v>82000</v>
      </c>
      <c r="I204" s="53">
        <f>SUM(I205)</f>
        <v>0</v>
      </c>
      <c r="J204" s="53">
        <f>SUM(J205)</f>
        <v>0</v>
      </c>
      <c r="K204" s="306">
        <f>H205</f>
        <v>82000</v>
      </c>
      <c r="L204" s="306">
        <f>I205</f>
        <v>0</v>
      </c>
      <c r="M204" s="306">
        <f>K204+L204</f>
        <v>82000</v>
      </c>
      <c r="N204" s="310">
        <f>M204-G204</f>
        <v>0</v>
      </c>
    </row>
    <row r="205" spans="1:14" s="150" customFormat="1" ht="126.75" customHeight="1">
      <c r="A205" s="133" t="s">
        <v>277</v>
      </c>
      <c r="B205" s="133" t="s">
        <v>121</v>
      </c>
      <c r="C205" s="133" t="s">
        <v>65</v>
      </c>
      <c r="D205" s="146" t="s">
        <v>166</v>
      </c>
      <c r="E205" s="58" t="s">
        <v>267</v>
      </c>
      <c r="F205" s="58" t="s">
        <v>332</v>
      </c>
      <c r="G205" s="116">
        <f>H205+I205</f>
        <v>82000</v>
      </c>
      <c r="H205" s="60">
        <v>82000</v>
      </c>
      <c r="I205" s="110"/>
      <c r="J205" s="110"/>
      <c r="M205" s="49"/>
      <c r="N205" s="310"/>
    </row>
    <row r="206" spans="1:14" s="15" customFormat="1" ht="39.75" customHeight="1">
      <c r="A206" s="70" t="s">
        <v>219</v>
      </c>
      <c r="B206" s="69"/>
      <c r="C206" s="69"/>
      <c r="D206" s="412" t="s">
        <v>105</v>
      </c>
      <c r="E206" s="413"/>
      <c r="F206" s="158" t="s">
        <v>284</v>
      </c>
      <c r="G206" s="48">
        <f>G207+G214+G218+G222</f>
        <v>5915878</v>
      </c>
      <c r="H206" s="223">
        <f>H207+H214+H218+H222</f>
        <v>5870079</v>
      </c>
      <c r="I206" s="223">
        <f>I207+I214+I218+I222</f>
        <v>45799</v>
      </c>
      <c r="J206" s="223">
        <f>J207+J214+J218+J222</f>
        <v>45799</v>
      </c>
      <c r="K206" s="49"/>
      <c r="M206" s="49"/>
      <c r="N206" s="310"/>
    </row>
    <row r="207" spans="1:14" s="73" customFormat="1" ht="39" customHeight="1">
      <c r="A207" s="50" t="s">
        <v>220</v>
      </c>
      <c r="B207" s="51"/>
      <c r="C207" s="51"/>
      <c r="D207" s="432" t="s">
        <v>141</v>
      </c>
      <c r="E207" s="433"/>
      <c r="F207" s="52" t="s">
        <v>284</v>
      </c>
      <c r="G207" s="160">
        <f>G208+G209+G212</f>
        <v>5548790</v>
      </c>
      <c r="H207" s="160">
        <f>H208+H209+H212</f>
        <v>5502991</v>
      </c>
      <c r="I207" s="160">
        <f>I208+I209+I212</f>
        <v>45799</v>
      </c>
      <c r="J207" s="160">
        <f>J208+J209+J212</f>
        <v>45799</v>
      </c>
      <c r="K207" s="305">
        <f>H208+H210+H211+H213</f>
        <v>5502991</v>
      </c>
      <c r="L207" s="305">
        <f>I208+I210+I211+I213</f>
        <v>45799</v>
      </c>
      <c r="M207" s="305">
        <f>K207+L207</f>
        <v>5548790</v>
      </c>
      <c r="N207" s="310">
        <f>M207-G207</f>
        <v>0</v>
      </c>
    </row>
    <row r="208" spans="1:14" s="150" customFormat="1" ht="129.75" customHeight="1">
      <c r="A208" s="133" t="s">
        <v>278</v>
      </c>
      <c r="B208" s="133" t="s">
        <v>121</v>
      </c>
      <c r="C208" s="133" t="s">
        <v>65</v>
      </c>
      <c r="D208" s="146" t="s">
        <v>166</v>
      </c>
      <c r="E208" s="58" t="s">
        <v>267</v>
      </c>
      <c r="F208" s="58" t="s">
        <v>332</v>
      </c>
      <c r="G208" s="74">
        <f>H208+I208</f>
        <v>82000</v>
      </c>
      <c r="H208" s="60">
        <f>52000+10000+20000</f>
        <v>82000</v>
      </c>
      <c r="I208" s="110"/>
      <c r="J208" s="110"/>
      <c r="M208" s="49"/>
      <c r="N208" s="310"/>
    </row>
    <row r="209" spans="1:14" s="15" customFormat="1" ht="81.75" customHeight="1" hidden="1">
      <c r="A209" s="96" t="s">
        <v>221</v>
      </c>
      <c r="B209" s="96" t="s">
        <v>600</v>
      </c>
      <c r="C209" s="96"/>
      <c r="D209" s="86" t="s">
        <v>106</v>
      </c>
      <c r="E209" s="417" t="s">
        <v>472</v>
      </c>
      <c r="F209" s="482" t="s">
        <v>392</v>
      </c>
      <c r="G209" s="99">
        <f>G210+G211</f>
        <v>5396790</v>
      </c>
      <c r="H209" s="88">
        <f>H210+H211</f>
        <v>5350991</v>
      </c>
      <c r="I209" s="88">
        <f>I210+I211</f>
        <v>45799</v>
      </c>
      <c r="J209" s="88">
        <f>J210+J211</f>
        <v>45799</v>
      </c>
      <c r="K209" s="478"/>
      <c r="M209" s="49"/>
      <c r="N209" s="310"/>
    </row>
    <row r="210" spans="1:14" s="15" customFormat="1" ht="242.25" customHeight="1">
      <c r="A210" s="56" t="s">
        <v>222</v>
      </c>
      <c r="B210" s="55" t="s">
        <v>223</v>
      </c>
      <c r="C210" s="55" t="s">
        <v>77</v>
      </c>
      <c r="D210" s="94" t="s">
        <v>483</v>
      </c>
      <c r="E210" s="452"/>
      <c r="F210" s="483"/>
      <c r="G210" s="95">
        <f>H210+I210</f>
        <v>5109490</v>
      </c>
      <c r="H210" s="61">
        <f>4989991+73700</f>
        <v>5063691</v>
      </c>
      <c r="I210" s="61">
        <f>10600+40000-4801</f>
        <v>45799</v>
      </c>
      <c r="J210" s="61">
        <f>50600-4801</f>
        <v>45799</v>
      </c>
      <c r="K210" s="479"/>
      <c r="M210" s="49"/>
      <c r="N210" s="310"/>
    </row>
    <row r="211" spans="1:14" s="15" customFormat="1" ht="91.5" customHeight="1">
      <c r="A211" s="56" t="s">
        <v>224</v>
      </c>
      <c r="B211" s="55" t="s">
        <v>225</v>
      </c>
      <c r="C211" s="55" t="s">
        <v>77</v>
      </c>
      <c r="D211" s="94" t="s">
        <v>153</v>
      </c>
      <c r="E211" s="452"/>
      <c r="F211" s="483"/>
      <c r="G211" s="95">
        <f>H211+I211</f>
        <v>287300</v>
      </c>
      <c r="H211" s="61">
        <f>147300+160000-29000+9000</f>
        <v>287300</v>
      </c>
      <c r="I211" s="61"/>
      <c r="J211" s="61"/>
      <c r="K211" s="479"/>
      <c r="M211" s="49"/>
      <c r="N211" s="310"/>
    </row>
    <row r="212" spans="1:14" s="89" customFormat="1" ht="24.75" customHeight="1" hidden="1">
      <c r="A212" s="96" t="s">
        <v>691</v>
      </c>
      <c r="B212" s="96" t="s">
        <v>674</v>
      </c>
      <c r="C212" s="84"/>
      <c r="D212" s="86" t="s">
        <v>195</v>
      </c>
      <c r="E212" s="452"/>
      <c r="F212" s="483"/>
      <c r="G212" s="99">
        <f>G213</f>
        <v>70000</v>
      </c>
      <c r="H212" s="88">
        <f>H213</f>
        <v>70000</v>
      </c>
      <c r="I212" s="88">
        <f>I213</f>
        <v>0</v>
      </c>
      <c r="J212" s="88">
        <f>J213</f>
        <v>0</v>
      </c>
      <c r="M212" s="49"/>
      <c r="N212" s="310"/>
    </row>
    <row r="213" spans="1:14" s="150" customFormat="1" ht="97.5" customHeight="1">
      <c r="A213" s="133" t="s">
        <v>719</v>
      </c>
      <c r="B213" s="55">
        <v>3242</v>
      </c>
      <c r="C213" s="55">
        <v>1090</v>
      </c>
      <c r="D213" s="57" t="s">
        <v>671</v>
      </c>
      <c r="E213" s="438"/>
      <c r="F213" s="484"/>
      <c r="G213" s="224">
        <f>H213+I213</f>
        <v>70000</v>
      </c>
      <c r="H213" s="189">
        <v>70000</v>
      </c>
      <c r="I213" s="110"/>
      <c r="J213" s="110"/>
      <c r="M213" s="49"/>
      <c r="N213" s="310"/>
    </row>
    <row r="214" spans="1:14" s="73" customFormat="1" ht="52.5" customHeight="1">
      <c r="A214" s="50" t="s">
        <v>220</v>
      </c>
      <c r="B214" s="51"/>
      <c r="C214" s="51"/>
      <c r="D214" s="432" t="s">
        <v>147</v>
      </c>
      <c r="E214" s="433"/>
      <c r="F214" s="52" t="s">
        <v>284</v>
      </c>
      <c r="G214" s="160">
        <f>G215+G216</f>
        <v>128400</v>
      </c>
      <c r="H214" s="160">
        <f>H215+H217</f>
        <v>128400</v>
      </c>
      <c r="I214" s="160">
        <f>I215+I216</f>
        <v>0</v>
      </c>
      <c r="J214" s="160">
        <f>J215+J216</f>
        <v>0</v>
      </c>
      <c r="K214" s="305">
        <f>H215+H217</f>
        <v>128400</v>
      </c>
      <c r="L214" s="305">
        <f>I215+I217</f>
        <v>0</v>
      </c>
      <c r="M214" s="305">
        <f>K214+L214</f>
        <v>128400</v>
      </c>
      <c r="N214" s="310">
        <f>M214-G214</f>
        <v>0</v>
      </c>
    </row>
    <row r="215" spans="1:14" s="15" customFormat="1" ht="124.5" customHeight="1">
      <c r="A215" s="56" t="s">
        <v>278</v>
      </c>
      <c r="B215" s="56" t="s">
        <v>121</v>
      </c>
      <c r="C215" s="56" t="s">
        <v>65</v>
      </c>
      <c r="D215" s="57" t="s">
        <v>166</v>
      </c>
      <c r="E215" s="58" t="s">
        <v>267</v>
      </c>
      <c r="F215" s="58" t="s">
        <v>332</v>
      </c>
      <c r="G215" s="74">
        <f>H215+I215</f>
        <v>108000</v>
      </c>
      <c r="H215" s="60">
        <v>108000</v>
      </c>
      <c r="I215" s="61"/>
      <c r="J215" s="61"/>
      <c r="M215" s="49"/>
      <c r="N215" s="310"/>
    </row>
    <row r="216" spans="1:14" s="15" customFormat="1" ht="32.25" customHeight="1" hidden="1">
      <c r="A216" s="96" t="s">
        <v>221</v>
      </c>
      <c r="B216" s="96" t="s">
        <v>600</v>
      </c>
      <c r="C216" s="96"/>
      <c r="D216" s="86" t="s">
        <v>106</v>
      </c>
      <c r="E216" s="181" t="s">
        <v>284</v>
      </c>
      <c r="F216" s="181" t="s">
        <v>284</v>
      </c>
      <c r="G216" s="132">
        <f>G217</f>
        <v>20400</v>
      </c>
      <c r="H216" s="127">
        <f>H217</f>
        <v>20400</v>
      </c>
      <c r="I216" s="127">
        <f>I217</f>
        <v>0</v>
      </c>
      <c r="J216" s="127">
        <f>J217</f>
        <v>0</v>
      </c>
      <c r="M216" s="49"/>
      <c r="N216" s="310"/>
    </row>
    <row r="217" spans="1:14" s="15" customFormat="1" ht="126.75" customHeight="1">
      <c r="A217" s="56" t="s">
        <v>224</v>
      </c>
      <c r="B217" s="55" t="s">
        <v>225</v>
      </c>
      <c r="C217" s="55" t="s">
        <v>77</v>
      </c>
      <c r="D217" s="94" t="s">
        <v>153</v>
      </c>
      <c r="E217" s="91" t="s">
        <v>481</v>
      </c>
      <c r="F217" s="91" t="s">
        <v>393</v>
      </c>
      <c r="G217" s="166">
        <f>H217+I217</f>
        <v>20400</v>
      </c>
      <c r="H217" s="101">
        <v>20400</v>
      </c>
      <c r="I217" s="61"/>
      <c r="J217" s="61"/>
      <c r="M217" s="49"/>
      <c r="N217" s="310"/>
    </row>
    <row r="218" spans="1:14" s="73" customFormat="1" ht="51.75" customHeight="1">
      <c r="A218" s="50" t="s">
        <v>220</v>
      </c>
      <c r="B218" s="51"/>
      <c r="C218" s="51"/>
      <c r="D218" s="432" t="s">
        <v>148</v>
      </c>
      <c r="E218" s="433"/>
      <c r="F218" s="52" t="s">
        <v>284</v>
      </c>
      <c r="G218" s="160">
        <f>G219+G220</f>
        <v>110100</v>
      </c>
      <c r="H218" s="160">
        <f>H219+H221</f>
        <v>110100</v>
      </c>
      <c r="I218" s="160">
        <f>I219+I220</f>
        <v>0</v>
      </c>
      <c r="J218" s="160">
        <f>J219+J220</f>
        <v>0</v>
      </c>
      <c r="K218" s="305">
        <f>H219+H221</f>
        <v>110100</v>
      </c>
      <c r="L218" s="305">
        <f>I219+I221</f>
        <v>0</v>
      </c>
      <c r="M218" s="305">
        <f>K218+L218</f>
        <v>110100</v>
      </c>
      <c r="N218" s="310">
        <f>M218-G218</f>
        <v>0</v>
      </c>
    </row>
    <row r="219" spans="1:14" s="15" customFormat="1" ht="117.75" customHeight="1">
      <c r="A219" s="56" t="s">
        <v>278</v>
      </c>
      <c r="B219" s="56" t="s">
        <v>121</v>
      </c>
      <c r="C219" s="56" t="s">
        <v>65</v>
      </c>
      <c r="D219" s="57" t="s">
        <v>166</v>
      </c>
      <c r="E219" s="58" t="s">
        <v>267</v>
      </c>
      <c r="F219" s="58" t="s">
        <v>332</v>
      </c>
      <c r="G219" s="74">
        <f>H219+I219</f>
        <v>98600</v>
      </c>
      <c r="H219" s="60">
        <v>98600</v>
      </c>
      <c r="I219" s="61"/>
      <c r="J219" s="61"/>
      <c r="K219" s="49"/>
      <c r="M219" s="49"/>
      <c r="N219" s="310"/>
    </row>
    <row r="220" spans="1:14" s="15" customFormat="1" ht="29.25" customHeight="1" hidden="1">
      <c r="A220" s="96" t="s">
        <v>221</v>
      </c>
      <c r="B220" s="96" t="s">
        <v>600</v>
      </c>
      <c r="C220" s="96"/>
      <c r="D220" s="86" t="s">
        <v>106</v>
      </c>
      <c r="E220" s="181" t="s">
        <v>284</v>
      </c>
      <c r="F220" s="181" t="s">
        <v>284</v>
      </c>
      <c r="G220" s="132">
        <f>G221</f>
        <v>11500</v>
      </c>
      <c r="H220" s="127">
        <f>H221</f>
        <v>11500</v>
      </c>
      <c r="I220" s="127">
        <f>I221</f>
        <v>0</v>
      </c>
      <c r="J220" s="127">
        <f>J221</f>
        <v>0</v>
      </c>
      <c r="M220" s="49"/>
      <c r="N220" s="310"/>
    </row>
    <row r="221" spans="1:14" s="15" customFormat="1" ht="114" customHeight="1">
      <c r="A221" s="56" t="s">
        <v>224</v>
      </c>
      <c r="B221" s="55" t="s">
        <v>225</v>
      </c>
      <c r="C221" s="55" t="s">
        <v>77</v>
      </c>
      <c r="D221" s="94" t="s">
        <v>153</v>
      </c>
      <c r="E221" s="91" t="s">
        <v>479</v>
      </c>
      <c r="F221" s="91" t="s">
        <v>394</v>
      </c>
      <c r="G221" s="166">
        <f>H221+I221</f>
        <v>11500</v>
      </c>
      <c r="H221" s="101">
        <v>11500</v>
      </c>
      <c r="I221" s="61"/>
      <c r="J221" s="61"/>
      <c r="M221" s="49"/>
      <c r="N221" s="310"/>
    </row>
    <row r="222" spans="1:14" s="73" customFormat="1" ht="63" customHeight="1">
      <c r="A222" s="50" t="s">
        <v>220</v>
      </c>
      <c r="B222" s="51"/>
      <c r="C222" s="51"/>
      <c r="D222" s="432" t="s">
        <v>149</v>
      </c>
      <c r="E222" s="433"/>
      <c r="F222" s="52" t="s">
        <v>284</v>
      </c>
      <c r="G222" s="160">
        <f>G223+G224</f>
        <v>128588</v>
      </c>
      <c r="H222" s="160">
        <f>H223+H225</f>
        <v>128588</v>
      </c>
      <c r="I222" s="160">
        <f>I223+I224</f>
        <v>0</v>
      </c>
      <c r="J222" s="160">
        <f>J223+J224</f>
        <v>0</v>
      </c>
      <c r="K222" s="305">
        <f>H223+H225</f>
        <v>128588</v>
      </c>
      <c r="L222" s="305">
        <f>I223+I225</f>
        <v>0</v>
      </c>
      <c r="M222" s="305">
        <f>K222+L222</f>
        <v>128588</v>
      </c>
      <c r="N222" s="310">
        <f>M222-G222</f>
        <v>0</v>
      </c>
    </row>
    <row r="223" spans="1:14" s="15" customFormat="1" ht="129" customHeight="1">
      <c r="A223" s="56" t="s">
        <v>278</v>
      </c>
      <c r="B223" s="56" t="s">
        <v>121</v>
      </c>
      <c r="C223" s="56" t="s">
        <v>65</v>
      </c>
      <c r="D223" s="57" t="s">
        <v>166</v>
      </c>
      <c r="E223" s="58" t="s">
        <v>651</v>
      </c>
      <c r="F223" s="58" t="s">
        <v>332</v>
      </c>
      <c r="G223" s="74">
        <f>H223+I223</f>
        <v>111288</v>
      </c>
      <c r="H223" s="60">
        <f>94000+17288</f>
        <v>111288</v>
      </c>
      <c r="I223" s="61"/>
      <c r="J223" s="61"/>
      <c r="M223" s="49"/>
      <c r="N223" s="310"/>
    </row>
    <row r="224" spans="1:14" s="15" customFormat="1" ht="33.75" customHeight="1" hidden="1">
      <c r="A224" s="96" t="s">
        <v>221</v>
      </c>
      <c r="B224" s="96" t="s">
        <v>600</v>
      </c>
      <c r="C224" s="96"/>
      <c r="D224" s="86" t="s">
        <v>106</v>
      </c>
      <c r="E224" s="181" t="s">
        <v>284</v>
      </c>
      <c r="F224" s="181" t="s">
        <v>284</v>
      </c>
      <c r="G224" s="132">
        <f>G225</f>
        <v>17300</v>
      </c>
      <c r="H224" s="127">
        <f>H225</f>
        <v>17300</v>
      </c>
      <c r="I224" s="127">
        <f>I225</f>
        <v>0</v>
      </c>
      <c r="J224" s="127">
        <f>J225</f>
        <v>0</v>
      </c>
      <c r="M224" s="49"/>
      <c r="N224" s="310"/>
    </row>
    <row r="225" spans="1:14" s="15" customFormat="1" ht="125.25" customHeight="1">
      <c r="A225" s="56" t="s">
        <v>224</v>
      </c>
      <c r="B225" s="55" t="s">
        <v>225</v>
      </c>
      <c r="C225" s="55" t="s">
        <v>77</v>
      </c>
      <c r="D225" s="94" t="s">
        <v>153</v>
      </c>
      <c r="E225" s="91" t="s">
        <v>480</v>
      </c>
      <c r="F225" s="91" t="s">
        <v>395</v>
      </c>
      <c r="G225" s="166">
        <f>H225+I225</f>
        <v>17300</v>
      </c>
      <c r="H225" s="101">
        <v>17300</v>
      </c>
      <c r="I225" s="61"/>
      <c r="J225" s="61"/>
      <c r="M225" s="49"/>
      <c r="N225" s="310"/>
    </row>
    <row r="226" spans="1:14" s="15" customFormat="1" ht="54.75" customHeight="1">
      <c r="A226" s="69" t="s">
        <v>730</v>
      </c>
      <c r="B226" s="225"/>
      <c r="C226" s="70"/>
      <c r="D226" s="455" t="s">
        <v>420</v>
      </c>
      <c r="E226" s="456"/>
      <c r="F226" s="226" t="s">
        <v>284</v>
      </c>
      <c r="G226" s="227">
        <f>G227</f>
        <v>24062600.5</v>
      </c>
      <c r="H226" s="227">
        <f>H227</f>
        <v>22822500.5</v>
      </c>
      <c r="I226" s="227">
        <f>I227</f>
        <v>1240100</v>
      </c>
      <c r="J226" s="227">
        <f>J227</f>
        <v>1240100</v>
      </c>
      <c r="M226" s="49"/>
      <c r="N226" s="310"/>
    </row>
    <row r="227" spans="1:14" s="15" customFormat="1" ht="42" customHeight="1">
      <c r="A227" s="51" t="s">
        <v>731</v>
      </c>
      <c r="B227" s="228"/>
      <c r="C227" s="50"/>
      <c r="D227" s="462" t="s">
        <v>514</v>
      </c>
      <c r="E227" s="463"/>
      <c r="F227" s="52" t="s">
        <v>284</v>
      </c>
      <c r="G227" s="229">
        <f>G228+G229+G230+G231+G232+G233+G234+G235+G236+G237+G238+G239+G240+G241</f>
        <v>24062600.5</v>
      </c>
      <c r="H227" s="229">
        <f>H228+H229+H230+H231+H232+H233+H234+H235+H236+H237+H238+H239+H240+H241</f>
        <v>22822500.5</v>
      </c>
      <c r="I227" s="229">
        <f>I228+I229+I230+I231+I232+I233+I234+I235+I236+I237+I238+I239+I240+I241</f>
        <v>1240100</v>
      </c>
      <c r="J227" s="229">
        <f>J228+J229+J230+J231+J232+J233+J234+J235+J236+J237+J238+J239+J240+J241</f>
        <v>1240100</v>
      </c>
      <c r="K227" s="304">
        <f>H230+H231+H232+H233+H234+H235+H236+H237+H238+H239+H240+H241</f>
        <v>22822500.5</v>
      </c>
      <c r="L227" s="304">
        <f>I230+I231+I232+I233+I234+I235+I236+I237+I238+I239+I240+I241</f>
        <v>1240100</v>
      </c>
      <c r="M227" s="304">
        <f>K227+L227</f>
        <v>24062600.5</v>
      </c>
      <c r="N227" s="310">
        <f>G227-M227</f>
        <v>0</v>
      </c>
    </row>
    <row r="228" spans="1:14" s="15" customFormat="1" ht="33.75" customHeight="1" hidden="1">
      <c r="A228" s="230"/>
      <c r="B228" s="231"/>
      <c r="C228" s="232"/>
      <c r="D228" s="233"/>
      <c r="E228" s="91"/>
      <c r="F228" s="91"/>
      <c r="G228" s="166">
        <f aca="true" t="shared" si="7" ref="G228:G241">H228+I228</f>
        <v>0</v>
      </c>
      <c r="H228" s="101"/>
      <c r="I228" s="61"/>
      <c r="J228" s="61"/>
      <c r="M228" s="49"/>
      <c r="N228" s="310">
        <f>M228-G228</f>
        <v>0</v>
      </c>
    </row>
    <row r="229" spans="1:14" s="15" customFormat="1" ht="33.75" customHeight="1" hidden="1">
      <c r="A229" s="230"/>
      <c r="B229" s="231"/>
      <c r="C229" s="232"/>
      <c r="D229" s="233"/>
      <c r="E229" s="91"/>
      <c r="F229" s="91"/>
      <c r="G229" s="166">
        <f t="shared" si="7"/>
        <v>0</v>
      </c>
      <c r="H229" s="101"/>
      <c r="I229" s="61"/>
      <c r="J229" s="61"/>
      <c r="M229" s="49"/>
      <c r="N229" s="310">
        <f>M229-G229</f>
        <v>0</v>
      </c>
    </row>
    <row r="230" spans="1:14" s="15" customFormat="1" ht="147" customHeight="1">
      <c r="A230" s="55" t="s">
        <v>732</v>
      </c>
      <c r="B230" s="161" t="s">
        <v>192</v>
      </c>
      <c r="C230" s="55" t="s">
        <v>77</v>
      </c>
      <c r="D230" s="128" t="s">
        <v>150</v>
      </c>
      <c r="E230" s="417" t="s">
        <v>465</v>
      </c>
      <c r="F230" s="417" t="s">
        <v>431</v>
      </c>
      <c r="G230" s="166">
        <f t="shared" si="7"/>
        <v>2268981</v>
      </c>
      <c r="H230" s="101">
        <f>45900+10100+326000+94905+650000+195000+1000000-52924</f>
        <v>2268981</v>
      </c>
      <c r="I230" s="61"/>
      <c r="J230" s="61"/>
      <c r="M230" s="49"/>
      <c r="N230" s="310"/>
    </row>
    <row r="231" spans="1:14" s="15" customFormat="1" ht="89.25" customHeight="1">
      <c r="A231" s="55" t="s">
        <v>733</v>
      </c>
      <c r="B231" s="161">
        <v>3242</v>
      </c>
      <c r="C231" s="55" t="s">
        <v>734</v>
      </c>
      <c r="D231" s="234" t="s">
        <v>671</v>
      </c>
      <c r="E231" s="438"/>
      <c r="F231" s="438"/>
      <c r="G231" s="166">
        <f t="shared" si="7"/>
        <v>189023</v>
      </c>
      <c r="H231" s="101">
        <f>310298-60000-61275</f>
        <v>189023</v>
      </c>
      <c r="I231" s="61"/>
      <c r="J231" s="61"/>
      <c r="M231" s="49"/>
      <c r="N231" s="310"/>
    </row>
    <row r="232" spans="1:14" s="15" customFormat="1" ht="119.25" customHeight="1" hidden="1">
      <c r="A232" s="55" t="s">
        <v>735</v>
      </c>
      <c r="B232" s="161" t="s">
        <v>736</v>
      </c>
      <c r="C232" s="55" t="s">
        <v>79</v>
      </c>
      <c r="D232" s="128" t="s">
        <v>157</v>
      </c>
      <c r="E232" s="417" t="s">
        <v>482</v>
      </c>
      <c r="F232" s="417" t="s">
        <v>524</v>
      </c>
      <c r="G232" s="166">
        <f t="shared" si="7"/>
        <v>0</v>
      </c>
      <c r="H232" s="112">
        <f>121780-121780</f>
        <v>0</v>
      </c>
      <c r="I232" s="61"/>
      <c r="J232" s="61"/>
      <c r="M232" s="49"/>
      <c r="N232" s="310"/>
    </row>
    <row r="233" spans="1:14" s="15" customFormat="1" ht="107.25" customHeight="1" hidden="1">
      <c r="A233" s="55" t="s">
        <v>737</v>
      </c>
      <c r="B233" s="161" t="s">
        <v>738</v>
      </c>
      <c r="C233" s="55" t="s">
        <v>79</v>
      </c>
      <c r="D233" s="128" t="s">
        <v>80</v>
      </c>
      <c r="E233" s="452"/>
      <c r="F233" s="452"/>
      <c r="G233" s="166">
        <f t="shared" si="7"/>
        <v>0</v>
      </c>
      <c r="H233" s="112">
        <f>66560-66560</f>
        <v>0</v>
      </c>
      <c r="I233" s="61"/>
      <c r="J233" s="61"/>
      <c r="M233" s="49"/>
      <c r="N233" s="310"/>
    </row>
    <row r="234" spans="1:14" s="15" customFormat="1" ht="121.5" customHeight="1">
      <c r="A234" s="55" t="s">
        <v>739</v>
      </c>
      <c r="B234" s="161" t="s">
        <v>307</v>
      </c>
      <c r="C234" s="55" t="s">
        <v>79</v>
      </c>
      <c r="D234" s="128" t="s">
        <v>309</v>
      </c>
      <c r="E234" s="452"/>
      <c r="F234" s="452"/>
      <c r="G234" s="166">
        <f t="shared" si="7"/>
        <v>344304.18</v>
      </c>
      <c r="H234" s="112">
        <f>504300-159995.82</f>
        <v>344304.18</v>
      </c>
      <c r="I234" s="61">
        <f>320000-320000</f>
        <v>0</v>
      </c>
      <c r="J234" s="61">
        <f>320000-320000</f>
        <v>0</v>
      </c>
      <c r="M234" s="49"/>
      <c r="N234" s="310"/>
    </row>
    <row r="235" spans="1:14" s="15" customFormat="1" ht="120" customHeight="1">
      <c r="A235" s="55" t="s">
        <v>740</v>
      </c>
      <c r="B235" s="161" t="s">
        <v>741</v>
      </c>
      <c r="C235" s="55" t="s">
        <v>79</v>
      </c>
      <c r="D235" s="128" t="s">
        <v>664</v>
      </c>
      <c r="E235" s="452"/>
      <c r="F235" s="452"/>
      <c r="G235" s="166">
        <f t="shared" si="7"/>
        <v>20390</v>
      </c>
      <c r="H235" s="112">
        <f>55300-34910</f>
        <v>20390</v>
      </c>
      <c r="I235" s="61"/>
      <c r="J235" s="61"/>
      <c r="M235" s="49"/>
      <c r="N235" s="310"/>
    </row>
    <row r="236" spans="1:14" s="15" customFormat="1" ht="123.75" customHeight="1">
      <c r="A236" s="55" t="s">
        <v>742</v>
      </c>
      <c r="B236" s="161" t="s">
        <v>36</v>
      </c>
      <c r="C236" s="55" t="s">
        <v>79</v>
      </c>
      <c r="D236" s="128" t="s">
        <v>37</v>
      </c>
      <c r="E236" s="452"/>
      <c r="F236" s="452"/>
      <c r="G236" s="166">
        <f t="shared" si="7"/>
        <v>16808916.64</v>
      </c>
      <c r="H236" s="112">
        <f>20999900+549800+45000-30546-7380841.36+5000+35000+1120000+372204+70000+2600</f>
        <v>15788116.64</v>
      </c>
      <c r="I236" s="61">
        <f>1040000-40000+20800</f>
        <v>1020800</v>
      </c>
      <c r="J236" s="61">
        <f>1040000-40000+20800</f>
        <v>1020800</v>
      </c>
      <c r="M236" s="49"/>
      <c r="N236" s="310"/>
    </row>
    <row r="237" spans="1:14" s="15" customFormat="1" ht="129" customHeight="1">
      <c r="A237" s="55" t="s">
        <v>743</v>
      </c>
      <c r="B237" s="161" t="s">
        <v>314</v>
      </c>
      <c r="C237" s="55" t="s">
        <v>79</v>
      </c>
      <c r="D237" s="128" t="s">
        <v>315</v>
      </c>
      <c r="E237" s="452"/>
      <c r="F237" s="452"/>
      <c r="G237" s="166">
        <f t="shared" si="7"/>
        <v>2061274.08</v>
      </c>
      <c r="H237" s="112">
        <f>4043670-862395.92-1120000</f>
        <v>2061274.08</v>
      </c>
      <c r="I237" s="61"/>
      <c r="J237" s="61"/>
      <c r="M237" s="49"/>
      <c r="N237" s="310"/>
    </row>
    <row r="238" spans="1:14" s="15" customFormat="1" ht="192.75" customHeight="1">
      <c r="A238" s="55" t="s">
        <v>744</v>
      </c>
      <c r="B238" s="161" t="s">
        <v>745</v>
      </c>
      <c r="C238" s="55" t="s">
        <v>79</v>
      </c>
      <c r="D238" s="128" t="s">
        <v>159</v>
      </c>
      <c r="E238" s="452"/>
      <c r="F238" s="452"/>
      <c r="G238" s="166">
        <f t="shared" si="7"/>
        <v>1414931.6</v>
      </c>
      <c r="H238" s="112">
        <f>2068356-460999.4+42000-195000+188340-20800-277589+50324</f>
        <v>1394631.6</v>
      </c>
      <c r="I238" s="61">
        <f>120300-42000-58000</f>
        <v>20300</v>
      </c>
      <c r="J238" s="61">
        <f>120300-42000-58000</f>
        <v>20300</v>
      </c>
      <c r="M238" s="49"/>
      <c r="N238" s="310"/>
    </row>
    <row r="239" spans="1:14" s="15" customFormat="1" ht="141.75" customHeight="1">
      <c r="A239" s="55" t="s">
        <v>746</v>
      </c>
      <c r="B239" s="161" t="s">
        <v>747</v>
      </c>
      <c r="C239" s="55" t="s">
        <v>79</v>
      </c>
      <c r="D239" s="128" t="s">
        <v>312</v>
      </c>
      <c r="E239" s="438"/>
      <c r="F239" s="438"/>
      <c r="G239" s="166">
        <f t="shared" si="7"/>
        <v>685780</v>
      </c>
      <c r="H239" s="112">
        <f>719120-33340</f>
        <v>685780</v>
      </c>
      <c r="I239" s="61">
        <v>0</v>
      </c>
      <c r="J239" s="61">
        <v>0</v>
      </c>
      <c r="M239" s="49"/>
      <c r="N239" s="310"/>
    </row>
    <row r="240" spans="1:14" s="15" customFormat="1" ht="114" customHeight="1">
      <c r="A240" s="55" t="s">
        <v>742</v>
      </c>
      <c r="B240" s="161" t="s">
        <v>36</v>
      </c>
      <c r="C240" s="55" t="s">
        <v>79</v>
      </c>
      <c r="D240" s="128" t="s">
        <v>37</v>
      </c>
      <c r="E240" s="90" t="s">
        <v>294</v>
      </c>
      <c r="F240" s="91" t="s">
        <v>421</v>
      </c>
      <c r="G240" s="166">
        <f t="shared" si="7"/>
        <v>199000</v>
      </c>
      <c r="H240" s="112">
        <f>199000-199000</f>
        <v>0</v>
      </c>
      <c r="I240" s="61">
        <v>199000</v>
      </c>
      <c r="J240" s="61">
        <v>199000</v>
      </c>
      <c r="K240" s="49"/>
      <c r="M240" s="49"/>
      <c r="N240" s="310"/>
    </row>
    <row r="241" spans="1:14" s="15" customFormat="1" ht="105" customHeight="1">
      <c r="A241" s="56" t="s">
        <v>138</v>
      </c>
      <c r="B241" s="56" t="s">
        <v>121</v>
      </c>
      <c r="C241" s="56" t="s">
        <v>65</v>
      </c>
      <c r="D241" s="146" t="s">
        <v>166</v>
      </c>
      <c r="E241" s="58" t="s">
        <v>267</v>
      </c>
      <c r="F241" s="58" t="s">
        <v>332</v>
      </c>
      <c r="G241" s="74">
        <f t="shared" si="7"/>
        <v>70000</v>
      </c>
      <c r="H241" s="60">
        <f>50000+20000</f>
        <v>70000</v>
      </c>
      <c r="I241" s="110"/>
      <c r="J241" s="110"/>
      <c r="M241" s="49"/>
      <c r="N241" s="310"/>
    </row>
    <row r="242" spans="1:14" s="15" customFormat="1" ht="39" customHeight="1">
      <c r="A242" s="70" t="s">
        <v>229</v>
      </c>
      <c r="B242" s="69"/>
      <c r="C242" s="69"/>
      <c r="D242" s="412" t="s">
        <v>114</v>
      </c>
      <c r="E242" s="413"/>
      <c r="F242" s="158" t="s">
        <v>284</v>
      </c>
      <c r="G242" s="48">
        <f>G243</f>
        <v>788689855.53</v>
      </c>
      <c r="H242" s="48">
        <f>H243</f>
        <v>379840898.91</v>
      </c>
      <c r="I242" s="48">
        <f>I243</f>
        <v>408848956.62</v>
      </c>
      <c r="J242" s="48">
        <f>J243</f>
        <v>364248956.62</v>
      </c>
      <c r="M242" s="49"/>
      <c r="N242" s="310"/>
    </row>
    <row r="243" spans="1:14" s="15" customFormat="1" ht="60.75" customHeight="1">
      <c r="A243" s="50" t="s">
        <v>230</v>
      </c>
      <c r="B243" s="51"/>
      <c r="C243" s="51"/>
      <c r="D243" s="432" t="s">
        <v>119</v>
      </c>
      <c r="E243" s="433"/>
      <c r="F243" s="52" t="s">
        <v>284</v>
      </c>
      <c r="G243" s="160">
        <f>H243+I243</f>
        <v>788689855.53</v>
      </c>
      <c r="H243" s="160">
        <f>H244+H245+H247+H248+H250+H252+H254+H255+H257+H259+H262+H264+H266+H267+H269+H270+H271+H273+H274+H275+H276+H278+H279+H280+H281+H282+H283+H284+H286+H288+H294+H296+H298+H300+H301+H303+H304+H305+H306+H307+H308+H309+H310+H311+H313+H314+H315+H316+H317+H318+H319</f>
        <v>379840898.91</v>
      </c>
      <c r="I243" s="160">
        <f>I244+I245+I247+I248+I250+I252+I254+I255+I257+I259+I262+I264+I266+I267+I269+I270+I271+I273+I274+I275+I276+I278+I279+I280+I281+I282+I283+I284+I286+I288+I294+I296+I298+I300+I301+I303+I304+I305+I306+I307+I308+I309+I310+I311+I313+I314+I315+I316+I317+I318+I319+I292+I290</f>
        <v>408848956.62</v>
      </c>
      <c r="J243" s="160">
        <f>J244+J245+J247+J248+J250+J252+J254+J255+J257+J259+J262+J264+J266+J267+J269+J270+J271+J273+J274+J275+J276+J278+J279+J280+J281+J282+J283+J284+J286+J288+J294+J296+J298+J300+J301+J303+J304+J305+J306+J307+J308+J309+J310+J311+J313+J314+J315+J316+J317+J318+J319+J292+J290</f>
        <v>364248956.62</v>
      </c>
      <c r="K243" s="304">
        <f>H244+H245+H247+H248+H250+H252+H254+H255+H257+H259+H264+H266+H267+H269+H270+H271+H274+H275+H276+H278+H279+H280+H281+H282+H283+H284+H286+H288+H294+H296+H298+H300+H301+H303+H304+H305+H306+H307+H308+H309+H310+H311+H313+H315+H314+H316+H317+H318+H319+H273+H292+H290</f>
        <v>379840898.91</v>
      </c>
      <c r="L243" s="304">
        <f>I244+I245+I247+I248+I250+I252+I254+I255+I257+I259+I264+I266+I267+I269+I270+I271+I274+I275+I276+I278+I279+I280+I281+I282+I283+I284+I286+I288+I294+I296+I298+I300+I301+I303+I304+I305+I306+I307+I308+I309+I310+I311+I313+I315+I314+I316+I317+I318+I319+I273+I292+I290</f>
        <v>408848956.62</v>
      </c>
      <c r="M243" s="304">
        <f>K243+L243</f>
        <v>788689855.53</v>
      </c>
      <c r="N243" s="310">
        <f>M243-G243</f>
        <v>0</v>
      </c>
    </row>
    <row r="244" spans="1:14" s="15" customFormat="1" ht="133.5" customHeight="1">
      <c r="A244" s="143">
        <v>1510180</v>
      </c>
      <c r="B244" s="133" t="s">
        <v>121</v>
      </c>
      <c r="C244" s="133" t="s">
        <v>65</v>
      </c>
      <c r="D244" s="57" t="s">
        <v>166</v>
      </c>
      <c r="E244" s="58" t="s">
        <v>267</v>
      </c>
      <c r="F244" s="58" t="s">
        <v>332</v>
      </c>
      <c r="G244" s="235">
        <f>H244+I244</f>
        <v>306945</v>
      </c>
      <c r="H244" s="60">
        <f>247500+59445</f>
        <v>306945</v>
      </c>
      <c r="I244" s="110"/>
      <c r="J244" s="110"/>
      <c r="K244" s="49"/>
      <c r="M244" s="49"/>
      <c r="N244" s="310"/>
    </row>
    <row r="245" spans="1:14" s="15" customFormat="1" ht="111" customHeight="1">
      <c r="A245" s="55">
        <v>1513210</v>
      </c>
      <c r="B245" s="55">
        <v>3210</v>
      </c>
      <c r="C245" s="55" t="s">
        <v>66</v>
      </c>
      <c r="D245" s="57" t="s">
        <v>67</v>
      </c>
      <c r="E245" s="175" t="s">
        <v>34</v>
      </c>
      <c r="F245" s="175" t="s">
        <v>515</v>
      </c>
      <c r="G245" s="235">
        <f>H245+I245</f>
        <v>265000</v>
      </c>
      <c r="H245" s="110">
        <f>250000+15000</f>
        <v>265000</v>
      </c>
      <c r="I245" s="61"/>
      <c r="J245" s="110"/>
      <c r="K245" s="49"/>
      <c r="M245" s="49"/>
      <c r="N245" s="310"/>
    </row>
    <row r="246" spans="1:14" s="89" customFormat="1" ht="46.5" customHeight="1" hidden="1">
      <c r="A246" s="84">
        <v>1516010</v>
      </c>
      <c r="B246" s="84">
        <v>6010</v>
      </c>
      <c r="C246" s="96"/>
      <c r="D246" s="123" t="s">
        <v>250</v>
      </c>
      <c r="E246" s="236" t="s">
        <v>284</v>
      </c>
      <c r="F246" s="236" t="s">
        <v>284</v>
      </c>
      <c r="G246" s="99">
        <f>G252+G254+G257+G259+G262+G264</f>
        <v>195517859.69</v>
      </c>
      <c r="H246" s="88">
        <f>H252+H254+H257+H259+H262+H264</f>
        <v>87664817.69000001</v>
      </c>
      <c r="I246" s="88">
        <f>I252+I254+I257+I259+I262+I264</f>
        <v>107853042</v>
      </c>
      <c r="J246" s="88">
        <f>J252+J254+J257+J259+J262+J264</f>
        <v>107853042</v>
      </c>
      <c r="M246" s="49">
        <f>H246+I246</f>
        <v>195517859.69</v>
      </c>
      <c r="N246" s="310"/>
    </row>
    <row r="247" spans="1:14" s="15" customFormat="1" ht="132" customHeight="1">
      <c r="A247" s="56" t="s">
        <v>316</v>
      </c>
      <c r="B247" s="56" t="s">
        <v>308</v>
      </c>
      <c r="C247" s="133" t="s">
        <v>79</v>
      </c>
      <c r="D247" s="57" t="s">
        <v>310</v>
      </c>
      <c r="E247" s="175" t="s">
        <v>482</v>
      </c>
      <c r="F247" s="175" t="s">
        <v>533</v>
      </c>
      <c r="G247" s="235">
        <f aca="true" t="shared" si="8" ref="G247:G253">H247+I247</f>
        <v>7732730</v>
      </c>
      <c r="H247" s="110">
        <v>6912730</v>
      </c>
      <c r="I247" s="61">
        <v>820000</v>
      </c>
      <c r="J247" s="110">
        <v>820000</v>
      </c>
      <c r="K247" s="49"/>
      <c r="N247" s="310"/>
    </row>
    <row r="248" spans="1:14" s="15" customFormat="1" ht="231" customHeight="1">
      <c r="A248" s="56" t="s">
        <v>29</v>
      </c>
      <c r="B248" s="56" t="s">
        <v>30</v>
      </c>
      <c r="C248" s="133" t="s">
        <v>79</v>
      </c>
      <c r="D248" s="94" t="s">
        <v>31</v>
      </c>
      <c r="E248" s="67" t="s">
        <v>283</v>
      </c>
      <c r="F248" s="147" t="s">
        <v>521</v>
      </c>
      <c r="G248" s="235">
        <f t="shared" si="8"/>
        <v>60000000</v>
      </c>
      <c r="H248" s="110">
        <v>0</v>
      </c>
      <c r="I248" s="61">
        <v>60000000</v>
      </c>
      <c r="J248" s="110">
        <f aca="true" t="shared" si="9" ref="J248:J254">I248</f>
        <v>60000000</v>
      </c>
      <c r="K248" s="49"/>
      <c r="N248" s="323"/>
    </row>
    <row r="249" spans="1:14" s="289" customFormat="1" ht="198.75" customHeight="1">
      <c r="A249" s="282"/>
      <c r="B249" s="283"/>
      <c r="C249" s="283"/>
      <c r="D249" s="284" t="s">
        <v>32</v>
      </c>
      <c r="E249" s="285"/>
      <c r="F249" s="285"/>
      <c r="G249" s="286">
        <f t="shared" si="8"/>
        <v>60000000</v>
      </c>
      <c r="H249" s="287">
        <v>0</v>
      </c>
      <c r="I249" s="288">
        <v>60000000</v>
      </c>
      <c r="J249" s="288">
        <f t="shared" si="9"/>
        <v>60000000</v>
      </c>
      <c r="N249" s="310"/>
    </row>
    <row r="250" spans="1:14" s="375" customFormat="1" ht="111" customHeight="1">
      <c r="A250" s="114" t="s">
        <v>408</v>
      </c>
      <c r="B250" s="56" t="s">
        <v>409</v>
      </c>
      <c r="C250" s="133" t="s">
        <v>79</v>
      </c>
      <c r="D250" s="94" t="s">
        <v>410</v>
      </c>
      <c r="E250" s="67" t="s">
        <v>283</v>
      </c>
      <c r="F250" s="147" t="s">
        <v>521</v>
      </c>
      <c r="G250" s="235">
        <f t="shared" si="8"/>
        <v>7254078.16</v>
      </c>
      <c r="H250" s="110">
        <v>0</v>
      </c>
      <c r="I250" s="61">
        <f>3674000+240000+3340078.16</f>
        <v>7254078.16</v>
      </c>
      <c r="J250" s="110">
        <f t="shared" si="9"/>
        <v>7254078.16</v>
      </c>
      <c r="K250" s="374"/>
      <c r="N250" s="376"/>
    </row>
    <row r="251" spans="1:14" s="379" customFormat="1" ht="160.5" customHeight="1">
      <c r="A251" s="377"/>
      <c r="B251" s="283"/>
      <c r="C251" s="283"/>
      <c r="D251" s="284" t="s">
        <v>411</v>
      </c>
      <c r="E251" s="285"/>
      <c r="F251" s="378"/>
      <c r="G251" s="286">
        <f t="shared" si="8"/>
        <v>3674000</v>
      </c>
      <c r="H251" s="287">
        <v>0</v>
      </c>
      <c r="I251" s="288">
        <v>3674000</v>
      </c>
      <c r="J251" s="288">
        <f t="shared" si="9"/>
        <v>3674000</v>
      </c>
      <c r="N251" s="376"/>
    </row>
    <row r="252" spans="1:14" s="15" customFormat="1" ht="107.25" customHeight="1">
      <c r="A252" s="143">
        <v>1516011</v>
      </c>
      <c r="B252" s="133">
        <v>6011</v>
      </c>
      <c r="C252" s="133" t="s">
        <v>587</v>
      </c>
      <c r="D252" s="146" t="s">
        <v>251</v>
      </c>
      <c r="E252" s="91" t="s">
        <v>19</v>
      </c>
      <c r="F252" s="91" t="s">
        <v>516</v>
      </c>
      <c r="G252" s="166">
        <f t="shared" si="8"/>
        <v>80305000</v>
      </c>
      <c r="H252" s="101">
        <v>0</v>
      </c>
      <c r="I252" s="110">
        <f>2051000+35000000+9000000-40000-156378-130000+36000000-2970-1283516-463136+200000+130000</f>
        <v>80305000</v>
      </c>
      <c r="J252" s="110">
        <f t="shared" si="9"/>
        <v>80305000</v>
      </c>
      <c r="K252" s="49">
        <f>G252+G254</f>
        <v>83745000</v>
      </c>
      <c r="L252" s="49">
        <f>H252+H254</f>
        <v>0</v>
      </c>
      <c r="M252" s="49"/>
      <c r="N252" s="310"/>
    </row>
    <row r="253" spans="1:14" s="289" customFormat="1" ht="91.5" customHeight="1">
      <c r="A253" s="282"/>
      <c r="B253" s="283"/>
      <c r="C253" s="283"/>
      <c r="D253" s="284" t="s">
        <v>720</v>
      </c>
      <c r="E253" s="285"/>
      <c r="F253" s="285"/>
      <c r="G253" s="286">
        <f t="shared" si="8"/>
        <v>79870000</v>
      </c>
      <c r="H253" s="287"/>
      <c r="I253" s="288">
        <f>35000000+9000000-130000+36000000</f>
        <v>79870000</v>
      </c>
      <c r="J253" s="288">
        <f t="shared" si="9"/>
        <v>79870000</v>
      </c>
      <c r="N253" s="310"/>
    </row>
    <row r="254" spans="1:14" s="15" customFormat="1" ht="95.25" customHeight="1">
      <c r="A254" s="143">
        <v>1516011</v>
      </c>
      <c r="B254" s="133">
        <v>6011</v>
      </c>
      <c r="C254" s="133" t="s">
        <v>587</v>
      </c>
      <c r="D254" s="146" t="s">
        <v>251</v>
      </c>
      <c r="E254" s="91" t="s">
        <v>18</v>
      </c>
      <c r="F254" s="91" t="s">
        <v>534</v>
      </c>
      <c r="G254" s="166">
        <f aca="true" t="shared" si="10" ref="G254:G281">H254+I254</f>
        <v>3440000</v>
      </c>
      <c r="H254" s="101">
        <v>0</v>
      </c>
      <c r="I254" s="110">
        <f>20579480-2797000-208000-3062415-11708731-295000-106000+463136-1371801-43669+990000+1000000</f>
        <v>3440000</v>
      </c>
      <c r="J254" s="110">
        <f t="shared" si="9"/>
        <v>3440000</v>
      </c>
      <c r="N254" s="310"/>
    </row>
    <row r="255" spans="1:14" s="15" customFormat="1" ht="132" customHeight="1">
      <c r="A255" s="133" t="s">
        <v>476</v>
      </c>
      <c r="B255" s="133" t="s">
        <v>477</v>
      </c>
      <c r="C255" s="133" t="s">
        <v>68</v>
      </c>
      <c r="D255" s="57" t="s">
        <v>478</v>
      </c>
      <c r="E255" s="91" t="s">
        <v>19</v>
      </c>
      <c r="F255" s="91" t="s">
        <v>517</v>
      </c>
      <c r="G255" s="166">
        <f t="shared" si="10"/>
        <v>23550000</v>
      </c>
      <c r="H255" s="101">
        <f>21000000+50000+2500000</f>
        <v>23550000</v>
      </c>
      <c r="I255" s="110">
        <v>0</v>
      </c>
      <c r="J255" s="110">
        <v>0</v>
      </c>
      <c r="N255" s="310"/>
    </row>
    <row r="256" spans="1:14" s="289" customFormat="1" ht="102.75" customHeight="1">
      <c r="A256" s="282"/>
      <c r="B256" s="283"/>
      <c r="C256" s="283"/>
      <c r="D256" s="284" t="s">
        <v>720</v>
      </c>
      <c r="E256" s="285"/>
      <c r="F256" s="285"/>
      <c r="G256" s="286">
        <f>H256+I256</f>
        <v>21000000</v>
      </c>
      <c r="H256" s="287">
        <v>21000000</v>
      </c>
      <c r="I256" s="288">
        <v>0</v>
      </c>
      <c r="J256" s="288">
        <v>0</v>
      </c>
      <c r="N256" s="310"/>
    </row>
    <row r="257" spans="1:14" s="15" customFormat="1" ht="120.75" customHeight="1">
      <c r="A257" s="143">
        <v>1516015</v>
      </c>
      <c r="B257" s="133">
        <v>6015</v>
      </c>
      <c r="C257" s="133" t="s">
        <v>68</v>
      </c>
      <c r="D257" s="57" t="s">
        <v>54</v>
      </c>
      <c r="E257" s="91" t="s">
        <v>19</v>
      </c>
      <c r="F257" s="91" t="s">
        <v>349</v>
      </c>
      <c r="G257" s="166">
        <f t="shared" si="10"/>
        <v>18130000</v>
      </c>
      <c r="H257" s="101">
        <v>0</v>
      </c>
      <c r="I257" s="110">
        <f>10000000+8000000+130000</f>
        <v>18130000</v>
      </c>
      <c r="J257" s="110">
        <f>10000000+8000000+130000</f>
        <v>18130000</v>
      </c>
      <c r="N257" s="310"/>
    </row>
    <row r="258" spans="1:14" s="289" customFormat="1" ht="93.75" customHeight="1">
      <c r="A258" s="282"/>
      <c r="B258" s="283"/>
      <c r="C258" s="283"/>
      <c r="D258" s="284" t="s">
        <v>720</v>
      </c>
      <c r="E258" s="285"/>
      <c r="F258" s="285"/>
      <c r="G258" s="286">
        <f t="shared" si="10"/>
        <v>18130000</v>
      </c>
      <c r="H258" s="287"/>
      <c r="I258" s="288">
        <f>10000000+8000000+130000</f>
        <v>18130000</v>
      </c>
      <c r="J258" s="288">
        <f>10000000+8000000+130000</f>
        <v>18130000</v>
      </c>
      <c r="N258" s="310"/>
    </row>
    <row r="259" spans="1:18" s="15" customFormat="1" ht="121.5" customHeight="1">
      <c r="A259" s="55">
        <v>1516017</v>
      </c>
      <c r="B259" s="55">
        <v>6017</v>
      </c>
      <c r="C259" s="56" t="s">
        <v>68</v>
      </c>
      <c r="D259" s="57" t="s">
        <v>660</v>
      </c>
      <c r="E259" s="91" t="s">
        <v>19</v>
      </c>
      <c r="F259" s="91" t="s">
        <v>348</v>
      </c>
      <c r="G259" s="166">
        <f t="shared" si="10"/>
        <v>90591964.25000001</v>
      </c>
      <c r="H259" s="101">
        <f>43686000+4000000+29000000+133312+17239-7000000+35000+36000+112740.72+39000-1139900+195000+247500-709500+7200000+83861+59508.12+26422+108877.56-22000-26422+14000+51600+44396-50000-75376.99+155520+30000-4976000-1300000+78104.56-15000+168960+19199.76+199409.52-482480-283200+7000+33600+500000+9450+6361+59840+150000+5000000+5000000-14000+50400+7000+7000+10500-18000+4143000</f>
        <v>84613922.25000001</v>
      </c>
      <c r="I259" s="61">
        <f>1205000+29350+244740+1100000+2000000-247500+190000+26422-51600-193140-190000+189000+1000000-189000+790895-26422+12297+88000</f>
        <v>5978042</v>
      </c>
      <c r="J259" s="61">
        <f>I259</f>
        <v>5978042</v>
      </c>
      <c r="K259" s="49">
        <f>G259+G262+G264+G266</f>
        <v>94020259.69000001</v>
      </c>
      <c r="L259" s="49">
        <f>H259+H262+H264</f>
        <v>87664817.69000001</v>
      </c>
      <c r="M259" s="49"/>
      <c r="N259" s="310"/>
      <c r="P259" s="49"/>
      <c r="R259" s="49"/>
    </row>
    <row r="260" spans="1:14" s="294" customFormat="1" ht="110.25" customHeight="1">
      <c r="A260" s="290"/>
      <c r="B260" s="290"/>
      <c r="C260" s="295"/>
      <c r="D260" s="296" t="s">
        <v>699</v>
      </c>
      <c r="E260" s="297"/>
      <c r="F260" s="297"/>
      <c r="G260" s="286">
        <f t="shared" si="10"/>
        <v>148397</v>
      </c>
      <c r="H260" s="287">
        <f>35000+36000+26422-26422+14000+7000+33600-14000+7000+7000+10500</f>
        <v>136100</v>
      </c>
      <c r="I260" s="287">
        <f>0+26422-26422+12297</f>
        <v>12297</v>
      </c>
      <c r="J260" s="293">
        <f>I260</f>
        <v>12297</v>
      </c>
      <c r="K260" s="9"/>
      <c r="L260" s="9"/>
      <c r="M260" s="9"/>
      <c r="N260" s="310"/>
    </row>
    <row r="261" spans="1:14" s="289" customFormat="1" ht="88.5" customHeight="1">
      <c r="A261" s="298"/>
      <c r="B261" s="298"/>
      <c r="C261" s="299"/>
      <c r="D261" s="284" t="s">
        <v>720</v>
      </c>
      <c r="E261" s="300"/>
      <c r="F261" s="300"/>
      <c r="G261" s="286">
        <f>H261+I261</f>
        <v>29000000</v>
      </c>
      <c r="H261" s="288">
        <v>29000000</v>
      </c>
      <c r="I261" s="293">
        <v>0</v>
      </c>
      <c r="J261" s="23">
        <f aca="true" t="shared" si="11" ref="J261:J270">I261</f>
        <v>0</v>
      </c>
      <c r="K261" s="301"/>
      <c r="N261" s="310"/>
    </row>
    <row r="262" spans="1:14" s="15" customFormat="1" ht="66" customHeight="1" hidden="1">
      <c r="A262" s="55">
        <v>1516017</v>
      </c>
      <c r="B262" s="55">
        <v>6017</v>
      </c>
      <c r="C262" s="56" t="s">
        <v>68</v>
      </c>
      <c r="D262" s="57" t="s">
        <v>660</v>
      </c>
      <c r="E262" s="175" t="s">
        <v>18</v>
      </c>
      <c r="F262" s="175" t="s">
        <v>350</v>
      </c>
      <c r="G262" s="166">
        <f t="shared" si="10"/>
        <v>0</v>
      </c>
      <c r="H262" s="110">
        <f>50000000-21000000-29000000</f>
        <v>0</v>
      </c>
      <c r="I262" s="61">
        <v>0</v>
      </c>
      <c r="J262" s="61">
        <f t="shared" si="11"/>
        <v>0</v>
      </c>
      <c r="N262" s="310"/>
    </row>
    <row r="263" spans="1:14" s="157" customFormat="1" ht="63.75" customHeight="1" hidden="1">
      <c r="A263" s="237"/>
      <c r="B263" s="237"/>
      <c r="C263" s="238"/>
      <c r="D263" s="80" t="s">
        <v>720</v>
      </c>
      <c r="E263" s="239"/>
      <c r="F263" s="239"/>
      <c r="G263" s="154">
        <f t="shared" si="10"/>
        <v>0</v>
      </c>
      <c r="H263" s="156">
        <f>50000000-21000000-29000000</f>
        <v>0</v>
      </c>
      <c r="I263" s="82">
        <v>0</v>
      </c>
      <c r="J263" s="61">
        <f t="shared" si="11"/>
        <v>0</v>
      </c>
      <c r="K263" s="240"/>
      <c r="N263" s="310"/>
    </row>
    <row r="264" spans="1:14" s="15" customFormat="1" ht="162.75" customHeight="1">
      <c r="A264" s="55">
        <v>1516017</v>
      </c>
      <c r="B264" s="55">
        <v>6017</v>
      </c>
      <c r="C264" s="56" t="s">
        <v>68</v>
      </c>
      <c r="D264" s="57" t="s">
        <v>660</v>
      </c>
      <c r="E264" s="91" t="s">
        <v>20</v>
      </c>
      <c r="F264" s="91" t="s">
        <v>463</v>
      </c>
      <c r="G264" s="166">
        <f t="shared" si="10"/>
        <v>3050895.44</v>
      </c>
      <c r="H264" s="101">
        <f>2000000+500000+618000-78104.56+11000</f>
        <v>3050895.44</v>
      </c>
      <c r="I264" s="101">
        <v>0</v>
      </c>
      <c r="J264" s="61">
        <f t="shared" si="11"/>
        <v>0</v>
      </c>
      <c r="N264" s="310"/>
    </row>
    <row r="265" spans="1:14" s="15" customFormat="1" ht="102.75" customHeight="1">
      <c r="A265" s="55"/>
      <c r="B265" s="55"/>
      <c r="C265" s="56"/>
      <c r="D265" s="296" t="s">
        <v>699</v>
      </c>
      <c r="E265" s="91"/>
      <c r="F265" s="91"/>
      <c r="G265" s="286">
        <f>H265+I265</f>
        <v>11000</v>
      </c>
      <c r="H265" s="287">
        <v>11000</v>
      </c>
      <c r="I265" s="287">
        <v>0</v>
      </c>
      <c r="J265" s="293">
        <f>I265</f>
        <v>0</v>
      </c>
      <c r="N265" s="310"/>
    </row>
    <row r="266" spans="1:14" s="15" customFormat="1" ht="124.5" customHeight="1">
      <c r="A266" s="55">
        <v>1516017</v>
      </c>
      <c r="B266" s="55">
        <v>6017</v>
      </c>
      <c r="C266" s="56" t="s">
        <v>68</v>
      </c>
      <c r="D266" s="57" t="s">
        <v>660</v>
      </c>
      <c r="E266" s="90" t="s">
        <v>452</v>
      </c>
      <c r="F266" s="91" t="s">
        <v>421</v>
      </c>
      <c r="G266" s="166">
        <f t="shared" si="10"/>
        <v>377400</v>
      </c>
      <c r="H266" s="101">
        <f>184751+177500+40900-40900-94000-90751</f>
        <v>177500</v>
      </c>
      <c r="I266" s="101">
        <f>159000+40900</f>
        <v>199900</v>
      </c>
      <c r="J266" s="61">
        <f t="shared" si="11"/>
        <v>199900</v>
      </c>
      <c r="K266" s="49"/>
      <c r="N266" s="310"/>
    </row>
    <row r="267" spans="1:14" s="371" customFormat="1" ht="102" customHeight="1">
      <c r="A267" s="55">
        <v>1516030</v>
      </c>
      <c r="B267" s="55">
        <v>6030</v>
      </c>
      <c r="C267" s="55" t="s">
        <v>68</v>
      </c>
      <c r="D267" s="57" t="s">
        <v>347</v>
      </c>
      <c r="E267" s="175" t="s">
        <v>34</v>
      </c>
      <c r="F267" s="175" t="s">
        <v>462</v>
      </c>
      <c r="G267" s="166">
        <f t="shared" si="10"/>
        <v>174258563.32</v>
      </c>
      <c r="H267" s="110">
        <f>138531962+2797000+2566626+314302.42+48779.63+64800+199000+3000000+35998.63-4282300+170990.83+195000-39000+599700-195000+199516+8782379.87+7000+599000-1035000+199999+300000+304821+199999-90000+21000+7200+5000000+1050000-2000000-354000-1500000-990000-550000-112000+190000-2988973.16-70000-7000-1388000-70000+600000-99918</f>
        <v>150213883.22</v>
      </c>
      <c r="I267" s="101">
        <f>19294000+156378+3000000-64800+2200000-8000000-40000+8000000-200000+21065-599000-50000+895000-2337000+3837000-39000-80000-199999+22100.1-199999-150000-70000-1342000-21065+12000</f>
        <v>24044680.1</v>
      </c>
      <c r="J267" s="101">
        <f t="shared" si="11"/>
        <v>24044680.1</v>
      </c>
      <c r="K267" s="49">
        <f>G267+G269+G270</f>
        <v>176415563.32</v>
      </c>
      <c r="L267" s="49">
        <f>H267+H269+H270</f>
        <v>152340883.22</v>
      </c>
      <c r="M267" s="49">
        <f>I267+I269+I270</f>
        <v>24074680.1</v>
      </c>
      <c r="N267" s="323"/>
    </row>
    <row r="268" spans="1:14" s="15" customFormat="1" ht="102" customHeight="1">
      <c r="A268" s="55"/>
      <c r="B268" s="55"/>
      <c r="C268" s="55"/>
      <c r="D268" s="296" t="s">
        <v>699</v>
      </c>
      <c r="E268" s="175"/>
      <c r="F268" s="175"/>
      <c r="G268" s="286">
        <f t="shared" si="10"/>
        <v>40200</v>
      </c>
      <c r="H268" s="288">
        <f>7000+21000+7200-7000</f>
        <v>28200</v>
      </c>
      <c r="I268" s="287">
        <f>21065-21065+12000</f>
        <v>12000</v>
      </c>
      <c r="J268" s="287">
        <f t="shared" si="11"/>
        <v>12000</v>
      </c>
      <c r="K268" s="49"/>
      <c r="L268" s="49"/>
      <c r="M268" s="49"/>
      <c r="N268" s="310"/>
    </row>
    <row r="269" spans="1:14" s="15" customFormat="1" ht="111" customHeight="1">
      <c r="A269" s="55">
        <v>1516030</v>
      </c>
      <c r="B269" s="55">
        <v>6030</v>
      </c>
      <c r="C269" s="55" t="s">
        <v>68</v>
      </c>
      <c r="D269" s="57" t="s">
        <v>347</v>
      </c>
      <c r="E269" s="91" t="s">
        <v>26</v>
      </c>
      <c r="F269" s="90" t="s">
        <v>461</v>
      </c>
      <c r="G269" s="166">
        <f t="shared" si="10"/>
        <v>2000000</v>
      </c>
      <c r="H269" s="101">
        <v>2000000</v>
      </c>
      <c r="I269" s="101">
        <v>0</v>
      </c>
      <c r="J269" s="101">
        <f t="shared" si="11"/>
        <v>0</v>
      </c>
      <c r="N269" s="310"/>
    </row>
    <row r="270" spans="1:14" s="15" customFormat="1" ht="119.25" customHeight="1">
      <c r="A270" s="55">
        <v>1516030</v>
      </c>
      <c r="B270" s="55">
        <v>6030</v>
      </c>
      <c r="C270" s="55" t="s">
        <v>68</v>
      </c>
      <c r="D270" s="57" t="s">
        <v>347</v>
      </c>
      <c r="E270" s="90" t="s">
        <v>452</v>
      </c>
      <c r="F270" s="91" t="s">
        <v>421</v>
      </c>
      <c r="G270" s="166">
        <f t="shared" si="10"/>
        <v>157000</v>
      </c>
      <c r="H270" s="101">
        <f>134500-65000+57500</f>
        <v>127000</v>
      </c>
      <c r="I270" s="241">
        <f>22500+7500</f>
        <v>30000</v>
      </c>
      <c r="J270" s="101">
        <f t="shared" si="11"/>
        <v>30000</v>
      </c>
      <c r="N270" s="310"/>
    </row>
    <row r="271" spans="1:14" s="15" customFormat="1" ht="185.25" customHeight="1">
      <c r="A271" s="55">
        <v>1516020</v>
      </c>
      <c r="B271" s="55">
        <v>6020</v>
      </c>
      <c r="C271" s="55" t="s">
        <v>68</v>
      </c>
      <c r="D271" s="57" t="s">
        <v>252</v>
      </c>
      <c r="E271" s="175" t="s">
        <v>33</v>
      </c>
      <c r="F271" s="79" t="s">
        <v>460</v>
      </c>
      <c r="G271" s="166">
        <f t="shared" si="10"/>
        <v>6261000</v>
      </c>
      <c r="H271" s="110">
        <f>6200000+61000</f>
        <v>6261000</v>
      </c>
      <c r="I271" s="101"/>
      <c r="J271" s="101"/>
      <c r="N271" s="310"/>
    </row>
    <row r="272" spans="1:14" s="89" customFormat="1" ht="35.25" customHeight="1" hidden="1">
      <c r="A272" s="84" t="s">
        <v>613</v>
      </c>
      <c r="B272" s="84" t="s">
        <v>614</v>
      </c>
      <c r="C272" s="242"/>
      <c r="D272" s="86" t="s">
        <v>615</v>
      </c>
      <c r="E272" s="243" t="s">
        <v>284</v>
      </c>
      <c r="F272" s="244" t="s">
        <v>284</v>
      </c>
      <c r="G272" s="206">
        <f>G273</f>
        <v>1497500</v>
      </c>
      <c r="H272" s="207">
        <f>H273</f>
        <v>1497500</v>
      </c>
      <c r="I272" s="207">
        <f>I273</f>
        <v>0</v>
      </c>
      <c r="J272" s="207">
        <f>J273</f>
        <v>0</v>
      </c>
      <c r="N272" s="310"/>
    </row>
    <row r="273" spans="1:14" s="15" customFormat="1" ht="95.25" customHeight="1">
      <c r="A273" s="55" t="s">
        <v>611</v>
      </c>
      <c r="B273" s="55" t="s">
        <v>589</v>
      </c>
      <c r="C273" s="56" t="s">
        <v>587</v>
      </c>
      <c r="D273" s="174" t="s">
        <v>612</v>
      </c>
      <c r="E273" s="91" t="s">
        <v>282</v>
      </c>
      <c r="F273" s="90" t="s">
        <v>484</v>
      </c>
      <c r="G273" s="166">
        <f t="shared" si="10"/>
        <v>1497500</v>
      </c>
      <c r="H273" s="101">
        <v>1497500</v>
      </c>
      <c r="I273" s="61"/>
      <c r="J273" s="61"/>
      <c r="N273" s="310"/>
    </row>
    <row r="274" spans="1:14" s="15" customFormat="1" ht="99.75" customHeight="1">
      <c r="A274" s="56" t="s">
        <v>495</v>
      </c>
      <c r="B274" s="56" t="s">
        <v>496</v>
      </c>
      <c r="C274" s="56" t="s">
        <v>113</v>
      </c>
      <c r="D274" s="174" t="s">
        <v>236</v>
      </c>
      <c r="E274" s="165" t="s">
        <v>553</v>
      </c>
      <c r="F274" s="90" t="s">
        <v>518</v>
      </c>
      <c r="G274" s="166">
        <f t="shared" si="10"/>
        <v>54000</v>
      </c>
      <c r="H274" s="200">
        <v>54000</v>
      </c>
      <c r="I274" s="61"/>
      <c r="J274" s="61"/>
      <c r="N274" s="310"/>
    </row>
    <row r="275" spans="1:14" s="15" customFormat="1" ht="105" customHeight="1">
      <c r="A275" s="143">
        <v>1517310</v>
      </c>
      <c r="B275" s="55">
        <v>7310</v>
      </c>
      <c r="C275" s="56" t="s">
        <v>124</v>
      </c>
      <c r="D275" s="174" t="s">
        <v>644</v>
      </c>
      <c r="E275" s="67" t="s">
        <v>283</v>
      </c>
      <c r="F275" s="147" t="s">
        <v>519</v>
      </c>
      <c r="G275" s="166">
        <f t="shared" si="10"/>
        <v>5770551</v>
      </c>
      <c r="H275" s="107"/>
      <c r="I275" s="61">
        <f>2799000+2665385+400000-100000-500000+10000+290000+250000-43834</f>
        <v>5770551</v>
      </c>
      <c r="J275" s="61">
        <f>I275</f>
        <v>5770551</v>
      </c>
      <c r="K275" s="49">
        <f>G275+G276</f>
        <v>6713951</v>
      </c>
      <c r="L275" s="49"/>
      <c r="M275" s="49"/>
      <c r="N275" s="310"/>
    </row>
    <row r="276" spans="1:14" s="15" customFormat="1" ht="245.25" customHeight="1">
      <c r="A276" s="143">
        <v>1517310</v>
      </c>
      <c r="B276" s="55">
        <v>7310</v>
      </c>
      <c r="C276" s="56" t="s">
        <v>124</v>
      </c>
      <c r="D276" s="174" t="s">
        <v>644</v>
      </c>
      <c r="E276" s="58" t="s">
        <v>296</v>
      </c>
      <c r="F276" s="58" t="s">
        <v>459</v>
      </c>
      <c r="G276" s="166">
        <f t="shared" si="10"/>
        <v>943400</v>
      </c>
      <c r="H276" s="60"/>
      <c r="I276" s="61">
        <f>2518331-304821-1270110</f>
        <v>943400</v>
      </c>
      <c r="J276" s="61">
        <f>I276</f>
        <v>943400</v>
      </c>
      <c r="K276" s="49"/>
      <c r="M276" s="49"/>
      <c r="N276" s="310"/>
    </row>
    <row r="277" spans="1:14" s="89" customFormat="1" ht="30" customHeight="1" hidden="1">
      <c r="A277" s="84" t="s">
        <v>606</v>
      </c>
      <c r="B277" s="84" t="s">
        <v>607</v>
      </c>
      <c r="C277" s="96"/>
      <c r="D277" s="172" t="s">
        <v>603</v>
      </c>
      <c r="E277" s="243" t="s">
        <v>284</v>
      </c>
      <c r="F277" s="243" t="s">
        <v>284</v>
      </c>
      <c r="G277" s="87">
        <f>G279+G281+G283</f>
        <v>4319000</v>
      </c>
      <c r="H277" s="162">
        <f>H279+H281+H283</f>
        <v>0</v>
      </c>
      <c r="I277" s="162">
        <f>I279+I281+I283</f>
        <v>4319000</v>
      </c>
      <c r="J277" s="162">
        <f>J279+J281+J283</f>
        <v>4319000</v>
      </c>
      <c r="N277" s="310"/>
    </row>
    <row r="278" spans="1:14" s="15" customFormat="1" ht="117.75" customHeight="1">
      <c r="A278" s="55" t="s">
        <v>721</v>
      </c>
      <c r="B278" s="55" t="s">
        <v>722</v>
      </c>
      <c r="C278" s="56" t="s">
        <v>124</v>
      </c>
      <c r="D278" s="245" t="s">
        <v>605</v>
      </c>
      <c r="E278" s="67" t="s">
        <v>283</v>
      </c>
      <c r="F278" s="147" t="s">
        <v>520</v>
      </c>
      <c r="G278" s="166">
        <f>H278+I278</f>
        <v>1212200</v>
      </c>
      <c r="H278" s="107"/>
      <c r="I278" s="61">
        <f>420000+283200+500000+9000</f>
        <v>1212200</v>
      </c>
      <c r="J278" s="110">
        <f>I278</f>
        <v>1212200</v>
      </c>
      <c r="K278" s="49"/>
      <c r="N278" s="310"/>
    </row>
    <row r="279" spans="1:14" s="15" customFormat="1" ht="120" customHeight="1">
      <c r="A279" s="55" t="s">
        <v>608</v>
      </c>
      <c r="B279" s="55" t="s">
        <v>609</v>
      </c>
      <c r="C279" s="56" t="s">
        <v>124</v>
      </c>
      <c r="D279" s="174" t="s">
        <v>610</v>
      </c>
      <c r="E279" s="67" t="s">
        <v>283</v>
      </c>
      <c r="F279" s="147" t="s">
        <v>521</v>
      </c>
      <c r="G279" s="166">
        <f>H279+I279</f>
        <v>950000</v>
      </c>
      <c r="H279" s="107"/>
      <c r="I279" s="61">
        <f>610000+40000+300000</f>
        <v>950000</v>
      </c>
      <c r="J279" s="110">
        <f aca="true" t="shared" si="12" ref="J279:J284">I279</f>
        <v>950000</v>
      </c>
      <c r="K279" s="49">
        <f>G279+G280</f>
        <v>1131382</v>
      </c>
      <c r="N279" s="310"/>
    </row>
    <row r="280" spans="1:14" s="15" customFormat="1" ht="222.75" customHeight="1">
      <c r="A280" s="55" t="s">
        <v>608</v>
      </c>
      <c r="B280" s="55" t="s">
        <v>609</v>
      </c>
      <c r="C280" s="56" t="s">
        <v>124</v>
      </c>
      <c r="D280" s="174" t="s">
        <v>610</v>
      </c>
      <c r="E280" s="58" t="s">
        <v>296</v>
      </c>
      <c r="F280" s="58" t="s">
        <v>459</v>
      </c>
      <c r="G280" s="166">
        <f>H280+I280</f>
        <v>181382</v>
      </c>
      <c r="H280" s="107"/>
      <c r="I280" s="61">
        <f>0+181382</f>
        <v>181382</v>
      </c>
      <c r="J280" s="110">
        <f t="shared" si="12"/>
        <v>181382</v>
      </c>
      <c r="N280" s="310"/>
    </row>
    <row r="281" spans="1:14" s="15" customFormat="1" ht="116.25" customHeight="1">
      <c r="A281" s="55">
        <v>1517323</v>
      </c>
      <c r="B281" s="55">
        <v>7323</v>
      </c>
      <c r="C281" s="56" t="s">
        <v>124</v>
      </c>
      <c r="D281" s="174" t="s">
        <v>645</v>
      </c>
      <c r="E281" s="67" t="s">
        <v>283</v>
      </c>
      <c r="F281" s="147" t="s">
        <v>710</v>
      </c>
      <c r="G281" s="166">
        <f t="shared" si="10"/>
        <v>2009000</v>
      </c>
      <c r="H281" s="107"/>
      <c r="I281" s="61">
        <f>2000000+9000</f>
        <v>2009000</v>
      </c>
      <c r="J281" s="110">
        <f t="shared" si="12"/>
        <v>2009000</v>
      </c>
      <c r="N281" s="310"/>
    </row>
    <row r="282" spans="1:14" s="15" customFormat="1" ht="126.75" customHeight="1">
      <c r="A282" s="56" t="s">
        <v>498</v>
      </c>
      <c r="B282" s="56" t="s">
        <v>499</v>
      </c>
      <c r="C282" s="56" t="s">
        <v>124</v>
      </c>
      <c r="D282" s="174" t="s">
        <v>542</v>
      </c>
      <c r="E282" s="67" t="s">
        <v>283</v>
      </c>
      <c r="F282" s="147" t="s">
        <v>711</v>
      </c>
      <c r="G282" s="166">
        <f>H282+I282</f>
        <v>860000</v>
      </c>
      <c r="H282" s="107"/>
      <c r="I282" s="61">
        <f>286000+574000</f>
        <v>860000</v>
      </c>
      <c r="J282" s="110">
        <f t="shared" si="12"/>
        <v>860000</v>
      </c>
      <c r="N282" s="310"/>
    </row>
    <row r="283" spans="1:14" s="246" customFormat="1" ht="123" customHeight="1">
      <c r="A283" s="55">
        <v>1517325</v>
      </c>
      <c r="B283" s="55">
        <v>7325</v>
      </c>
      <c r="C283" s="56" t="s">
        <v>124</v>
      </c>
      <c r="D283" s="174" t="s">
        <v>646</v>
      </c>
      <c r="E283" s="67" t="s">
        <v>283</v>
      </c>
      <c r="F283" s="147" t="s">
        <v>710</v>
      </c>
      <c r="G283" s="166">
        <f>H283+I283</f>
        <v>1360000</v>
      </c>
      <c r="H283" s="107"/>
      <c r="I283" s="110">
        <f>1820000-49000-286000-54000+29282300+300000-29282300-820000+50000-51000-50000+120000+120000+500000-240000</f>
        <v>1360000</v>
      </c>
      <c r="J283" s="110">
        <f t="shared" si="12"/>
        <v>1360000</v>
      </c>
      <c r="N283" s="310"/>
    </row>
    <row r="284" spans="1:14" s="246" customFormat="1" ht="120.75" customHeight="1" hidden="1">
      <c r="A284" s="55" t="s">
        <v>357</v>
      </c>
      <c r="B284" s="161" t="s">
        <v>358</v>
      </c>
      <c r="C284" s="55" t="s">
        <v>124</v>
      </c>
      <c r="D284" s="57" t="s">
        <v>504</v>
      </c>
      <c r="E284" s="67" t="s">
        <v>283</v>
      </c>
      <c r="F284" s="147" t="s">
        <v>710</v>
      </c>
      <c r="G284" s="166">
        <f>H284+I284</f>
        <v>0</v>
      </c>
      <c r="H284" s="107"/>
      <c r="I284" s="110">
        <f>150000-150000</f>
        <v>0</v>
      </c>
      <c r="J284" s="110">
        <f t="shared" si="12"/>
        <v>0</v>
      </c>
      <c r="N284" s="310"/>
    </row>
    <row r="285" spans="1:14" s="15" customFormat="1" ht="45" customHeight="1" hidden="1">
      <c r="A285" s="84">
        <v>1517460</v>
      </c>
      <c r="B285" s="84">
        <v>7460</v>
      </c>
      <c r="C285" s="84"/>
      <c r="D285" s="123" t="s">
        <v>761</v>
      </c>
      <c r="E285" s="243" t="s">
        <v>284</v>
      </c>
      <c r="F285" s="243" t="s">
        <v>284</v>
      </c>
      <c r="G285" s="99">
        <f>G296</f>
        <v>42953053</v>
      </c>
      <c r="H285" s="88">
        <f>H296</f>
        <v>42703053</v>
      </c>
      <c r="I285" s="88">
        <f>I296</f>
        <v>250000</v>
      </c>
      <c r="J285" s="88">
        <f>J296</f>
        <v>250000</v>
      </c>
      <c r="N285" s="310"/>
    </row>
    <row r="286" spans="1:14" s="150" customFormat="1" ht="150.75" customHeight="1">
      <c r="A286" s="143" t="s">
        <v>551</v>
      </c>
      <c r="B286" s="144">
        <v>7363</v>
      </c>
      <c r="C286" s="145" t="s">
        <v>92</v>
      </c>
      <c r="D286" s="146" t="s">
        <v>547</v>
      </c>
      <c r="E286" s="247" t="s">
        <v>283</v>
      </c>
      <c r="F286" s="147" t="s">
        <v>709</v>
      </c>
      <c r="G286" s="148">
        <f aca="true" t="shared" si="13" ref="G286:G295">H286+I286</f>
        <v>9270000</v>
      </c>
      <c r="H286" s="149"/>
      <c r="I286" s="149">
        <f>9270000</f>
        <v>9270000</v>
      </c>
      <c r="J286" s="149">
        <f aca="true" t="shared" si="14" ref="J286:J295">I286</f>
        <v>9270000</v>
      </c>
      <c r="K286" s="202">
        <f>J286+J288+J290</f>
        <v>11889143.23</v>
      </c>
      <c r="N286" s="310"/>
    </row>
    <row r="287" spans="1:14" s="289" customFormat="1" ht="150" customHeight="1">
      <c r="A287" s="282"/>
      <c r="B287" s="283"/>
      <c r="C287" s="283"/>
      <c r="D287" s="284" t="s">
        <v>548</v>
      </c>
      <c r="E287" s="285"/>
      <c r="F287" s="285"/>
      <c r="G287" s="286">
        <f t="shared" si="13"/>
        <v>9000000</v>
      </c>
      <c r="H287" s="287"/>
      <c r="I287" s="288">
        <f>9000000</f>
        <v>9000000</v>
      </c>
      <c r="J287" s="288">
        <f t="shared" si="14"/>
        <v>9000000</v>
      </c>
      <c r="N287" s="310"/>
    </row>
    <row r="288" spans="1:14" s="150" customFormat="1" ht="156" customHeight="1">
      <c r="A288" s="143" t="s">
        <v>551</v>
      </c>
      <c r="B288" s="144">
        <v>7363</v>
      </c>
      <c r="C288" s="145" t="s">
        <v>92</v>
      </c>
      <c r="D288" s="146" t="s">
        <v>547</v>
      </c>
      <c r="E288" s="175" t="s">
        <v>34</v>
      </c>
      <c r="F288" s="175" t="s">
        <v>462</v>
      </c>
      <c r="G288" s="148">
        <f t="shared" si="13"/>
        <v>31200</v>
      </c>
      <c r="H288" s="149"/>
      <c r="I288" s="149">
        <f>31200</f>
        <v>31200</v>
      </c>
      <c r="J288" s="149">
        <f t="shared" si="14"/>
        <v>31200</v>
      </c>
      <c r="K288" s="202"/>
      <c r="N288" s="310"/>
    </row>
    <row r="289" spans="1:14" s="289" customFormat="1" ht="156.75" customHeight="1">
      <c r="A289" s="282"/>
      <c r="B289" s="283"/>
      <c r="C289" s="283"/>
      <c r="D289" s="284" t="s">
        <v>548</v>
      </c>
      <c r="E289" s="285"/>
      <c r="F289" s="285"/>
      <c r="G289" s="286">
        <f t="shared" si="13"/>
        <v>30291.26</v>
      </c>
      <c r="H289" s="287"/>
      <c r="I289" s="288">
        <f>30291.26</f>
        <v>30291.26</v>
      </c>
      <c r="J289" s="288">
        <f t="shared" si="14"/>
        <v>30291.26</v>
      </c>
      <c r="N289" s="310"/>
    </row>
    <row r="290" spans="1:14" s="325" customFormat="1" ht="156" customHeight="1">
      <c r="A290" s="143" t="s">
        <v>551</v>
      </c>
      <c r="B290" s="144">
        <v>7363</v>
      </c>
      <c r="C290" s="145" t="s">
        <v>92</v>
      </c>
      <c r="D290" s="146" t="s">
        <v>547</v>
      </c>
      <c r="E290" s="91" t="s">
        <v>18</v>
      </c>
      <c r="F290" s="91" t="s">
        <v>534</v>
      </c>
      <c r="G290" s="148">
        <f>H290+I290</f>
        <v>2587943.2300000004</v>
      </c>
      <c r="H290" s="149"/>
      <c r="I290" s="149">
        <f>2512566.24+75376.99</f>
        <v>2587943.2300000004</v>
      </c>
      <c r="J290" s="149">
        <f>I290</f>
        <v>2587943.2300000004</v>
      </c>
      <c r="K290" s="324"/>
      <c r="N290" s="326"/>
    </row>
    <row r="291" spans="1:14" s="327" customFormat="1" ht="156.75" customHeight="1">
      <c r="A291" s="282"/>
      <c r="B291" s="283"/>
      <c r="C291" s="283"/>
      <c r="D291" s="284" t="s">
        <v>548</v>
      </c>
      <c r="E291" s="285"/>
      <c r="F291" s="285"/>
      <c r="G291" s="286">
        <f>H291+I291</f>
        <v>2512566.24</v>
      </c>
      <c r="H291" s="287"/>
      <c r="I291" s="288">
        <v>2512566.24</v>
      </c>
      <c r="J291" s="288">
        <f>I291</f>
        <v>2512566.24</v>
      </c>
      <c r="N291" s="326"/>
    </row>
    <row r="292" spans="1:14" s="150" customFormat="1" ht="114.75" customHeight="1">
      <c r="A292" s="143" t="s">
        <v>653</v>
      </c>
      <c r="B292" s="144">
        <v>7366</v>
      </c>
      <c r="C292" s="145" t="s">
        <v>92</v>
      </c>
      <c r="D292" s="146" t="s">
        <v>654</v>
      </c>
      <c r="E292" s="247" t="s">
        <v>283</v>
      </c>
      <c r="F292" s="147" t="s">
        <v>709</v>
      </c>
      <c r="G292" s="148">
        <f>H292+I292</f>
        <v>4813624</v>
      </c>
      <c r="H292" s="149"/>
      <c r="I292" s="149">
        <f>4813624-9253+9253</f>
        <v>4813624</v>
      </c>
      <c r="J292" s="149">
        <f>I292</f>
        <v>4813624</v>
      </c>
      <c r="K292" s="202"/>
      <c r="N292" s="310"/>
    </row>
    <row r="293" spans="1:14" s="289" customFormat="1" ht="165" customHeight="1">
      <c r="A293" s="282"/>
      <c r="B293" s="283"/>
      <c r="C293" s="283"/>
      <c r="D293" s="284" t="s">
        <v>655</v>
      </c>
      <c r="E293" s="285"/>
      <c r="F293" s="285"/>
      <c r="G293" s="286">
        <f>H293+I293</f>
        <v>4813624</v>
      </c>
      <c r="H293" s="287"/>
      <c r="I293" s="288">
        <f>4813624-9253+9253</f>
        <v>4813624</v>
      </c>
      <c r="J293" s="288">
        <f t="shared" si="14"/>
        <v>4813624</v>
      </c>
      <c r="N293" s="310"/>
    </row>
    <row r="294" spans="1:14" s="150" customFormat="1" ht="114.75" customHeight="1">
      <c r="A294" s="143" t="s">
        <v>723</v>
      </c>
      <c r="B294" s="144">
        <v>7368</v>
      </c>
      <c r="C294" s="145" t="s">
        <v>92</v>
      </c>
      <c r="D294" s="146" t="s">
        <v>724</v>
      </c>
      <c r="E294" s="175" t="s">
        <v>283</v>
      </c>
      <c r="F294" s="175" t="s">
        <v>708</v>
      </c>
      <c r="G294" s="148">
        <f t="shared" si="13"/>
        <v>11500000</v>
      </c>
      <c r="H294" s="149"/>
      <c r="I294" s="149">
        <f>I295</f>
        <v>11500000</v>
      </c>
      <c r="J294" s="149">
        <f t="shared" si="14"/>
        <v>11500000</v>
      </c>
      <c r="K294" s="202"/>
      <c r="N294" s="310"/>
    </row>
    <row r="295" spans="1:14" s="289" customFormat="1" ht="231" customHeight="1">
      <c r="A295" s="282"/>
      <c r="B295" s="283"/>
      <c r="C295" s="283"/>
      <c r="D295" s="284" t="s">
        <v>725</v>
      </c>
      <c r="E295" s="285"/>
      <c r="F295" s="285"/>
      <c r="G295" s="286">
        <f t="shared" si="13"/>
        <v>11500000</v>
      </c>
      <c r="H295" s="287"/>
      <c r="I295" s="288">
        <f>0+11500000</f>
        <v>11500000</v>
      </c>
      <c r="J295" s="288">
        <f t="shared" si="14"/>
        <v>11500000</v>
      </c>
      <c r="N295" s="310"/>
    </row>
    <row r="296" spans="1:14" s="15" customFormat="1" ht="150" customHeight="1">
      <c r="A296" s="55">
        <v>1517461</v>
      </c>
      <c r="B296" s="55">
        <v>7461</v>
      </c>
      <c r="C296" s="56" t="s">
        <v>120</v>
      </c>
      <c r="D296" s="57" t="s">
        <v>765</v>
      </c>
      <c r="E296" s="175" t="s">
        <v>292</v>
      </c>
      <c r="F296" s="175" t="s">
        <v>458</v>
      </c>
      <c r="G296" s="166">
        <f aca="true" t="shared" si="15" ref="G296:G309">H296+I296</f>
        <v>42953053</v>
      </c>
      <c r="H296" s="110">
        <f>30000000+4000000+2503053-3000000+50000000-10000000-50000000+10000000+3800000+3200000+1400000+700000+200000-100000</f>
        <v>42703053</v>
      </c>
      <c r="I296" s="61">
        <f>4000000-2000000-1810000+250000-190000</f>
        <v>250000</v>
      </c>
      <c r="J296" s="110">
        <f aca="true" t="shared" si="16" ref="J296:J311">I296</f>
        <v>250000</v>
      </c>
      <c r="K296" s="49">
        <f>G296+G298</f>
        <v>92953053</v>
      </c>
      <c r="N296" s="310"/>
    </row>
    <row r="297" spans="1:14" s="157" customFormat="1" ht="125.25" customHeight="1" hidden="1">
      <c r="A297" s="151"/>
      <c r="B297" s="152"/>
      <c r="C297" s="152"/>
      <c r="D297" s="80" t="s">
        <v>320</v>
      </c>
      <c r="E297" s="153"/>
      <c r="F297" s="153"/>
      <c r="G297" s="154">
        <f>H297+I297</f>
        <v>0</v>
      </c>
      <c r="H297" s="155">
        <f>50000000-50000000</f>
        <v>0</v>
      </c>
      <c r="I297" s="156"/>
      <c r="J297" s="156">
        <f>I297</f>
        <v>0</v>
      </c>
      <c r="N297" s="310"/>
    </row>
    <row r="298" spans="1:14" s="15" customFormat="1" ht="161.25" customHeight="1">
      <c r="A298" s="56" t="s">
        <v>692</v>
      </c>
      <c r="B298" s="56" t="s">
        <v>693</v>
      </c>
      <c r="C298" s="56" t="s">
        <v>120</v>
      </c>
      <c r="D298" s="94" t="s">
        <v>694</v>
      </c>
      <c r="E298" s="175" t="s">
        <v>292</v>
      </c>
      <c r="F298" s="175" t="s">
        <v>458</v>
      </c>
      <c r="G298" s="166">
        <f>H298+I298</f>
        <v>50000000</v>
      </c>
      <c r="H298" s="110">
        <f>0+50000000</f>
        <v>50000000</v>
      </c>
      <c r="I298" s="61"/>
      <c r="J298" s="110">
        <f>I298</f>
        <v>0</v>
      </c>
      <c r="K298" s="49"/>
      <c r="N298" s="310"/>
    </row>
    <row r="299" spans="1:14" s="289" customFormat="1" ht="204.75" customHeight="1">
      <c r="A299" s="282"/>
      <c r="B299" s="283"/>
      <c r="C299" s="283"/>
      <c r="D299" s="284" t="s">
        <v>320</v>
      </c>
      <c r="E299" s="285"/>
      <c r="F299" s="285"/>
      <c r="G299" s="286">
        <f>H299+I299</f>
        <v>50000000</v>
      </c>
      <c r="H299" s="287">
        <f>0+50000000</f>
        <v>50000000</v>
      </c>
      <c r="I299" s="288"/>
      <c r="J299" s="288">
        <f>I299</f>
        <v>0</v>
      </c>
      <c r="N299" s="310"/>
    </row>
    <row r="300" spans="1:14" s="15" customFormat="1" ht="149.25" customHeight="1">
      <c r="A300" s="55" t="s">
        <v>50</v>
      </c>
      <c r="B300" s="55" t="s">
        <v>51</v>
      </c>
      <c r="C300" s="56" t="s">
        <v>52</v>
      </c>
      <c r="D300" s="57" t="s">
        <v>53</v>
      </c>
      <c r="E300" s="216" t="s">
        <v>432</v>
      </c>
      <c r="F300" s="216" t="s">
        <v>455</v>
      </c>
      <c r="G300" s="166">
        <f t="shared" si="15"/>
        <v>6454944</v>
      </c>
      <c r="H300" s="248">
        <f>4600000+1854944</f>
        <v>6454944</v>
      </c>
      <c r="I300" s="110"/>
      <c r="J300" s="110">
        <f t="shared" si="16"/>
        <v>0</v>
      </c>
      <c r="N300" s="310"/>
    </row>
    <row r="301" spans="1:14" s="15" customFormat="1" ht="54.75" customHeight="1">
      <c r="A301" s="55" t="s">
        <v>40</v>
      </c>
      <c r="B301" s="55" t="s">
        <v>632</v>
      </c>
      <c r="C301" s="56" t="s">
        <v>135</v>
      </c>
      <c r="D301" s="57" t="s">
        <v>165</v>
      </c>
      <c r="E301" s="417" t="s">
        <v>285</v>
      </c>
      <c r="F301" s="424" t="s">
        <v>707</v>
      </c>
      <c r="G301" s="166">
        <f t="shared" si="15"/>
        <v>4275753.29</v>
      </c>
      <c r="H301" s="101">
        <f>199100+199000-49382.71-117000</f>
        <v>231717.28999999998</v>
      </c>
      <c r="I301" s="110">
        <f>13281593-8260000-977557</f>
        <v>4044036</v>
      </c>
      <c r="J301" s="110">
        <f t="shared" si="16"/>
        <v>4044036</v>
      </c>
      <c r="L301" s="49">
        <f>G301+G303</f>
        <v>4325136</v>
      </c>
      <c r="N301" s="310"/>
    </row>
    <row r="302" spans="1:14" s="303" customFormat="1" ht="129" customHeight="1">
      <c r="A302" s="282"/>
      <c r="B302" s="283"/>
      <c r="C302" s="282"/>
      <c r="D302" s="302" t="s">
        <v>293</v>
      </c>
      <c r="E302" s="438"/>
      <c r="F302" s="461"/>
      <c r="G302" s="286">
        <f t="shared" si="15"/>
        <v>3540000</v>
      </c>
      <c r="H302" s="287"/>
      <c r="I302" s="288">
        <f>11800000-8260000</f>
        <v>3540000</v>
      </c>
      <c r="J302" s="288">
        <f t="shared" si="16"/>
        <v>3540000</v>
      </c>
      <c r="N302" s="310"/>
    </row>
    <row r="303" spans="1:14" s="338" customFormat="1" ht="129" customHeight="1">
      <c r="A303" s="133" t="s">
        <v>40</v>
      </c>
      <c r="B303" s="133" t="s">
        <v>632</v>
      </c>
      <c r="C303" s="133" t="s">
        <v>135</v>
      </c>
      <c r="D303" s="57" t="s">
        <v>165</v>
      </c>
      <c r="E303" s="91" t="s">
        <v>290</v>
      </c>
      <c r="F303" s="250" t="s">
        <v>440</v>
      </c>
      <c r="G303" s="166">
        <f t="shared" si="15"/>
        <v>49382.71</v>
      </c>
      <c r="H303" s="101">
        <v>49382.71</v>
      </c>
      <c r="I303" s="110">
        <v>0</v>
      </c>
      <c r="J303" s="110">
        <v>0</v>
      </c>
      <c r="N303" s="339"/>
    </row>
    <row r="304" spans="1:14" s="371" customFormat="1" ht="137.25" customHeight="1">
      <c r="A304" s="55">
        <v>1517670</v>
      </c>
      <c r="B304" s="55">
        <v>7670</v>
      </c>
      <c r="C304" s="55" t="s">
        <v>92</v>
      </c>
      <c r="D304" s="372" t="s">
        <v>164</v>
      </c>
      <c r="E304" s="91" t="s">
        <v>416</v>
      </c>
      <c r="F304" s="91" t="s">
        <v>454</v>
      </c>
      <c r="G304" s="166">
        <f t="shared" si="15"/>
        <v>47500000</v>
      </c>
      <c r="H304" s="101"/>
      <c r="I304" s="110">
        <f>15000000-12000000+40000000+2000000+1397050+1602950-500000</f>
        <v>47500000</v>
      </c>
      <c r="J304" s="110">
        <f t="shared" si="16"/>
        <v>47500000</v>
      </c>
      <c r="K304" s="49">
        <f>G304+G305+G306+G307+G308+J309+G310+G311</f>
        <v>118263920.13</v>
      </c>
      <c r="L304" s="369"/>
      <c r="M304" s="369"/>
      <c r="N304" s="370"/>
    </row>
    <row r="305" spans="1:14" s="15" customFormat="1" ht="144" customHeight="1">
      <c r="A305" s="55">
        <v>1517670</v>
      </c>
      <c r="B305" s="55">
        <v>7670</v>
      </c>
      <c r="C305" s="55" t="s">
        <v>92</v>
      </c>
      <c r="D305" s="57" t="s">
        <v>164</v>
      </c>
      <c r="E305" s="91" t="s">
        <v>287</v>
      </c>
      <c r="F305" s="91" t="s">
        <v>443</v>
      </c>
      <c r="G305" s="166">
        <f t="shared" si="15"/>
        <v>42899920.129999995</v>
      </c>
      <c r="H305" s="101"/>
      <c r="I305" s="110">
        <f>30000000-2500079.87+3400000+16000000-4000000</f>
        <v>42899920.129999995</v>
      </c>
      <c r="J305" s="110">
        <f t="shared" si="16"/>
        <v>42899920.129999995</v>
      </c>
      <c r="N305" s="310"/>
    </row>
    <row r="306" spans="1:14" s="15" customFormat="1" ht="114.75" customHeight="1">
      <c r="A306" s="55">
        <v>1517670</v>
      </c>
      <c r="B306" s="55">
        <v>7670</v>
      </c>
      <c r="C306" s="55" t="s">
        <v>92</v>
      </c>
      <c r="D306" s="57" t="s">
        <v>164</v>
      </c>
      <c r="E306" s="91" t="s">
        <v>706</v>
      </c>
      <c r="F306" s="91" t="s">
        <v>442</v>
      </c>
      <c r="G306" s="166">
        <f>H306+I306</f>
        <v>1000000</v>
      </c>
      <c r="H306" s="101"/>
      <c r="I306" s="110">
        <f>2000000-1000000</f>
        <v>1000000</v>
      </c>
      <c r="J306" s="110">
        <f t="shared" si="16"/>
        <v>1000000</v>
      </c>
      <c r="K306" s="102" t="s">
        <v>286</v>
      </c>
      <c r="N306" s="310"/>
    </row>
    <row r="307" spans="1:14" s="15" customFormat="1" ht="174" customHeight="1">
      <c r="A307" s="55">
        <v>1517670</v>
      </c>
      <c r="B307" s="55">
        <v>7670</v>
      </c>
      <c r="C307" s="55" t="s">
        <v>92</v>
      </c>
      <c r="D307" s="57" t="s">
        <v>164</v>
      </c>
      <c r="E307" s="91" t="s">
        <v>288</v>
      </c>
      <c r="F307" s="91" t="s">
        <v>441</v>
      </c>
      <c r="G307" s="166">
        <f t="shared" si="15"/>
        <v>2000000</v>
      </c>
      <c r="H307" s="101"/>
      <c r="I307" s="110">
        <f>10000000-8000000</f>
        <v>2000000</v>
      </c>
      <c r="J307" s="110">
        <f t="shared" si="16"/>
        <v>2000000</v>
      </c>
      <c r="N307" s="310"/>
    </row>
    <row r="308" spans="1:14" s="15" customFormat="1" ht="155.25" customHeight="1">
      <c r="A308" s="56" t="s">
        <v>554</v>
      </c>
      <c r="B308" s="56" t="s">
        <v>555</v>
      </c>
      <c r="C308" s="56" t="s">
        <v>92</v>
      </c>
      <c r="D308" s="57" t="s">
        <v>164</v>
      </c>
      <c r="E308" s="91" t="s">
        <v>556</v>
      </c>
      <c r="F308" s="91" t="s">
        <v>560</v>
      </c>
      <c r="G308" s="166">
        <f t="shared" si="15"/>
        <v>100000</v>
      </c>
      <c r="H308" s="101"/>
      <c r="I308" s="110">
        <v>100000</v>
      </c>
      <c r="J308" s="110">
        <f t="shared" si="16"/>
        <v>100000</v>
      </c>
      <c r="N308" s="310"/>
    </row>
    <row r="309" spans="1:14" s="15" customFormat="1" ht="129" customHeight="1" hidden="1">
      <c r="A309" s="56" t="s">
        <v>554</v>
      </c>
      <c r="B309" s="56" t="s">
        <v>555</v>
      </c>
      <c r="C309" s="56" t="s">
        <v>92</v>
      </c>
      <c r="D309" s="57" t="s">
        <v>164</v>
      </c>
      <c r="E309" s="67" t="s">
        <v>705</v>
      </c>
      <c r="F309" s="58" t="s">
        <v>544</v>
      </c>
      <c r="G309" s="166">
        <f t="shared" si="15"/>
        <v>0</v>
      </c>
      <c r="H309" s="101"/>
      <c r="I309" s="110">
        <f>1000000-1000000</f>
        <v>0</v>
      </c>
      <c r="J309" s="110">
        <f t="shared" si="16"/>
        <v>0</v>
      </c>
      <c r="N309" s="310"/>
    </row>
    <row r="310" spans="1:14" s="15" customFormat="1" ht="129" customHeight="1">
      <c r="A310" s="56" t="s">
        <v>554</v>
      </c>
      <c r="B310" s="56" t="s">
        <v>555</v>
      </c>
      <c r="C310" s="56" t="s">
        <v>92</v>
      </c>
      <c r="D310" s="57" t="s">
        <v>164</v>
      </c>
      <c r="E310" s="67" t="s">
        <v>658</v>
      </c>
      <c r="F310" s="58" t="s">
        <v>656</v>
      </c>
      <c r="G310" s="166">
        <f>H310+I310</f>
        <v>1376000</v>
      </c>
      <c r="H310" s="101"/>
      <c r="I310" s="110">
        <f>1976000-600000</f>
        <v>1376000</v>
      </c>
      <c r="J310" s="110">
        <f t="shared" si="16"/>
        <v>1376000</v>
      </c>
      <c r="N310" s="310"/>
    </row>
    <row r="311" spans="1:14" s="15" customFormat="1" ht="279" customHeight="1">
      <c r="A311" s="55">
        <v>1517670</v>
      </c>
      <c r="B311" s="55">
        <v>7670</v>
      </c>
      <c r="C311" s="55" t="s">
        <v>92</v>
      </c>
      <c r="D311" s="57" t="s">
        <v>164</v>
      </c>
      <c r="E311" s="91" t="s">
        <v>226</v>
      </c>
      <c r="F311" s="91" t="s">
        <v>227</v>
      </c>
      <c r="G311" s="166">
        <f>H311+I311</f>
        <v>23388000</v>
      </c>
      <c r="H311" s="101"/>
      <c r="I311" s="110">
        <f>10000000+22000000-10000000+1388000</f>
        <v>23388000</v>
      </c>
      <c r="J311" s="110">
        <f t="shared" si="16"/>
        <v>23388000</v>
      </c>
      <c r="N311" s="339"/>
    </row>
    <row r="312" spans="1:14" s="15" customFormat="1" ht="25.5" customHeight="1" hidden="1">
      <c r="A312" s="84" t="s">
        <v>58</v>
      </c>
      <c r="B312" s="84">
        <v>7690</v>
      </c>
      <c r="C312" s="84"/>
      <c r="D312" s="123" t="s">
        <v>635</v>
      </c>
      <c r="E312" s="97" t="s">
        <v>284</v>
      </c>
      <c r="F312" s="249" t="s">
        <v>284</v>
      </c>
      <c r="G312" s="99">
        <f>G317</f>
        <v>454818</v>
      </c>
      <c r="H312" s="88">
        <f>H313+H316+H317</f>
        <v>454818</v>
      </c>
      <c r="I312" s="88">
        <f>I313+I316+I317</f>
        <v>33000000</v>
      </c>
      <c r="J312" s="88">
        <f>J313+J316+J317</f>
        <v>0</v>
      </c>
      <c r="N312" s="310"/>
    </row>
    <row r="313" spans="1:14" s="15" customFormat="1" ht="406.5" customHeight="1">
      <c r="A313" s="161" t="s">
        <v>305</v>
      </c>
      <c r="B313" s="161">
        <v>7691</v>
      </c>
      <c r="C313" s="56" t="s">
        <v>92</v>
      </c>
      <c r="D313" s="57" t="s">
        <v>306</v>
      </c>
      <c r="E313" s="91" t="s">
        <v>718</v>
      </c>
      <c r="F313" s="91" t="s">
        <v>696</v>
      </c>
      <c r="G313" s="166">
        <f aca="true" t="shared" si="17" ref="G313:G319">H313+I313</f>
        <v>33000000</v>
      </c>
      <c r="H313" s="149"/>
      <c r="I313" s="142">
        <f>30000000+3000000</f>
        <v>33000000</v>
      </c>
      <c r="J313" s="110"/>
      <c r="N313" s="310"/>
    </row>
    <row r="314" spans="1:14" s="15" customFormat="1" ht="406.5" customHeight="1">
      <c r="A314" s="161" t="s">
        <v>305</v>
      </c>
      <c r="B314" s="161">
        <v>7691</v>
      </c>
      <c r="C314" s="56" t="s">
        <v>92</v>
      </c>
      <c r="D314" s="57" t="s">
        <v>306</v>
      </c>
      <c r="E314" s="91" t="s">
        <v>18</v>
      </c>
      <c r="F314" s="91" t="s">
        <v>534</v>
      </c>
      <c r="G314" s="166">
        <f>H314+I314</f>
        <v>2000000</v>
      </c>
      <c r="H314" s="149"/>
      <c r="I314" s="142">
        <f>0+2000000</f>
        <v>2000000</v>
      </c>
      <c r="J314" s="110"/>
      <c r="K314" s="49"/>
      <c r="N314" s="323"/>
    </row>
    <row r="315" spans="1:14" s="15" customFormat="1" ht="406.5" customHeight="1">
      <c r="A315" s="161" t="s">
        <v>305</v>
      </c>
      <c r="B315" s="161">
        <v>7691</v>
      </c>
      <c r="C315" s="56" t="s">
        <v>92</v>
      </c>
      <c r="D315" s="57" t="s">
        <v>306</v>
      </c>
      <c r="E315" s="91" t="s">
        <v>292</v>
      </c>
      <c r="F315" s="91" t="s">
        <v>458</v>
      </c>
      <c r="G315" s="166">
        <f t="shared" si="17"/>
        <v>5000000</v>
      </c>
      <c r="H315" s="149"/>
      <c r="I315" s="142">
        <f>0+5000000</f>
        <v>5000000</v>
      </c>
      <c r="J315" s="110"/>
      <c r="N315" s="310"/>
    </row>
    <row r="316" spans="1:14" s="15" customFormat="1" ht="408" customHeight="1" hidden="1">
      <c r="A316" s="161" t="s">
        <v>305</v>
      </c>
      <c r="B316" s="161">
        <v>7691</v>
      </c>
      <c r="C316" s="56" t="s">
        <v>92</v>
      </c>
      <c r="D316" s="57" t="s">
        <v>306</v>
      </c>
      <c r="E316" s="91" t="s">
        <v>418</v>
      </c>
      <c r="F316" s="91" t="s">
        <v>695</v>
      </c>
      <c r="G316" s="166">
        <f t="shared" si="17"/>
        <v>0</v>
      </c>
      <c r="H316" s="149"/>
      <c r="I316" s="142">
        <f>10000000-10000000</f>
        <v>0</v>
      </c>
      <c r="J316" s="110"/>
      <c r="N316" s="310"/>
    </row>
    <row r="317" spans="1:14" s="15" customFormat="1" ht="106.5" customHeight="1">
      <c r="A317" s="161" t="s">
        <v>289</v>
      </c>
      <c r="B317" s="161">
        <v>7693</v>
      </c>
      <c r="C317" s="56" t="s">
        <v>92</v>
      </c>
      <c r="D317" s="57" t="s">
        <v>593</v>
      </c>
      <c r="E317" s="91" t="s">
        <v>290</v>
      </c>
      <c r="F317" s="250" t="s">
        <v>440</v>
      </c>
      <c r="G317" s="166">
        <f t="shared" si="17"/>
        <v>454818</v>
      </c>
      <c r="H317" s="149">
        <f>1500000-181382-199000-195000-50000-419800</f>
        <v>454818</v>
      </c>
      <c r="I317" s="112"/>
      <c r="J317" s="110">
        <f>I317</f>
        <v>0</v>
      </c>
      <c r="N317" s="310"/>
    </row>
    <row r="318" spans="1:14" s="246" customFormat="1" ht="99" customHeight="1">
      <c r="A318" s="251" t="s">
        <v>46</v>
      </c>
      <c r="B318" s="161" t="s">
        <v>47</v>
      </c>
      <c r="C318" s="56" t="s">
        <v>48</v>
      </c>
      <c r="D318" s="174" t="s">
        <v>49</v>
      </c>
      <c r="E318" s="91" t="s">
        <v>291</v>
      </c>
      <c r="F318" s="252" t="s">
        <v>439</v>
      </c>
      <c r="G318" s="166">
        <f t="shared" si="17"/>
        <v>916608</v>
      </c>
      <c r="H318" s="149">
        <v>916608</v>
      </c>
      <c r="I318" s="112"/>
      <c r="J318" s="110">
        <f>I318</f>
        <v>0</v>
      </c>
      <c r="N318" s="310"/>
    </row>
    <row r="319" spans="1:14" s="246" customFormat="1" ht="117" customHeight="1">
      <c r="A319" s="251">
        <v>1518340</v>
      </c>
      <c r="B319" s="161">
        <v>8340</v>
      </c>
      <c r="C319" s="56" t="s">
        <v>128</v>
      </c>
      <c r="D319" s="57" t="s">
        <v>240</v>
      </c>
      <c r="E319" s="67" t="s">
        <v>298</v>
      </c>
      <c r="F319" s="252" t="s">
        <v>438</v>
      </c>
      <c r="G319" s="166">
        <f t="shared" si="17"/>
        <v>4600000</v>
      </c>
      <c r="H319" s="149"/>
      <c r="I319" s="112">
        <f>1500000+2000000+1100000</f>
        <v>4600000</v>
      </c>
      <c r="J319" s="110"/>
      <c r="L319" s="253">
        <f>I319+I353</f>
        <v>10370607.84</v>
      </c>
      <c r="N319" s="310"/>
    </row>
    <row r="320" spans="1:14" s="15" customFormat="1" ht="49.5" customHeight="1">
      <c r="A320" s="70">
        <v>1600000</v>
      </c>
      <c r="B320" s="69"/>
      <c r="C320" s="69"/>
      <c r="D320" s="412" t="s">
        <v>122</v>
      </c>
      <c r="E320" s="413"/>
      <c r="F320" s="158" t="s">
        <v>284</v>
      </c>
      <c r="G320" s="48">
        <f>G321</f>
        <v>176076</v>
      </c>
      <c r="H320" s="48">
        <f>H321</f>
        <v>127076</v>
      </c>
      <c r="I320" s="48">
        <f>I321</f>
        <v>49000</v>
      </c>
      <c r="J320" s="48">
        <f>J321</f>
        <v>49000</v>
      </c>
      <c r="N320" s="310"/>
    </row>
    <row r="321" spans="1:14" s="73" customFormat="1" ht="60.75" customHeight="1">
      <c r="A321" s="50">
        <v>1610000</v>
      </c>
      <c r="B321" s="51"/>
      <c r="C321" s="51"/>
      <c r="D321" s="432" t="s">
        <v>123</v>
      </c>
      <c r="E321" s="433"/>
      <c r="F321" s="52" t="s">
        <v>284</v>
      </c>
      <c r="G321" s="160">
        <f>G322+G323</f>
        <v>176076</v>
      </c>
      <c r="H321" s="160">
        <f>H322+H323</f>
        <v>127076</v>
      </c>
      <c r="I321" s="160">
        <f>I322+I323</f>
        <v>49000</v>
      </c>
      <c r="J321" s="160">
        <f>J322+J323</f>
        <v>49000</v>
      </c>
      <c r="K321" s="304">
        <f>H322+H323</f>
        <v>127076</v>
      </c>
      <c r="L321" s="304">
        <f>I322+I323</f>
        <v>49000</v>
      </c>
      <c r="M321" s="304">
        <f>K321+L321</f>
        <v>176076</v>
      </c>
      <c r="N321" s="310">
        <f>M321-G321</f>
        <v>0</v>
      </c>
    </row>
    <row r="322" spans="1:14" s="15" customFormat="1" ht="114.75" customHeight="1">
      <c r="A322" s="133" t="s">
        <v>562</v>
      </c>
      <c r="B322" s="133" t="s">
        <v>121</v>
      </c>
      <c r="C322" s="133" t="s">
        <v>65</v>
      </c>
      <c r="D322" s="57" t="s">
        <v>166</v>
      </c>
      <c r="E322" s="58" t="s">
        <v>267</v>
      </c>
      <c r="F322" s="58" t="s">
        <v>332</v>
      </c>
      <c r="G322" s="74">
        <f>SUM(H322+I322)</f>
        <v>127076</v>
      </c>
      <c r="H322" s="60">
        <f>116000+11076</f>
        <v>127076</v>
      </c>
      <c r="I322" s="110"/>
      <c r="J322" s="110">
        <f>I322</f>
        <v>0</v>
      </c>
      <c r="N322" s="310"/>
    </row>
    <row r="323" spans="1:14" s="15" customFormat="1" ht="213.75" customHeight="1">
      <c r="A323" s="133" t="s">
        <v>491</v>
      </c>
      <c r="B323" s="133" t="s">
        <v>492</v>
      </c>
      <c r="C323" s="133" t="s">
        <v>124</v>
      </c>
      <c r="D323" s="57" t="s">
        <v>493</v>
      </c>
      <c r="E323" s="58" t="s">
        <v>475</v>
      </c>
      <c r="F323" s="58" t="s">
        <v>473</v>
      </c>
      <c r="G323" s="74">
        <f>SUM(H323+I323)</f>
        <v>49000</v>
      </c>
      <c r="H323" s="60"/>
      <c r="I323" s="110">
        <v>49000</v>
      </c>
      <c r="J323" s="110">
        <f>I323</f>
        <v>49000</v>
      </c>
      <c r="N323" s="310"/>
    </row>
    <row r="324" spans="1:14" s="157" customFormat="1" ht="60.75" customHeight="1">
      <c r="A324" s="69" t="s">
        <v>563</v>
      </c>
      <c r="B324" s="70"/>
      <c r="C324" s="70"/>
      <c r="D324" s="455" t="s">
        <v>564</v>
      </c>
      <c r="E324" s="456"/>
      <c r="F324" s="158" t="s">
        <v>284</v>
      </c>
      <c r="G324" s="227">
        <f>G325</f>
        <v>30000</v>
      </c>
      <c r="H324" s="227">
        <f aca="true" t="shared" si="18" ref="H324:J325">H325</f>
        <v>30000</v>
      </c>
      <c r="I324" s="227">
        <f t="shared" si="18"/>
        <v>0</v>
      </c>
      <c r="J324" s="227">
        <f t="shared" si="18"/>
        <v>0</v>
      </c>
      <c r="N324" s="310"/>
    </row>
    <row r="325" spans="1:14" s="157" customFormat="1" ht="61.5" customHeight="1">
      <c r="A325" s="51" t="s">
        <v>565</v>
      </c>
      <c r="B325" s="50"/>
      <c r="C325" s="50"/>
      <c r="D325" s="453" t="s">
        <v>566</v>
      </c>
      <c r="E325" s="454"/>
      <c r="F325" s="52" t="s">
        <v>284</v>
      </c>
      <c r="G325" s="53">
        <f>G326</f>
        <v>30000</v>
      </c>
      <c r="H325" s="53">
        <f t="shared" si="18"/>
        <v>30000</v>
      </c>
      <c r="I325" s="53">
        <f t="shared" si="18"/>
        <v>0</v>
      </c>
      <c r="J325" s="53">
        <f t="shared" si="18"/>
        <v>0</v>
      </c>
      <c r="K325" s="304">
        <f>H326</f>
        <v>30000</v>
      </c>
      <c r="L325" s="304">
        <f>I326</f>
        <v>0</v>
      </c>
      <c r="M325" s="304">
        <f>K325+L325</f>
        <v>30000</v>
      </c>
      <c r="N325" s="310">
        <f>M325-G325</f>
        <v>0</v>
      </c>
    </row>
    <row r="326" spans="1:14" s="157" customFormat="1" ht="118.5" customHeight="1">
      <c r="A326" s="56" t="s">
        <v>567</v>
      </c>
      <c r="B326" s="56" t="s">
        <v>121</v>
      </c>
      <c r="C326" s="56" t="s">
        <v>65</v>
      </c>
      <c r="D326" s="57" t="s">
        <v>166</v>
      </c>
      <c r="E326" s="58" t="s">
        <v>267</v>
      </c>
      <c r="F326" s="58" t="s">
        <v>332</v>
      </c>
      <c r="G326" s="74">
        <f>SUM(H326+I326)</f>
        <v>30000</v>
      </c>
      <c r="H326" s="60">
        <f>20000+10000</f>
        <v>30000</v>
      </c>
      <c r="I326" s="61"/>
      <c r="J326" s="110"/>
      <c r="N326" s="310"/>
    </row>
    <row r="327" spans="1:14" s="15" customFormat="1" ht="21.75" customHeight="1" hidden="1">
      <c r="A327" s="254"/>
      <c r="B327" s="255"/>
      <c r="C327" s="255"/>
      <c r="D327" s="256"/>
      <c r="E327" s="102"/>
      <c r="F327" s="102"/>
      <c r="G327" s="257"/>
      <c r="H327" s="258"/>
      <c r="I327" s="258"/>
      <c r="J327" s="258"/>
      <c r="N327" s="310"/>
    </row>
    <row r="328" spans="1:14" s="15" customFormat="1" ht="39" customHeight="1" hidden="1">
      <c r="A328" s="254"/>
      <c r="B328" s="255"/>
      <c r="C328" s="255"/>
      <c r="D328" s="256"/>
      <c r="E328" s="102"/>
      <c r="F328" s="102"/>
      <c r="G328" s="257"/>
      <c r="H328" s="258"/>
      <c r="I328" s="258"/>
      <c r="J328" s="258"/>
      <c r="N328" s="310"/>
    </row>
    <row r="329" spans="1:14" s="15" customFormat="1" ht="2.25" customHeight="1">
      <c r="A329" s="254"/>
      <c r="B329" s="255"/>
      <c r="C329" s="255"/>
      <c r="D329" s="256"/>
      <c r="E329" s="102"/>
      <c r="F329" s="102"/>
      <c r="G329" s="257"/>
      <c r="H329" s="258"/>
      <c r="I329" s="258"/>
      <c r="J329" s="258"/>
      <c r="N329" s="310"/>
    </row>
    <row r="330" spans="1:14" s="15" customFormat="1" ht="88.5" customHeight="1">
      <c r="A330" s="70" t="s">
        <v>233</v>
      </c>
      <c r="B330" s="69"/>
      <c r="C330" s="69"/>
      <c r="D330" s="412" t="s">
        <v>667</v>
      </c>
      <c r="E330" s="413"/>
      <c r="F330" s="158" t="s">
        <v>284</v>
      </c>
      <c r="G330" s="48">
        <f>G331</f>
        <v>65160596</v>
      </c>
      <c r="H330" s="48">
        <f>H331</f>
        <v>59155096</v>
      </c>
      <c r="I330" s="48">
        <f>I331</f>
        <v>6005500</v>
      </c>
      <c r="J330" s="48">
        <f>J331</f>
        <v>6000000</v>
      </c>
      <c r="N330" s="310"/>
    </row>
    <row r="331" spans="1:14" s="15" customFormat="1" ht="63.75" customHeight="1">
      <c r="A331" s="50" t="s">
        <v>234</v>
      </c>
      <c r="B331" s="51"/>
      <c r="C331" s="51"/>
      <c r="D331" s="432" t="s">
        <v>129</v>
      </c>
      <c r="E331" s="433"/>
      <c r="F331" s="52" t="s">
        <v>284</v>
      </c>
      <c r="G331" s="160">
        <f>G332+G334+G336+G337+G338+G339</f>
        <v>65160596</v>
      </c>
      <c r="H331" s="160">
        <f>H332+H334+H336+H337+H338+H339</f>
        <v>59155096</v>
      </c>
      <c r="I331" s="160">
        <f>I332+I334+I336+I337+I338+I339</f>
        <v>6005500</v>
      </c>
      <c r="J331" s="160">
        <f>J332+J334+J336+J337+J338+J339</f>
        <v>6000000</v>
      </c>
      <c r="K331" s="304">
        <f>H332+H334+H336+H337+H338+H339</f>
        <v>59155096</v>
      </c>
      <c r="L331" s="304">
        <f>I332+I334+I336+I337+I338+I339</f>
        <v>6005500</v>
      </c>
      <c r="M331" s="304">
        <f>K331+L331</f>
        <v>65160596</v>
      </c>
      <c r="N331" s="310">
        <f>M331-G331</f>
        <v>0</v>
      </c>
    </row>
    <row r="332" spans="1:14" s="15" customFormat="1" ht="108" customHeight="1">
      <c r="A332" s="133" t="s">
        <v>568</v>
      </c>
      <c r="B332" s="133" t="s">
        <v>121</v>
      </c>
      <c r="C332" s="133" t="s">
        <v>65</v>
      </c>
      <c r="D332" s="57" t="s">
        <v>166</v>
      </c>
      <c r="E332" s="58" t="s">
        <v>267</v>
      </c>
      <c r="F332" s="58" t="s">
        <v>332</v>
      </c>
      <c r="G332" s="74">
        <f>SUM(H332+I332)</f>
        <v>126096</v>
      </c>
      <c r="H332" s="60">
        <f>88000+38096</f>
        <v>126096</v>
      </c>
      <c r="I332" s="110"/>
      <c r="J332" s="110"/>
      <c r="K332" s="49"/>
      <c r="N332" s="310"/>
    </row>
    <row r="333" spans="1:14" s="89" customFormat="1" ht="42" customHeight="1" hidden="1">
      <c r="A333" s="84" t="s">
        <v>616</v>
      </c>
      <c r="B333" s="84" t="s">
        <v>617</v>
      </c>
      <c r="C333" s="84"/>
      <c r="D333" s="123" t="s">
        <v>618</v>
      </c>
      <c r="E333" s="236" t="s">
        <v>284</v>
      </c>
      <c r="F333" s="236" t="s">
        <v>284</v>
      </c>
      <c r="G333" s="206">
        <f>G334</f>
        <v>34500</v>
      </c>
      <c r="H333" s="207">
        <f>H334</f>
        <v>29000</v>
      </c>
      <c r="I333" s="207">
        <f>I334</f>
        <v>5500</v>
      </c>
      <c r="J333" s="207">
        <f>J334</f>
        <v>0</v>
      </c>
      <c r="N333" s="310"/>
    </row>
    <row r="334" spans="1:14" s="15" customFormat="1" ht="119.25" customHeight="1">
      <c r="A334" s="55">
        <v>1917413</v>
      </c>
      <c r="B334" s="55">
        <v>7413</v>
      </c>
      <c r="C334" s="55" t="s">
        <v>131</v>
      </c>
      <c r="D334" s="57" t="s">
        <v>594</v>
      </c>
      <c r="E334" s="91" t="s">
        <v>450</v>
      </c>
      <c r="F334" s="91" t="s">
        <v>437</v>
      </c>
      <c r="G334" s="74">
        <f>SUM(H334+I334)</f>
        <v>34500</v>
      </c>
      <c r="H334" s="101">
        <v>29000</v>
      </c>
      <c r="I334" s="61">
        <v>5500</v>
      </c>
      <c r="J334" s="61"/>
      <c r="N334" s="310"/>
    </row>
    <row r="335" spans="1:14" s="89" customFormat="1" ht="37.5" customHeight="1" hidden="1">
      <c r="A335" s="84" t="s">
        <v>619</v>
      </c>
      <c r="B335" s="84" t="s">
        <v>620</v>
      </c>
      <c r="C335" s="84"/>
      <c r="D335" s="123" t="s">
        <v>622</v>
      </c>
      <c r="E335" s="236" t="s">
        <v>284</v>
      </c>
      <c r="F335" s="236" t="s">
        <v>284</v>
      </c>
      <c r="G335" s="206">
        <f>G336</f>
        <v>29072866</v>
      </c>
      <c r="H335" s="207">
        <f>H336</f>
        <v>29072866</v>
      </c>
      <c r="I335" s="207">
        <f>I336</f>
        <v>0</v>
      </c>
      <c r="J335" s="207">
        <f>J336</f>
        <v>0</v>
      </c>
      <c r="N335" s="310"/>
    </row>
    <row r="336" spans="1:14" s="15" customFormat="1" ht="113.25" customHeight="1">
      <c r="A336" s="55" t="s">
        <v>623</v>
      </c>
      <c r="B336" s="55" t="s">
        <v>624</v>
      </c>
      <c r="C336" s="55" t="s">
        <v>625</v>
      </c>
      <c r="D336" s="57" t="s">
        <v>130</v>
      </c>
      <c r="E336" s="91" t="s">
        <v>295</v>
      </c>
      <c r="F336" s="91" t="s">
        <v>436</v>
      </c>
      <c r="G336" s="74">
        <f>SUM(H336+I336)</f>
        <v>29072866</v>
      </c>
      <c r="H336" s="101">
        <f>55200000-26127134</f>
        <v>29072866</v>
      </c>
      <c r="I336" s="61"/>
      <c r="J336" s="61"/>
      <c r="K336" s="49">
        <f>G336+G337</f>
        <v>59000000</v>
      </c>
      <c r="N336" s="310"/>
    </row>
    <row r="337" spans="1:14" s="65" customFormat="1" ht="109.5" customHeight="1">
      <c r="A337" s="55" t="s">
        <v>623</v>
      </c>
      <c r="B337" s="55" t="s">
        <v>624</v>
      </c>
      <c r="C337" s="55" t="s">
        <v>625</v>
      </c>
      <c r="D337" s="57" t="s">
        <v>130</v>
      </c>
      <c r="E337" s="91" t="s">
        <v>321</v>
      </c>
      <c r="F337" s="91" t="s">
        <v>322</v>
      </c>
      <c r="G337" s="74">
        <f>SUM(H337+I337)</f>
        <v>29927134</v>
      </c>
      <c r="H337" s="101">
        <f>0+26127134+3800000</f>
        <v>29927134</v>
      </c>
      <c r="I337" s="61"/>
      <c r="J337" s="61"/>
      <c r="N337" s="310"/>
    </row>
    <row r="338" spans="1:16" s="15" customFormat="1" ht="119.25" customHeight="1">
      <c r="A338" s="55">
        <v>1917670</v>
      </c>
      <c r="B338" s="55">
        <v>7670</v>
      </c>
      <c r="C338" s="55" t="s">
        <v>92</v>
      </c>
      <c r="D338" s="57" t="s">
        <v>164</v>
      </c>
      <c r="E338" s="91" t="s">
        <v>295</v>
      </c>
      <c r="F338" s="91" t="s">
        <v>435</v>
      </c>
      <c r="G338" s="74">
        <f>SUM(H338+I338)</f>
        <v>2084000</v>
      </c>
      <c r="H338" s="101"/>
      <c r="I338" s="61">
        <f>5000000-2916000</f>
        <v>2084000</v>
      </c>
      <c r="J338" s="61">
        <f>I338</f>
        <v>2084000</v>
      </c>
      <c r="K338" s="49">
        <f>G338+G339</f>
        <v>6000000</v>
      </c>
      <c r="N338" s="310"/>
      <c r="P338" s="49"/>
    </row>
    <row r="339" spans="1:16" s="65" customFormat="1" ht="109.5" customHeight="1">
      <c r="A339" s="55">
        <v>1917670</v>
      </c>
      <c r="B339" s="55">
        <v>7670</v>
      </c>
      <c r="C339" s="55" t="s">
        <v>92</v>
      </c>
      <c r="D339" s="57" t="s">
        <v>164</v>
      </c>
      <c r="E339" s="91" t="s">
        <v>321</v>
      </c>
      <c r="F339" s="91" t="s">
        <v>322</v>
      </c>
      <c r="G339" s="74">
        <f>SUM(H339+I339)</f>
        <v>3916000</v>
      </c>
      <c r="H339" s="101"/>
      <c r="I339" s="61">
        <f>0+2916000+1000000</f>
        <v>3916000</v>
      </c>
      <c r="J339" s="61">
        <f>I339</f>
        <v>3916000</v>
      </c>
      <c r="N339" s="310"/>
      <c r="P339" s="168"/>
    </row>
    <row r="340" spans="1:14" s="15" customFormat="1" ht="58.5" customHeight="1">
      <c r="A340" s="70">
        <v>2700000</v>
      </c>
      <c r="B340" s="69"/>
      <c r="C340" s="69"/>
      <c r="D340" s="412" t="s">
        <v>569</v>
      </c>
      <c r="E340" s="413"/>
      <c r="F340" s="158" t="s">
        <v>284</v>
      </c>
      <c r="G340" s="48">
        <f>G341</f>
        <v>416060</v>
      </c>
      <c r="H340" s="48">
        <f>H341</f>
        <v>416060</v>
      </c>
      <c r="I340" s="48">
        <f>I341</f>
        <v>0</v>
      </c>
      <c r="J340" s="48">
        <f>J341</f>
        <v>0</v>
      </c>
      <c r="K340" s="49"/>
      <c r="N340" s="310"/>
    </row>
    <row r="341" spans="1:14" s="15" customFormat="1" ht="48" customHeight="1">
      <c r="A341" s="50">
        <v>2710000</v>
      </c>
      <c r="B341" s="51"/>
      <c r="C341" s="51"/>
      <c r="D341" s="432" t="s">
        <v>134</v>
      </c>
      <c r="E341" s="433"/>
      <c r="F341" s="52" t="s">
        <v>284</v>
      </c>
      <c r="G341" s="160">
        <f>G342+G343+G345+G346</f>
        <v>416060</v>
      </c>
      <c r="H341" s="160">
        <f>H342+H343+H345+H346</f>
        <v>416060</v>
      </c>
      <c r="I341" s="160">
        <f>I342+I343+I345+I346</f>
        <v>0</v>
      </c>
      <c r="J341" s="160">
        <f>J342+J343+J345+J346</f>
        <v>0</v>
      </c>
      <c r="K341" s="304">
        <f>H342+H344+H345+H347</f>
        <v>416060</v>
      </c>
      <c r="L341" s="304">
        <f>I342+I344+I345+I347</f>
        <v>0</v>
      </c>
      <c r="M341" s="304">
        <f>K341+L341</f>
        <v>416060</v>
      </c>
      <c r="N341" s="310">
        <f>M341-G341</f>
        <v>0</v>
      </c>
    </row>
    <row r="342" spans="1:14" s="15" customFormat="1" ht="123.75" customHeight="1">
      <c r="A342" s="133" t="s">
        <v>570</v>
      </c>
      <c r="B342" s="133" t="s">
        <v>121</v>
      </c>
      <c r="C342" s="133" t="s">
        <v>65</v>
      </c>
      <c r="D342" s="57" t="s">
        <v>166</v>
      </c>
      <c r="E342" s="58" t="s">
        <v>267</v>
      </c>
      <c r="F342" s="58" t="s">
        <v>332</v>
      </c>
      <c r="G342" s="74">
        <f>SUM(H342+I342)</f>
        <v>270772</v>
      </c>
      <c r="H342" s="60">
        <f>182000+30000+50000+8772</f>
        <v>270772</v>
      </c>
      <c r="I342" s="110"/>
      <c r="J342" s="110"/>
      <c r="N342" s="310"/>
    </row>
    <row r="343" spans="1:14" s="89" customFormat="1" ht="34.5" customHeight="1" hidden="1">
      <c r="A343" s="84" t="s">
        <v>626</v>
      </c>
      <c r="B343" s="84" t="s">
        <v>627</v>
      </c>
      <c r="C343" s="96"/>
      <c r="D343" s="259" t="s">
        <v>628</v>
      </c>
      <c r="E343" s="236" t="s">
        <v>284</v>
      </c>
      <c r="F343" s="236" t="s">
        <v>284</v>
      </c>
      <c r="G343" s="206">
        <f>G344</f>
        <v>28838</v>
      </c>
      <c r="H343" s="207">
        <f>H344</f>
        <v>28838</v>
      </c>
      <c r="I343" s="207">
        <f>I344</f>
        <v>0</v>
      </c>
      <c r="J343" s="207">
        <f>J344</f>
        <v>0</v>
      </c>
      <c r="N343" s="310"/>
    </row>
    <row r="344" spans="1:14" s="15" customFormat="1" ht="102.75" customHeight="1">
      <c r="A344" s="55" t="s">
        <v>629</v>
      </c>
      <c r="B344" s="55" t="s">
        <v>630</v>
      </c>
      <c r="C344" s="56" t="s">
        <v>135</v>
      </c>
      <c r="D344" s="134" t="s">
        <v>591</v>
      </c>
      <c r="E344" s="91" t="s">
        <v>297</v>
      </c>
      <c r="F344" s="91" t="s">
        <v>318</v>
      </c>
      <c r="G344" s="74">
        <f>SUM(H344+I344)</f>
        <v>28838</v>
      </c>
      <c r="H344" s="101">
        <f>100000-48400-29762+7000</f>
        <v>28838</v>
      </c>
      <c r="I344" s="61"/>
      <c r="J344" s="61"/>
      <c r="N344" s="310"/>
    </row>
    <row r="345" spans="1:14" s="15" customFormat="1" ht="108.75" customHeight="1">
      <c r="A345" s="55" t="s">
        <v>631</v>
      </c>
      <c r="B345" s="55" t="s">
        <v>632</v>
      </c>
      <c r="C345" s="55" t="s">
        <v>135</v>
      </c>
      <c r="D345" s="57" t="s">
        <v>165</v>
      </c>
      <c r="E345" s="91" t="s">
        <v>285</v>
      </c>
      <c r="F345" s="424" t="s">
        <v>319</v>
      </c>
      <c r="G345" s="74">
        <f>SUM(H345+I345)</f>
        <v>66450</v>
      </c>
      <c r="H345" s="101">
        <f>110000-29470-14080</f>
        <v>66450</v>
      </c>
      <c r="I345" s="61"/>
      <c r="J345" s="61"/>
      <c r="N345" s="310"/>
    </row>
    <row r="346" spans="1:14" s="89" customFormat="1" ht="22.5" customHeight="1" hidden="1">
      <c r="A346" s="84" t="s">
        <v>633</v>
      </c>
      <c r="B346" s="84" t="s">
        <v>634</v>
      </c>
      <c r="C346" s="96"/>
      <c r="D346" s="259" t="s">
        <v>635</v>
      </c>
      <c r="E346" s="236" t="s">
        <v>284</v>
      </c>
      <c r="F346" s="461"/>
      <c r="G346" s="206">
        <f>G347</f>
        <v>50000</v>
      </c>
      <c r="H346" s="207">
        <f>H347</f>
        <v>50000</v>
      </c>
      <c r="I346" s="207">
        <f>I347</f>
        <v>0</v>
      </c>
      <c r="J346" s="207"/>
      <c r="N346" s="310"/>
    </row>
    <row r="347" spans="1:14" s="157" customFormat="1" ht="116.25" customHeight="1">
      <c r="A347" s="143">
        <v>2717693</v>
      </c>
      <c r="B347" s="133" t="s">
        <v>592</v>
      </c>
      <c r="C347" s="133" t="s">
        <v>92</v>
      </c>
      <c r="D347" s="260" t="s">
        <v>593</v>
      </c>
      <c r="E347" s="90" t="s">
        <v>294</v>
      </c>
      <c r="F347" s="91" t="s">
        <v>421</v>
      </c>
      <c r="G347" s="74">
        <f>SUM(H347+I347)</f>
        <v>50000</v>
      </c>
      <c r="H347" s="101">
        <f>2550000+4736-2504736</f>
        <v>50000</v>
      </c>
      <c r="I347" s="61"/>
      <c r="J347" s="61"/>
      <c r="N347" s="310"/>
    </row>
    <row r="348" spans="1:14" s="157" customFormat="1" ht="70.5" customHeight="1">
      <c r="A348" s="70" t="s">
        <v>231</v>
      </c>
      <c r="B348" s="69"/>
      <c r="C348" s="69"/>
      <c r="D348" s="412" t="s">
        <v>125</v>
      </c>
      <c r="E348" s="413"/>
      <c r="F348" s="158" t="s">
        <v>284</v>
      </c>
      <c r="G348" s="48">
        <f>G349</f>
        <v>7654017.84</v>
      </c>
      <c r="H348" s="48">
        <f>H349</f>
        <v>356410</v>
      </c>
      <c r="I348" s="48">
        <f>I349</f>
        <v>7297607.84</v>
      </c>
      <c r="J348" s="48">
        <f>J349</f>
        <v>1527000</v>
      </c>
      <c r="N348" s="310"/>
    </row>
    <row r="349" spans="1:14" s="157" customFormat="1" ht="63" customHeight="1">
      <c r="A349" s="50" t="s">
        <v>232</v>
      </c>
      <c r="B349" s="51"/>
      <c r="C349" s="51"/>
      <c r="D349" s="432" t="s">
        <v>126</v>
      </c>
      <c r="E349" s="433"/>
      <c r="F349" s="52" t="s">
        <v>284</v>
      </c>
      <c r="G349" s="160">
        <f>G350+G351+G352+G353</f>
        <v>7654017.84</v>
      </c>
      <c r="H349" s="160">
        <f>H350+H351+H352+H353</f>
        <v>356410</v>
      </c>
      <c r="I349" s="160">
        <f>I350+I351+I352+I353</f>
        <v>7297607.84</v>
      </c>
      <c r="J349" s="160">
        <f>J350+J351+J352+J353</f>
        <v>1527000</v>
      </c>
      <c r="K349" s="304">
        <f>H350+H351+H352+H353</f>
        <v>356410</v>
      </c>
      <c r="L349" s="304">
        <f>I350+I351+I352+I353</f>
        <v>7297607.84</v>
      </c>
      <c r="M349" s="304">
        <f>K349+L349</f>
        <v>7654017.84</v>
      </c>
      <c r="N349" s="310">
        <f>M349-G349</f>
        <v>0</v>
      </c>
    </row>
    <row r="350" spans="1:14" s="157" customFormat="1" ht="120" customHeight="1">
      <c r="A350" s="133" t="s">
        <v>571</v>
      </c>
      <c r="B350" s="133" t="s">
        <v>121</v>
      </c>
      <c r="C350" s="133" t="s">
        <v>65</v>
      </c>
      <c r="D350" s="57" t="s">
        <v>166</v>
      </c>
      <c r="E350" s="58" t="s">
        <v>267</v>
      </c>
      <c r="F350" s="58" t="s">
        <v>332</v>
      </c>
      <c r="G350" s="74">
        <f>SUM(H350+I350)</f>
        <v>172410</v>
      </c>
      <c r="H350" s="60">
        <f>151500+20910</f>
        <v>172410</v>
      </c>
      <c r="I350" s="110"/>
      <c r="J350" s="110"/>
      <c r="N350" s="310"/>
    </row>
    <row r="351" spans="1:14" s="157" customFormat="1" ht="108" customHeight="1">
      <c r="A351" s="133" t="s">
        <v>557</v>
      </c>
      <c r="B351" s="133" t="s">
        <v>555</v>
      </c>
      <c r="C351" s="55" t="s">
        <v>92</v>
      </c>
      <c r="D351" s="57" t="s">
        <v>164</v>
      </c>
      <c r="E351" s="58" t="s">
        <v>558</v>
      </c>
      <c r="F351" s="58" t="s">
        <v>559</v>
      </c>
      <c r="G351" s="74">
        <f>SUM(H351+I351)</f>
        <v>1527000</v>
      </c>
      <c r="H351" s="60"/>
      <c r="I351" s="110">
        <f>400000+400000+200000+56000+471000</f>
        <v>1527000</v>
      </c>
      <c r="J351" s="110">
        <f>I351</f>
        <v>1527000</v>
      </c>
      <c r="N351" s="310"/>
    </row>
    <row r="352" spans="1:14" s="157" customFormat="1" ht="126.75" customHeight="1">
      <c r="A352" s="55">
        <v>2818330</v>
      </c>
      <c r="B352" s="55">
        <v>8330</v>
      </c>
      <c r="C352" s="55" t="s">
        <v>128</v>
      </c>
      <c r="D352" s="57" t="s">
        <v>39</v>
      </c>
      <c r="E352" s="90" t="s">
        <v>294</v>
      </c>
      <c r="F352" s="91" t="s">
        <v>421</v>
      </c>
      <c r="G352" s="74">
        <f>SUM(H352+I352)</f>
        <v>184000</v>
      </c>
      <c r="H352" s="101">
        <v>184000</v>
      </c>
      <c r="I352" s="61">
        <v>0</v>
      </c>
      <c r="J352" s="110">
        <f>I352</f>
        <v>0</v>
      </c>
      <c r="N352" s="310"/>
    </row>
    <row r="353" spans="1:14" s="157" customFormat="1" ht="132" customHeight="1">
      <c r="A353" s="55">
        <v>2818340</v>
      </c>
      <c r="B353" s="55">
        <v>8340</v>
      </c>
      <c r="C353" s="55" t="s">
        <v>128</v>
      </c>
      <c r="D353" s="57" t="s">
        <v>240</v>
      </c>
      <c r="E353" s="261" t="s">
        <v>298</v>
      </c>
      <c r="F353" s="91" t="s">
        <v>415</v>
      </c>
      <c r="G353" s="74">
        <f>SUM(H353+I353)</f>
        <v>5770607.84</v>
      </c>
      <c r="H353" s="101"/>
      <c r="I353" s="61">
        <f>5800000+1070607.84-1100000</f>
        <v>5770607.84</v>
      </c>
      <c r="J353" s="61"/>
      <c r="N353" s="310"/>
    </row>
    <row r="354" spans="1:14" s="157" customFormat="1" ht="87" customHeight="1">
      <c r="A354" s="70" t="s">
        <v>572</v>
      </c>
      <c r="B354" s="69"/>
      <c r="C354" s="69"/>
      <c r="D354" s="412" t="s">
        <v>668</v>
      </c>
      <c r="E354" s="413"/>
      <c r="F354" s="158" t="s">
        <v>284</v>
      </c>
      <c r="G354" s="48">
        <f>G355</f>
        <v>127879</v>
      </c>
      <c r="H354" s="48">
        <f>H355</f>
        <v>127879</v>
      </c>
      <c r="I354" s="48">
        <f>I355</f>
        <v>0</v>
      </c>
      <c r="J354" s="48">
        <f>J355</f>
        <v>0</v>
      </c>
      <c r="N354" s="310"/>
    </row>
    <row r="355" spans="1:14" s="157" customFormat="1" ht="75" customHeight="1">
      <c r="A355" s="50">
        <v>2910000</v>
      </c>
      <c r="B355" s="51"/>
      <c r="C355" s="51"/>
      <c r="D355" s="432" t="s">
        <v>132</v>
      </c>
      <c r="E355" s="433"/>
      <c r="F355" s="52" t="s">
        <v>284</v>
      </c>
      <c r="G355" s="160">
        <f>G356+G357+G358+G359</f>
        <v>127879</v>
      </c>
      <c r="H355" s="160">
        <f>H356+H357+H358+H359</f>
        <v>127879</v>
      </c>
      <c r="I355" s="160">
        <f>I356+I357+I358+I359</f>
        <v>0</v>
      </c>
      <c r="J355" s="160">
        <f>J356+J357+J358+J359</f>
        <v>0</v>
      </c>
      <c r="K355" s="304">
        <f>H356+H357+H358+H359</f>
        <v>127879</v>
      </c>
      <c r="L355" s="304">
        <f>I356+I357+I358+I359</f>
        <v>0</v>
      </c>
      <c r="M355" s="304">
        <f>K355+L355</f>
        <v>127879</v>
      </c>
      <c r="N355" s="310">
        <f>M355-G355</f>
        <v>0</v>
      </c>
    </row>
    <row r="356" spans="1:14" s="157" customFormat="1" ht="107.25" customHeight="1">
      <c r="A356" s="133" t="s">
        <v>573</v>
      </c>
      <c r="B356" s="133" t="s">
        <v>121</v>
      </c>
      <c r="C356" s="133" t="s">
        <v>65</v>
      </c>
      <c r="D356" s="57" t="s">
        <v>166</v>
      </c>
      <c r="E356" s="58" t="s">
        <v>267</v>
      </c>
      <c r="F356" s="58" t="s">
        <v>332</v>
      </c>
      <c r="G356" s="74">
        <f>SUM(H356+I356)</f>
        <v>107879</v>
      </c>
      <c r="H356" s="60">
        <f>92000+10000+5879</f>
        <v>107879</v>
      </c>
      <c r="I356" s="110"/>
      <c r="J356" s="110"/>
      <c r="K356" s="240"/>
      <c r="N356" s="310"/>
    </row>
    <row r="357" spans="1:14" s="157" customFormat="1" ht="153" customHeight="1" hidden="1">
      <c r="A357" s="55" t="s">
        <v>636</v>
      </c>
      <c r="B357" s="55" t="s">
        <v>637</v>
      </c>
      <c r="C357" s="56" t="s">
        <v>133</v>
      </c>
      <c r="D357" s="174" t="s">
        <v>759</v>
      </c>
      <c r="E357" s="58" t="s">
        <v>433</v>
      </c>
      <c r="F357" s="58" t="s">
        <v>414</v>
      </c>
      <c r="G357" s="74">
        <f>SUM(H357+I357)</f>
        <v>0</v>
      </c>
      <c r="H357" s="60">
        <f>156000-156000</f>
        <v>0</v>
      </c>
      <c r="I357" s="61"/>
      <c r="J357" s="61"/>
      <c r="K357" s="49"/>
      <c r="N357" s="310"/>
    </row>
    <row r="358" spans="1:14" s="157" customFormat="1" ht="123.75" customHeight="1" hidden="1">
      <c r="A358" s="55" t="s">
        <v>636</v>
      </c>
      <c r="B358" s="55" t="s">
        <v>637</v>
      </c>
      <c r="C358" s="56" t="s">
        <v>133</v>
      </c>
      <c r="D358" s="174" t="s">
        <v>638</v>
      </c>
      <c r="E358" s="91" t="s">
        <v>299</v>
      </c>
      <c r="F358" s="91" t="s">
        <v>413</v>
      </c>
      <c r="G358" s="74">
        <f>SUM(H358+I358)</f>
        <v>0</v>
      </c>
      <c r="H358" s="360">
        <f>4940-4000-940</f>
        <v>0</v>
      </c>
      <c r="I358" s="61"/>
      <c r="J358" s="61"/>
      <c r="N358" s="310"/>
    </row>
    <row r="359" spans="1:14" s="157" customFormat="1" ht="63.75" customHeight="1">
      <c r="A359" s="55" t="s">
        <v>582</v>
      </c>
      <c r="B359" s="55">
        <v>9770</v>
      </c>
      <c r="C359" s="55" t="s">
        <v>121</v>
      </c>
      <c r="D359" s="94" t="s">
        <v>583</v>
      </c>
      <c r="E359" s="417" t="s">
        <v>507</v>
      </c>
      <c r="F359" s="417" t="s">
        <v>412</v>
      </c>
      <c r="G359" s="74">
        <f>SUM(H359+I359)</f>
        <v>20000</v>
      </c>
      <c r="H359" s="101">
        <v>20000</v>
      </c>
      <c r="I359" s="61"/>
      <c r="J359" s="61"/>
      <c r="N359" s="310"/>
    </row>
    <row r="360" spans="1:14" s="289" customFormat="1" ht="165" customHeight="1">
      <c r="A360" s="298"/>
      <c r="B360" s="298"/>
      <c r="C360" s="299"/>
      <c r="D360" s="284" t="s">
        <v>510</v>
      </c>
      <c r="E360" s="438"/>
      <c r="F360" s="438"/>
      <c r="G360" s="286">
        <f>H360+I360</f>
        <v>20000</v>
      </c>
      <c r="H360" s="288">
        <v>20000</v>
      </c>
      <c r="I360" s="293"/>
      <c r="J360" s="293"/>
      <c r="K360" s="301"/>
      <c r="N360" s="310"/>
    </row>
    <row r="361" spans="1:14" s="157" customFormat="1" ht="50.25" customHeight="1">
      <c r="A361" s="70" t="s">
        <v>107</v>
      </c>
      <c r="B361" s="69"/>
      <c r="C361" s="69"/>
      <c r="D361" s="412" t="s">
        <v>235</v>
      </c>
      <c r="E361" s="413"/>
      <c r="F361" s="158" t="s">
        <v>284</v>
      </c>
      <c r="G361" s="48">
        <f>G362</f>
        <v>1622320</v>
      </c>
      <c r="H361" s="48">
        <f>H362</f>
        <v>580320</v>
      </c>
      <c r="I361" s="48">
        <f>I362</f>
        <v>1042000</v>
      </c>
      <c r="J361" s="48">
        <f>J362</f>
        <v>1042000</v>
      </c>
      <c r="N361" s="310"/>
    </row>
    <row r="362" spans="1:14" s="157" customFormat="1" ht="91.5" customHeight="1">
      <c r="A362" s="50" t="s">
        <v>108</v>
      </c>
      <c r="B362" s="51"/>
      <c r="C362" s="51"/>
      <c r="D362" s="432" t="s">
        <v>112</v>
      </c>
      <c r="E362" s="433"/>
      <c r="F362" s="52" t="s">
        <v>284</v>
      </c>
      <c r="G362" s="160">
        <f>G363+G365+G366+G367+G368+G369+G370+G371+G372+G373+G374+G376</f>
        <v>1622320</v>
      </c>
      <c r="H362" s="160">
        <f>H363+H365+H366+H367+H368+H369+H370+H371+H372+H373+H374+H376</f>
        <v>580320</v>
      </c>
      <c r="I362" s="160">
        <f>I363+I365+I366+I367+I368+I369+I370+I371+I372+I373+I374+I376</f>
        <v>1042000</v>
      </c>
      <c r="J362" s="160">
        <f>J363+J365+J366+J367+J368+J369+J370+J371+J372+J373+J374+J376</f>
        <v>1042000</v>
      </c>
      <c r="K362" s="304">
        <f>H363+H365+H366+H367+H368+H369+H370+H371+H372+H373+H374+H376</f>
        <v>580320</v>
      </c>
      <c r="L362" s="304">
        <f>I363+I365+I366+I367+I368+I369+I370+I371+I372+I373+I374+I376</f>
        <v>1042000</v>
      </c>
      <c r="M362" s="304">
        <f>K362+L362</f>
        <v>1622320</v>
      </c>
      <c r="N362" s="310">
        <f>M362-G362</f>
        <v>0</v>
      </c>
    </row>
    <row r="363" spans="1:14" s="157" customFormat="1" ht="126" customHeight="1">
      <c r="A363" s="133" t="s">
        <v>574</v>
      </c>
      <c r="B363" s="133" t="s">
        <v>121</v>
      </c>
      <c r="C363" s="133" t="s">
        <v>65</v>
      </c>
      <c r="D363" s="57" t="s">
        <v>166</v>
      </c>
      <c r="E363" s="58" t="s">
        <v>267</v>
      </c>
      <c r="F363" s="58" t="s">
        <v>332</v>
      </c>
      <c r="G363" s="74">
        <f>SUM(H363+I363)</f>
        <v>143000</v>
      </c>
      <c r="H363" s="60">
        <v>143000</v>
      </c>
      <c r="I363" s="110"/>
      <c r="J363" s="110"/>
      <c r="K363" s="240"/>
      <c r="N363" s="310"/>
    </row>
    <row r="364" spans="1:14" s="265" customFormat="1" ht="60.75" customHeight="1" hidden="1">
      <c r="A364" s="96" t="s">
        <v>639</v>
      </c>
      <c r="B364" s="96" t="s">
        <v>614</v>
      </c>
      <c r="C364" s="96"/>
      <c r="D364" s="259" t="s">
        <v>615</v>
      </c>
      <c r="E364" s="262" t="s">
        <v>284</v>
      </c>
      <c r="F364" s="262" t="s">
        <v>284</v>
      </c>
      <c r="G364" s="263">
        <f>G365+G366+G367+G368+G369+G370+G371</f>
        <v>842000</v>
      </c>
      <c r="H364" s="264">
        <f>H365+H366+H367+H368+H369+H370+H371</f>
        <v>100000</v>
      </c>
      <c r="I364" s="264">
        <f>I365+I366+I367+I368+I369+I370+I371</f>
        <v>742000</v>
      </c>
      <c r="J364" s="264">
        <f>J365+J366+J367+J368+J369+J370+J371</f>
        <v>742000</v>
      </c>
      <c r="K364" s="240"/>
      <c r="L364" s="157"/>
      <c r="M364" s="157"/>
      <c r="N364" s="310"/>
    </row>
    <row r="365" spans="1:14" s="157" customFormat="1" ht="189" customHeight="1" hidden="1">
      <c r="A365" s="133" t="s">
        <v>584</v>
      </c>
      <c r="B365" s="133" t="s">
        <v>585</v>
      </c>
      <c r="C365" s="133" t="s">
        <v>587</v>
      </c>
      <c r="D365" s="260" t="s">
        <v>586</v>
      </c>
      <c r="E365" s="266" t="s">
        <v>300</v>
      </c>
      <c r="F365" s="266" t="s">
        <v>407</v>
      </c>
      <c r="G365" s="74">
        <f>SUM(H365+I365)</f>
        <v>0</v>
      </c>
      <c r="H365" s="267"/>
      <c r="I365" s="110">
        <f>1600000-1600000</f>
        <v>0</v>
      </c>
      <c r="J365" s="110">
        <f>I365</f>
        <v>0</v>
      </c>
      <c r="K365" s="240"/>
      <c r="N365" s="310"/>
    </row>
    <row r="366" spans="1:14" s="157" customFormat="1" ht="212.25" customHeight="1">
      <c r="A366" s="133" t="s">
        <v>584</v>
      </c>
      <c r="B366" s="133" t="s">
        <v>585</v>
      </c>
      <c r="C366" s="133" t="s">
        <v>587</v>
      </c>
      <c r="D366" s="260" t="s">
        <v>586</v>
      </c>
      <c r="E366" s="122" t="s">
        <v>485</v>
      </c>
      <c r="F366" s="122" t="s">
        <v>406</v>
      </c>
      <c r="G366" s="74">
        <f aca="true" t="shared" si="19" ref="G366:G376">SUM(H366+I366)</f>
        <v>462000</v>
      </c>
      <c r="H366" s="61"/>
      <c r="I366" s="110">
        <f>800000-338000</f>
        <v>462000</v>
      </c>
      <c r="J366" s="110">
        <f aca="true" t="shared" si="20" ref="J366:J374">I366</f>
        <v>462000</v>
      </c>
      <c r="K366" s="102"/>
      <c r="N366" s="310"/>
    </row>
    <row r="367" spans="1:14" s="157" customFormat="1" ht="120.75" customHeight="1">
      <c r="A367" s="133" t="s">
        <v>584</v>
      </c>
      <c r="B367" s="133" t="s">
        <v>585</v>
      </c>
      <c r="C367" s="133" t="s">
        <v>587</v>
      </c>
      <c r="D367" s="260" t="s">
        <v>586</v>
      </c>
      <c r="E367" s="122" t="s">
        <v>301</v>
      </c>
      <c r="F367" s="122" t="s">
        <v>405</v>
      </c>
      <c r="G367" s="74">
        <f>SUM(H367+I367)</f>
        <v>280000</v>
      </c>
      <c r="H367" s="61"/>
      <c r="I367" s="110">
        <f>1169000-850000-39000</f>
        <v>280000</v>
      </c>
      <c r="J367" s="110">
        <f t="shared" si="20"/>
        <v>280000</v>
      </c>
      <c r="K367" s="102"/>
      <c r="N367" s="310"/>
    </row>
    <row r="368" spans="1:14" s="157" customFormat="1" ht="153" customHeight="1">
      <c r="A368" s="133" t="s">
        <v>588</v>
      </c>
      <c r="B368" s="133" t="s">
        <v>589</v>
      </c>
      <c r="C368" s="133" t="s">
        <v>587</v>
      </c>
      <c r="D368" s="174" t="s">
        <v>590</v>
      </c>
      <c r="E368" s="266" t="s">
        <v>300</v>
      </c>
      <c r="F368" s="266" t="s">
        <v>404</v>
      </c>
      <c r="G368" s="74">
        <f>SUM(H368+I368)</f>
        <v>1400</v>
      </c>
      <c r="H368" s="267">
        <f>22400-21000</f>
        <v>1400</v>
      </c>
      <c r="I368" s="110"/>
      <c r="J368" s="110"/>
      <c r="K368" s="102"/>
      <c r="N368" s="310"/>
    </row>
    <row r="369" spans="1:14" s="157" customFormat="1" ht="220.5" customHeight="1">
      <c r="A369" s="133" t="s">
        <v>588</v>
      </c>
      <c r="B369" s="133" t="s">
        <v>589</v>
      </c>
      <c r="C369" s="133" t="s">
        <v>587</v>
      </c>
      <c r="D369" s="174" t="s">
        <v>590</v>
      </c>
      <c r="E369" s="266" t="s">
        <v>27</v>
      </c>
      <c r="F369" s="266" t="s">
        <v>28</v>
      </c>
      <c r="G369" s="74">
        <f>SUM(H369+I369)</f>
        <v>71000</v>
      </c>
      <c r="H369" s="267">
        <f>0+21000+50000</f>
        <v>71000</v>
      </c>
      <c r="I369" s="110"/>
      <c r="J369" s="110"/>
      <c r="K369" s="102"/>
      <c r="N369" s="323"/>
    </row>
    <row r="370" spans="1:14" s="157" customFormat="1" ht="222.75" customHeight="1">
      <c r="A370" s="133" t="s">
        <v>588</v>
      </c>
      <c r="B370" s="133" t="s">
        <v>589</v>
      </c>
      <c r="C370" s="133" t="s">
        <v>587</v>
      </c>
      <c r="D370" s="174" t="s">
        <v>590</v>
      </c>
      <c r="E370" s="122" t="s">
        <v>541</v>
      </c>
      <c r="F370" s="122" t="s">
        <v>403</v>
      </c>
      <c r="G370" s="74">
        <f>SUM(H370+I370)</f>
        <v>11200</v>
      </c>
      <c r="H370" s="61">
        <v>11200</v>
      </c>
      <c r="I370" s="110"/>
      <c r="J370" s="110"/>
      <c r="K370" s="102"/>
      <c r="N370" s="310"/>
    </row>
    <row r="371" spans="1:14" s="157" customFormat="1" ht="135" customHeight="1">
      <c r="A371" s="133" t="s">
        <v>588</v>
      </c>
      <c r="B371" s="133" t="s">
        <v>589</v>
      </c>
      <c r="C371" s="133" t="s">
        <v>587</v>
      </c>
      <c r="D371" s="174" t="s">
        <v>590</v>
      </c>
      <c r="E371" s="122" t="s">
        <v>301</v>
      </c>
      <c r="F371" s="122" t="s">
        <v>402</v>
      </c>
      <c r="G371" s="74">
        <f>SUM(H371+I371)</f>
        <v>16400</v>
      </c>
      <c r="H371" s="61">
        <v>16400</v>
      </c>
      <c r="I371" s="110"/>
      <c r="J371" s="110"/>
      <c r="K371" s="102"/>
      <c r="N371" s="310"/>
    </row>
    <row r="372" spans="1:14" s="157" customFormat="1" ht="99" customHeight="1">
      <c r="A372" s="55">
        <v>3117130</v>
      </c>
      <c r="B372" s="55">
        <v>7130</v>
      </c>
      <c r="C372" s="55" t="s">
        <v>113</v>
      </c>
      <c r="D372" s="57" t="s">
        <v>236</v>
      </c>
      <c r="E372" s="91" t="s">
        <v>302</v>
      </c>
      <c r="F372" s="91" t="s">
        <v>400</v>
      </c>
      <c r="G372" s="74">
        <f t="shared" si="19"/>
        <v>107400</v>
      </c>
      <c r="H372" s="101">
        <v>107400</v>
      </c>
      <c r="I372" s="61"/>
      <c r="J372" s="110"/>
      <c r="N372" s="310"/>
    </row>
    <row r="373" spans="1:14" s="157" customFormat="1" ht="111" customHeight="1">
      <c r="A373" s="55">
        <v>3117650</v>
      </c>
      <c r="B373" s="55">
        <v>7650</v>
      </c>
      <c r="C373" s="55" t="s">
        <v>92</v>
      </c>
      <c r="D373" s="57" t="s">
        <v>760</v>
      </c>
      <c r="E373" s="91" t="s">
        <v>302</v>
      </c>
      <c r="F373" s="91" t="s">
        <v>399</v>
      </c>
      <c r="G373" s="74">
        <f t="shared" si="19"/>
        <v>100000</v>
      </c>
      <c r="H373" s="101"/>
      <c r="I373" s="61">
        <v>100000</v>
      </c>
      <c r="J373" s="110">
        <f t="shared" si="20"/>
        <v>100000</v>
      </c>
      <c r="N373" s="310"/>
    </row>
    <row r="374" spans="1:14" s="157" customFormat="1" ht="210" customHeight="1">
      <c r="A374" s="55">
        <v>3117660</v>
      </c>
      <c r="B374" s="55">
        <v>7660</v>
      </c>
      <c r="C374" s="55" t="s">
        <v>92</v>
      </c>
      <c r="D374" s="57" t="s">
        <v>703</v>
      </c>
      <c r="E374" s="91" t="s">
        <v>302</v>
      </c>
      <c r="F374" s="91" t="s">
        <v>397</v>
      </c>
      <c r="G374" s="74">
        <f t="shared" si="19"/>
        <v>200000</v>
      </c>
      <c r="H374" s="101"/>
      <c r="I374" s="61">
        <v>200000</v>
      </c>
      <c r="J374" s="110">
        <f t="shared" si="20"/>
        <v>200000</v>
      </c>
      <c r="N374" s="310"/>
    </row>
    <row r="375" spans="1:14" s="265" customFormat="1" ht="24" customHeight="1" hidden="1">
      <c r="A375" s="96" t="s">
        <v>640</v>
      </c>
      <c r="B375" s="96" t="s">
        <v>634</v>
      </c>
      <c r="C375" s="96"/>
      <c r="D375" s="259" t="s">
        <v>635</v>
      </c>
      <c r="E375" s="262" t="s">
        <v>284</v>
      </c>
      <c r="F375" s="262" t="s">
        <v>284</v>
      </c>
      <c r="G375" s="263">
        <f>G376</f>
        <v>229920</v>
      </c>
      <c r="H375" s="264">
        <f>H376</f>
        <v>229920</v>
      </c>
      <c r="I375" s="264">
        <f>I376</f>
        <v>0</v>
      </c>
      <c r="J375" s="264">
        <f>J376</f>
        <v>0</v>
      </c>
      <c r="N375" s="310"/>
    </row>
    <row r="376" spans="1:14" s="157" customFormat="1" ht="127.5" customHeight="1">
      <c r="A376" s="133" t="s">
        <v>641</v>
      </c>
      <c r="B376" s="133" t="s">
        <v>592</v>
      </c>
      <c r="C376" s="133" t="s">
        <v>92</v>
      </c>
      <c r="D376" s="260" t="s">
        <v>642</v>
      </c>
      <c r="E376" s="266" t="s">
        <v>303</v>
      </c>
      <c r="F376" s="266" t="s">
        <v>398</v>
      </c>
      <c r="G376" s="74">
        <f t="shared" si="19"/>
        <v>229920</v>
      </c>
      <c r="H376" s="267">
        <f>1718400-300000-1202950+14470</f>
        <v>229920</v>
      </c>
      <c r="I376" s="110"/>
      <c r="J376" s="110"/>
      <c r="N376" s="310"/>
    </row>
    <row r="377" spans="1:14" s="157" customFormat="1" ht="47.25" customHeight="1">
      <c r="A377" s="70" t="s">
        <v>575</v>
      </c>
      <c r="B377" s="69"/>
      <c r="C377" s="69"/>
      <c r="D377" s="412" t="s">
        <v>577</v>
      </c>
      <c r="E377" s="413"/>
      <c r="F377" s="158" t="s">
        <v>284</v>
      </c>
      <c r="G377" s="48">
        <f>G378</f>
        <v>3965000</v>
      </c>
      <c r="H377" s="48">
        <f>H378</f>
        <v>3965000</v>
      </c>
      <c r="I377" s="48">
        <f>I378</f>
        <v>0</v>
      </c>
      <c r="J377" s="48">
        <f>J378</f>
        <v>0</v>
      </c>
      <c r="N377" s="310"/>
    </row>
    <row r="378" spans="1:14" s="157" customFormat="1" ht="48.75" customHeight="1">
      <c r="A378" s="50" t="s">
        <v>576</v>
      </c>
      <c r="B378" s="51"/>
      <c r="C378" s="51"/>
      <c r="D378" s="432" t="s">
        <v>109</v>
      </c>
      <c r="E378" s="433"/>
      <c r="F378" s="52" t="s">
        <v>284</v>
      </c>
      <c r="G378" s="160">
        <f>G379+G380</f>
        <v>3965000</v>
      </c>
      <c r="H378" s="160">
        <f>H379+H380</f>
        <v>3965000</v>
      </c>
      <c r="I378" s="160">
        <f>I379+I380</f>
        <v>0</v>
      </c>
      <c r="J378" s="160">
        <f>J379+J380</f>
        <v>0</v>
      </c>
      <c r="K378" s="270">
        <f>H379+H380</f>
        <v>3965000</v>
      </c>
      <c r="L378" s="270">
        <f>I379+I380</f>
        <v>0</v>
      </c>
      <c r="M378" s="270">
        <f>K378+L378</f>
        <v>3965000</v>
      </c>
      <c r="N378" s="310">
        <f>M378-G378</f>
        <v>0</v>
      </c>
    </row>
    <row r="379" spans="1:14" s="157" customFormat="1" ht="126.75" customHeight="1">
      <c r="A379" s="55" t="s">
        <v>578</v>
      </c>
      <c r="B379" s="133" t="s">
        <v>121</v>
      </c>
      <c r="C379" s="55" t="s">
        <v>65</v>
      </c>
      <c r="D379" s="57" t="s">
        <v>166</v>
      </c>
      <c r="E379" s="58" t="s">
        <v>267</v>
      </c>
      <c r="F379" s="58" t="s">
        <v>332</v>
      </c>
      <c r="G379" s="74">
        <f>SUM(H379+I379)</f>
        <v>3965000</v>
      </c>
      <c r="H379" s="60">
        <f>800000+55000+3000000+110000</f>
        <v>3965000</v>
      </c>
      <c r="I379" s="61"/>
      <c r="J379" s="61"/>
      <c r="N379" s="310"/>
    </row>
    <row r="380" spans="1:14" s="157" customFormat="1" ht="111" customHeight="1" hidden="1">
      <c r="A380" s="55">
        <v>3216030</v>
      </c>
      <c r="B380" s="55">
        <v>6030</v>
      </c>
      <c r="C380" s="55" t="s">
        <v>68</v>
      </c>
      <c r="D380" s="57" t="s">
        <v>347</v>
      </c>
      <c r="E380" s="175" t="s">
        <v>304</v>
      </c>
      <c r="F380" s="175" t="s">
        <v>325</v>
      </c>
      <c r="G380" s="100">
        <f>H380+I380</f>
        <v>0</v>
      </c>
      <c r="H380" s="110">
        <f>50000-50000</f>
        <v>0</v>
      </c>
      <c r="I380" s="61">
        <v>0</v>
      </c>
      <c r="J380" s="61">
        <v>0</v>
      </c>
      <c r="N380" s="310"/>
    </row>
    <row r="381" spans="1:14" s="157" customFormat="1" ht="36" customHeight="1">
      <c r="A381" s="70" t="s">
        <v>237</v>
      </c>
      <c r="B381" s="69"/>
      <c r="C381" s="69"/>
      <c r="D381" s="412" t="s">
        <v>238</v>
      </c>
      <c r="E381" s="413"/>
      <c r="F381" s="158" t="s">
        <v>284</v>
      </c>
      <c r="G381" s="48">
        <f>G382</f>
        <v>1492319</v>
      </c>
      <c r="H381" s="48">
        <f>H382</f>
        <v>1480120</v>
      </c>
      <c r="I381" s="48">
        <f>I382</f>
        <v>12199</v>
      </c>
      <c r="J381" s="48">
        <f>J382</f>
        <v>12199</v>
      </c>
      <c r="N381" s="310"/>
    </row>
    <row r="382" spans="1:14" s="157" customFormat="1" ht="53.25" customHeight="1">
      <c r="A382" s="50" t="s">
        <v>239</v>
      </c>
      <c r="B382" s="51"/>
      <c r="C382" s="51"/>
      <c r="D382" s="432" t="s">
        <v>110</v>
      </c>
      <c r="E382" s="433"/>
      <c r="F382" s="52" t="s">
        <v>284</v>
      </c>
      <c r="G382" s="160">
        <f>G383+G384+G386</f>
        <v>1492319</v>
      </c>
      <c r="H382" s="160">
        <f>H383+H384+H386</f>
        <v>1480120</v>
      </c>
      <c r="I382" s="160">
        <f>I383+I384+I386</f>
        <v>12199</v>
      </c>
      <c r="J382" s="160">
        <f>J383+J384+J386</f>
        <v>12199</v>
      </c>
      <c r="K382" s="278">
        <f>H383+H384+H386</f>
        <v>1480120</v>
      </c>
      <c r="L382" s="278">
        <f>I383+I384+I386</f>
        <v>12199</v>
      </c>
      <c r="M382" s="278">
        <f>K382+L382</f>
        <v>1492319</v>
      </c>
      <c r="N382" s="310">
        <f>M382-G382</f>
        <v>0</v>
      </c>
    </row>
    <row r="383" spans="1:14" s="157" customFormat="1" ht="142.5" customHeight="1">
      <c r="A383" s="133" t="s">
        <v>579</v>
      </c>
      <c r="B383" s="133" t="s">
        <v>121</v>
      </c>
      <c r="C383" s="133" t="s">
        <v>65</v>
      </c>
      <c r="D383" s="57" t="s">
        <v>166</v>
      </c>
      <c r="E383" s="58" t="s">
        <v>651</v>
      </c>
      <c r="F383" s="58" t="s">
        <v>332</v>
      </c>
      <c r="G383" s="100">
        <f>H383+I383</f>
        <v>165000</v>
      </c>
      <c r="H383" s="60">
        <f>120000+45000</f>
        <v>165000</v>
      </c>
      <c r="I383" s="110"/>
      <c r="J383" s="110"/>
      <c r="K383" s="240"/>
      <c r="N383" s="310"/>
    </row>
    <row r="384" spans="1:14" s="157" customFormat="1" ht="185.25" customHeight="1">
      <c r="A384" s="133" t="s">
        <v>158</v>
      </c>
      <c r="B384" s="55">
        <v>6020</v>
      </c>
      <c r="C384" s="55" t="s">
        <v>68</v>
      </c>
      <c r="D384" s="57" t="s">
        <v>252</v>
      </c>
      <c r="E384" s="91" t="s">
        <v>35</v>
      </c>
      <c r="F384" s="91" t="s">
        <v>486</v>
      </c>
      <c r="G384" s="100">
        <f>H384+I384</f>
        <v>1316619</v>
      </c>
      <c r="H384" s="101">
        <f>1000000+200000+100000+4420</f>
        <v>1304420</v>
      </c>
      <c r="I384" s="110">
        <f>0+12199</f>
        <v>12199</v>
      </c>
      <c r="J384" s="110">
        <f>I384</f>
        <v>12199</v>
      </c>
      <c r="N384" s="310"/>
    </row>
    <row r="385" spans="1:14" s="157" customFormat="1" ht="51" customHeight="1" hidden="1">
      <c r="A385" s="55" t="s">
        <v>57</v>
      </c>
      <c r="B385" s="55">
        <v>6310</v>
      </c>
      <c r="C385" s="55" t="s">
        <v>92</v>
      </c>
      <c r="D385" s="57" t="s">
        <v>161</v>
      </c>
      <c r="E385" s="58" t="s">
        <v>169</v>
      </c>
      <c r="F385" s="58"/>
      <c r="G385" s="100">
        <f>H385+I385</f>
        <v>0</v>
      </c>
      <c r="H385" s="60"/>
      <c r="I385" s="61"/>
      <c r="J385" s="61"/>
      <c r="N385" s="310"/>
    </row>
    <row r="386" spans="1:14" s="157" customFormat="1" ht="129" customHeight="1">
      <c r="A386" s="55">
        <v>3417610</v>
      </c>
      <c r="B386" s="55">
        <v>7610</v>
      </c>
      <c r="C386" s="55" t="s">
        <v>111</v>
      </c>
      <c r="D386" s="57" t="s">
        <v>163</v>
      </c>
      <c r="E386" s="91" t="s">
        <v>702</v>
      </c>
      <c r="F386" s="91" t="s">
        <v>396</v>
      </c>
      <c r="G386" s="100">
        <f>H386+I386</f>
        <v>10700</v>
      </c>
      <c r="H386" s="101">
        <v>10700</v>
      </c>
      <c r="I386" s="61"/>
      <c r="J386" s="61"/>
      <c r="N386" s="310"/>
    </row>
    <row r="387" spans="1:14" s="157" customFormat="1" ht="39" customHeight="1">
      <c r="A387" s="70">
        <v>3700000</v>
      </c>
      <c r="B387" s="69"/>
      <c r="C387" s="70"/>
      <c r="D387" s="455" t="s">
        <v>580</v>
      </c>
      <c r="E387" s="456"/>
      <c r="F387" s="226" t="s">
        <v>284</v>
      </c>
      <c r="G387" s="227">
        <f>G388</f>
        <v>4414728</v>
      </c>
      <c r="H387" s="227">
        <f>H388</f>
        <v>3719213</v>
      </c>
      <c r="I387" s="227">
        <f>I388</f>
        <v>695515</v>
      </c>
      <c r="J387" s="227">
        <f>J388</f>
        <v>695515</v>
      </c>
      <c r="N387" s="310"/>
    </row>
    <row r="388" spans="1:14" s="269" customFormat="1" ht="36" customHeight="1">
      <c r="A388" s="50">
        <v>3710000</v>
      </c>
      <c r="B388" s="51"/>
      <c r="C388" s="50"/>
      <c r="D388" s="432" t="s">
        <v>351</v>
      </c>
      <c r="E388" s="433"/>
      <c r="F388" s="52" t="s">
        <v>284</v>
      </c>
      <c r="G388" s="160">
        <f>G389+G390+G392+G393+G394</f>
        <v>4414728</v>
      </c>
      <c r="H388" s="160">
        <f>H389+H390+H392+H393+H394</f>
        <v>3719213</v>
      </c>
      <c r="I388" s="160">
        <f>I389+I390+I392+I393+I394</f>
        <v>695515</v>
      </c>
      <c r="J388" s="160">
        <f>J389+J390+J392+J393+J394</f>
        <v>695515</v>
      </c>
      <c r="K388" s="270">
        <f>H389+H390+H392+H393+H394</f>
        <v>3719213</v>
      </c>
      <c r="L388" s="270">
        <f>I389+I390+I392+I393+I394</f>
        <v>695515</v>
      </c>
      <c r="M388" s="270">
        <f>K388+L388</f>
        <v>4414728</v>
      </c>
      <c r="N388" s="310">
        <f>M388-G388</f>
        <v>0</v>
      </c>
    </row>
    <row r="389" spans="1:14" s="157" customFormat="1" ht="120" customHeight="1">
      <c r="A389" s="143">
        <v>3710180</v>
      </c>
      <c r="B389" s="133" t="s">
        <v>121</v>
      </c>
      <c r="C389" s="133" t="s">
        <v>65</v>
      </c>
      <c r="D389" s="57" t="s">
        <v>166</v>
      </c>
      <c r="E389" s="58" t="s">
        <v>267</v>
      </c>
      <c r="F389" s="58" t="s">
        <v>332</v>
      </c>
      <c r="G389" s="74">
        <f>SUM(H389+I389)</f>
        <v>164728</v>
      </c>
      <c r="H389" s="60">
        <f>140800+20000+3928</f>
        <v>164728</v>
      </c>
      <c r="I389" s="61"/>
      <c r="J389" s="61"/>
      <c r="N389" s="310"/>
    </row>
    <row r="390" spans="1:14" s="157" customFormat="1" ht="59.25" customHeight="1">
      <c r="A390" s="55" t="s">
        <v>505</v>
      </c>
      <c r="B390" s="55">
        <v>9770</v>
      </c>
      <c r="C390" s="55" t="s">
        <v>121</v>
      </c>
      <c r="D390" s="94" t="s">
        <v>583</v>
      </c>
      <c r="E390" s="434" t="s">
        <v>535</v>
      </c>
      <c r="F390" s="434" t="s">
        <v>537</v>
      </c>
      <c r="G390" s="74">
        <f>SUM(H390+I390)</f>
        <v>50000</v>
      </c>
      <c r="H390" s="60">
        <v>50000</v>
      </c>
      <c r="I390" s="61"/>
      <c r="J390" s="61"/>
      <c r="N390" s="310"/>
    </row>
    <row r="391" spans="1:14" s="289" customFormat="1" ht="99" customHeight="1">
      <c r="A391" s="298"/>
      <c r="B391" s="298"/>
      <c r="C391" s="299"/>
      <c r="D391" s="284" t="s">
        <v>511</v>
      </c>
      <c r="E391" s="435"/>
      <c r="F391" s="435"/>
      <c r="G391" s="286">
        <f>H391+I391</f>
        <v>50000</v>
      </c>
      <c r="H391" s="288">
        <v>50000</v>
      </c>
      <c r="I391" s="293"/>
      <c r="J391" s="293"/>
      <c r="K391" s="301"/>
      <c r="N391" s="310"/>
    </row>
    <row r="392" spans="1:14" s="157" customFormat="1" ht="147" customHeight="1">
      <c r="A392" s="143" t="s">
        <v>508</v>
      </c>
      <c r="B392" s="133">
        <v>9800</v>
      </c>
      <c r="C392" s="133" t="s">
        <v>121</v>
      </c>
      <c r="D392" s="57" t="s">
        <v>509</v>
      </c>
      <c r="E392" s="58" t="s">
        <v>538</v>
      </c>
      <c r="F392" s="58" t="s">
        <v>537</v>
      </c>
      <c r="G392" s="74">
        <f>SUM(H392+I392)</f>
        <v>3300000</v>
      </c>
      <c r="H392" s="60">
        <f>1650000+1000000+200000-150000</f>
        <v>2700000</v>
      </c>
      <c r="I392" s="61">
        <f>350000+100000+150000</f>
        <v>600000</v>
      </c>
      <c r="J392" s="61">
        <f>I392</f>
        <v>600000</v>
      </c>
      <c r="N392" s="310"/>
    </row>
    <row r="393" spans="1:14" s="157" customFormat="1" ht="152.25" customHeight="1">
      <c r="A393" s="143" t="s">
        <v>508</v>
      </c>
      <c r="B393" s="133">
        <v>9800</v>
      </c>
      <c r="C393" s="133" t="s">
        <v>121</v>
      </c>
      <c r="D393" s="57" t="s">
        <v>509</v>
      </c>
      <c r="E393" s="58" t="s">
        <v>299</v>
      </c>
      <c r="F393" s="58" t="s">
        <v>540</v>
      </c>
      <c r="G393" s="74">
        <f>SUM(H393+I393)</f>
        <v>500000</v>
      </c>
      <c r="H393" s="60">
        <v>500000</v>
      </c>
      <c r="I393" s="61"/>
      <c r="J393" s="61"/>
      <c r="N393" s="310"/>
    </row>
    <row r="394" spans="1:14" s="157" customFormat="1" ht="348.75" customHeight="1">
      <c r="A394" s="143" t="s">
        <v>508</v>
      </c>
      <c r="B394" s="133">
        <v>9800</v>
      </c>
      <c r="C394" s="133" t="s">
        <v>121</v>
      </c>
      <c r="D394" s="57" t="s">
        <v>509</v>
      </c>
      <c r="E394" s="58" t="s">
        <v>539</v>
      </c>
      <c r="F394" s="58" t="s">
        <v>323</v>
      </c>
      <c r="G394" s="74">
        <f>SUM(H394+I394)</f>
        <v>400000</v>
      </c>
      <c r="H394" s="60">
        <f>104485+200000</f>
        <v>304485</v>
      </c>
      <c r="I394" s="61">
        <f>95515</f>
        <v>95515</v>
      </c>
      <c r="J394" s="61">
        <f>I394</f>
        <v>95515</v>
      </c>
      <c r="K394" s="240"/>
      <c r="N394" s="310"/>
    </row>
    <row r="395" spans="1:14" s="15" customFormat="1" ht="53.25" customHeight="1">
      <c r="A395" s="70" t="s">
        <v>269</v>
      </c>
      <c r="B395" s="69"/>
      <c r="C395" s="69"/>
      <c r="D395" s="412" t="s">
        <v>669</v>
      </c>
      <c r="E395" s="413"/>
      <c r="F395" s="158" t="s">
        <v>284</v>
      </c>
      <c r="G395" s="48">
        <f>G396</f>
        <v>5610067</v>
      </c>
      <c r="H395" s="48">
        <f>H396</f>
        <v>5453727</v>
      </c>
      <c r="I395" s="48">
        <f>I396</f>
        <v>156340</v>
      </c>
      <c r="J395" s="48">
        <f>J396</f>
        <v>156340</v>
      </c>
      <c r="N395" s="310"/>
    </row>
    <row r="396" spans="1:14" s="73" customFormat="1" ht="50.25" customHeight="1">
      <c r="A396" s="50" t="s">
        <v>268</v>
      </c>
      <c r="B396" s="51"/>
      <c r="C396" s="51"/>
      <c r="D396" s="432" t="s">
        <v>136</v>
      </c>
      <c r="E396" s="433"/>
      <c r="F396" s="52" t="s">
        <v>284</v>
      </c>
      <c r="G396" s="160">
        <f>G397+G398+G401+G402+G400</f>
        <v>5610067</v>
      </c>
      <c r="H396" s="160">
        <f>H397+H398+H401+H402+H400</f>
        <v>5453727</v>
      </c>
      <c r="I396" s="160">
        <f>I397+I398+I399+I401+I402</f>
        <v>156340</v>
      </c>
      <c r="J396" s="160">
        <f>J397+J398+J399+J401+J402</f>
        <v>156340</v>
      </c>
      <c r="K396" s="270">
        <f>H397+H398+H400+H401+H402</f>
        <v>5453727</v>
      </c>
      <c r="L396" s="270">
        <f>I397+I398+I400+I401+I402</f>
        <v>156340</v>
      </c>
      <c r="M396" s="270">
        <f>K396+L396</f>
        <v>5610067</v>
      </c>
      <c r="N396" s="310">
        <f>M396-G396</f>
        <v>0</v>
      </c>
    </row>
    <row r="397" spans="1:14" s="15" customFormat="1" ht="112.5" customHeight="1">
      <c r="A397" s="55" t="s">
        <v>270</v>
      </c>
      <c r="B397" s="56" t="s">
        <v>121</v>
      </c>
      <c r="C397" s="55" t="s">
        <v>65</v>
      </c>
      <c r="D397" s="57" t="s">
        <v>166</v>
      </c>
      <c r="E397" s="58" t="s">
        <v>267</v>
      </c>
      <c r="F397" s="58" t="s">
        <v>332</v>
      </c>
      <c r="G397" s="74">
        <f>SUM(H397+I397)</f>
        <v>247735</v>
      </c>
      <c r="H397" s="60">
        <f>222000+15000+10735</f>
        <v>247735</v>
      </c>
      <c r="I397" s="61"/>
      <c r="J397" s="61"/>
      <c r="K397" s="49"/>
      <c r="N397" s="310"/>
    </row>
    <row r="398" spans="1:14" s="15" customFormat="1" ht="123.75" customHeight="1">
      <c r="A398" s="55" t="s">
        <v>270</v>
      </c>
      <c r="B398" s="56" t="s">
        <v>121</v>
      </c>
      <c r="C398" s="55" t="s">
        <v>65</v>
      </c>
      <c r="D398" s="57" t="s">
        <v>167</v>
      </c>
      <c r="E398" s="63" t="s">
        <v>652</v>
      </c>
      <c r="F398" s="63" t="s">
        <v>333</v>
      </c>
      <c r="G398" s="95">
        <f>SUM(H398+I398)</f>
        <v>952419</v>
      </c>
      <c r="H398" s="61">
        <v>952419</v>
      </c>
      <c r="I398" s="61"/>
      <c r="J398" s="61"/>
      <c r="N398" s="310"/>
    </row>
    <row r="399" spans="1:14" s="273" customFormat="1" ht="33.75" customHeight="1" hidden="1">
      <c r="A399" s="271" t="s">
        <v>55</v>
      </c>
      <c r="B399" s="271"/>
      <c r="C399" s="271" t="s">
        <v>601</v>
      </c>
      <c r="D399" s="272" t="s">
        <v>160</v>
      </c>
      <c r="E399" s="236" t="s">
        <v>284</v>
      </c>
      <c r="F399" s="236" t="s">
        <v>284</v>
      </c>
      <c r="G399" s="206">
        <f>G400</f>
        <v>705000</v>
      </c>
      <c r="H399" s="207">
        <f>H400</f>
        <v>705000</v>
      </c>
      <c r="I399" s="207">
        <f>I400</f>
        <v>0</v>
      </c>
      <c r="J399" s="207">
        <f>J400</f>
        <v>0</v>
      </c>
      <c r="N399" s="310"/>
    </row>
    <row r="400" spans="1:14" s="150" customFormat="1" ht="141" customHeight="1">
      <c r="A400" s="274">
        <v>4113133</v>
      </c>
      <c r="B400" s="274">
        <v>1040</v>
      </c>
      <c r="C400" s="274">
        <v>3133</v>
      </c>
      <c r="D400" s="146" t="s">
        <v>127</v>
      </c>
      <c r="E400" s="175" t="s">
        <v>56</v>
      </c>
      <c r="F400" s="275" t="s">
        <v>249</v>
      </c>
      <c r="G400" s="276">
        <f>H400+I400</f>
        <v>705000</v>
      </c>
      <c r="H400" s="277">
        <v>705000</v>
      </c>
      <c r="I400" s="110"/>
      <c r="J400" s="110"/>
      <c r="K400" s="202"/>
      <c r="N400" s="310"/>
    </row>
    <row r="401" spans="1:14" s="15" customFormat="1" ht="99" customHeight="1">
      <c r="A401" s="55">
        <v>4113210</v>
      </c>
      <c r="B401" s="55">
        <v>3210</v>
      </c>
      <c r="C401" s="55" t="s">
        <v>66</v>
      </c>
      <c r="D401" s="57" t="s">
        <v>67</v>
      </c>
      <c r="E401" s="244" t="s">
        <v>522</v>
      </c>
      <c r="F401" s="58" t="s">
        <v>325</v>
      </c>
      <c r="G401" s="276">
        <f>H401+I401</f>
        <v>16313</v>
      </c>
      <c r="H401" s="60">
        <f>40300-10000-13987</f>
        <v>16313</v>
      </c>
      <c r="I401" s="60"/>
      <c r="J401" s="60"/>
      <c r="N401" s="310"/>
    </row>
    <row r="402" spans="1:14" s="15" customFormat="1" ht="95.25" customHeight="1">
      <c r="A402" s="55">
        <v>4116030</v>
      </c>
      <c r="B402" s="55">
        <v>6030</v>
      </c>
      <c r="C402" s="55" t="s">
        <v>68</v>
      </c>
      <c r="D402" s="57" t="s">
        <v>347</v>
      </c>
      <c r="E402" s="175" t="s">
        <v>326</v>
      </c>
      <c r="F402" s="175" t="s">
        <v>325</v>
      </c>
      <c r="G402" s="100">
        <f>H402+I402</f>
        <v>3688600</v>
      </c>
      <c r="H402" s="110">
        <f>3218600+64660+199500+49500</f>
        <v>3532260</v>
      </c>
      <c r="I402" s="110">
        <f>420500-199500-64660</f>
        <v>156340</v>
      </c>
      <c r="J402" s="110">
        <f>I402</f>
        <v>156340</v>
      </c>
      <c r="N402" s="310"/>
    </row>
    <row r="403" spans="1:14" s="15" customFormat="1" ht="54.75" customHeight="1">
      <c r="A403" s="70" t="s">
        <v>271</v>
      </c>
      <c r="B403" s="69"/>
      <c r="C403" s="69"/>
      <c r="D403" s="412" t="s">
        <v>669</v>
      </c>
      <c r="E403" s="413"/>
      <c r="F403" s="158" t="s">
        <v>284</v>
      </c>
      <c r="G403" s="76">
        <f>G404</f>
        <v>3642834.7</v>
      </c>
      <c r="H403" s="76">
        <f>H404</f>
        <v>3197726</v>
      </c>
      <c r="I403" s="76">
        <f>I404</f>
        <v>445108.7</v>
      </c>
      <c r="J403" s="76">
        <f>J404</f>
        <v>445108.7</v>
      </c>
      <c r="N403" s="310"/>
    </row>
    <row r="404" spans="1:14" s="73" customFormat="1" ht="41.25" customHeight="1">
      <c r="A404" s="50">
        <v>4210000</v>
      </c>
      <c r="B404" s="51"/>
      <c r="C404" s="51"/>
      <c r="D404" s="432" t="s">
        <v>137</v>
      </c>
      <c r="E404" s="433"/>
      <c r="F404" s="52" t="s">
        <v>284</v>
      </c>
      <c r="G404" s="160">
        <f>G405+G406+G407+G408+G410</f>
        <v>3642834.7</v>
      </c>
      <c r="H404" s="160">
        <f>H405+H406+H407+H408+H410</f>
        <v>3197726</v>
      </c>
      <c r="I404" s="160">
        <f>I405+I406+I407+I408+I410</f>
        <v>445108.7</v>
      </c>
      <c r="J404" s="160">
        <f>J405+J406+J407+J408+J410</f>
        <v>445108.7</v>
      </c>
      <c r="K404" s="278">
        <f>H405+H406+H407+H408+H410</f>
        <v>3197726</v>
      </c>
      <c r="L404" s="278">
        <f>I405+I406+I407+I408+I410</f>
        <v>445108.7</v>
      </c>
      <c r="M404" s="278">
        <f>K404+L404</f>
        <v>3642834.7</v>
      </c>
      <c r="N404" s="310">
        <f>M404-G404</f>
        <v>0</v>
      </c>
    </row>
    <row r="405" spans="1:14" s="15" customFormat="1" ht="122.25" customHeight="1">
      <c r="A405" s="55" t="s">
        <v>273</v>
      </c>
      <c r="B405" s="56" t="s">
        <v>121</v>
      </c>
      <c r="C405" s="55" t="s">
        <v>65</v>
      </c>
      <c r="D405" s="57" t="s">
        <v>166</v>
      </c>
      <c r="E405" s="58" t="s">
        <v>651</v>
      </c>
      <c r="F405" s="58" t="s">
        <v>332</v>
      </c>
      <c r="G405" s="74">
        <f>SUM(H405+I405)</f>
        <v>235580</v>
      </c>
      <c r="H405" s="60">
        <f>215000+20580</f>
        <v>235580</v>
      </c>
      <c r="I405" s="61"/>
      <c r="J405" s="61"/>
      <c r="N405" s="310"/>
    </row>
    <row r="406" spans="1:14" s="15" customFormat="1" ht="129.75" customHeight="1">
      <c r="A406" s="55" t="s">
        <v>273</v>
      </c>
      <c r="B406" s="56" t="s">
        <v>121</v>
      </c>
      <c r="C406" s="55" t="s">
        <v>65</v>
      </c>
      <c r="D406" s="57" t="s">
        <v>167</v>
      </c>
      <c r="E406" s="63" t="s">
        <v>652</v>
      </c>
      <c r="F406" s="63" t="s">
        <v>334</v>
      </c>
      <c r="G406" s="74">
        <f>SUM(H406+I406)</f>
        <v>757300</v>
      </c>
      <c r="H406" s="61">
        <v>757300</v>
      </c>
      <c r="I406" s="61"/>
      <c r="J406" s="61"/>
      <c r="N406" s="310"/>
    </row>
    <row r="407" spans="1:14" s="15" customFormat="1" ht="90.75" customHeight="1">
      <c r="A407" s="55">
        <v>4213210</v>
      </c>
      <c r="B407" s="55">
        <v>3210</v>
      </c>
      <c r="C407" s="55" t="s">
        <v>66</v>
      </c>
      <c r="D407" s="57" t="s">
        <v>67</v>
      </c>
      <c r="E407" s="58" t="s">
        <v>523</v>
      </c>
      <c r="F407" s="58" t="s">
        <v>325</v>
      </c>
      <c r="G407" s="276">
        <f>H407+I407</f>
        <v>3482</v>
      </c>
      <c r="H407" s="60">
        <f>19300-15818</f>
        <v>3482</v>
      </c>
      <c r="I407" s="60"/>
      <c r="J407" s="60"/>
      <c r="N407" s="310"/>
    </row>
    <row r="408" spans="1:14" s="15" customFormat="1" ht="102.75" customHeight="1">
      <c r="A408" s="55">
        <v>4216017</v>
      </c>
      <c r="B408" s="55">
        <v>6017</v>
      </c>
      <c r="C408" s="56" t="s">
        <v>68</v>
      </c>
      <c r="D408" s="57" t="s">
        <v>660</v>
      </c>
      <c r="E408" s="175" t="s">
        <v>327</v>
      </c>
      <c r="F408" s="175" t="s">
        <v>325</v>
      </c>
      <c r="G408" s="100">
        <f>H408+I408</f>
        <v>701581.02</v>
      </c>
      <c r="H408" s="110">
        <f>170000+4914+38500+66000+19250+16500+15000+7000</f>
        <v>337164</v>
      </c>
      <c r="I408" s="110">
        <f>197891.7+19850+78880+42373.32-1000+26422</f>
        <v>364417.02</v>
      </c>
      <c r="J408" s="110">
        <f>I408</f>
        <v>364417.02</v>
      </c>
      <c r="N408" s="310"/>
    </row>
    <row r="409" spans="1:14" s="15" customFormat="1" ht="102.75" customHeight="1">
      <c r="A409" s="55"/>
      <c r="B409" s="55"/>
      <c r="C409" s="56"/>
      <c r="D409" s="284" t="s">
        <v>699</v>
      </c>
      <c r="E409" s="175"/>
      <c r="F409" s="175"/>
      <c r="G409" s="382">
        <f>H409+I409</f>
        <v>33422</v>
      </c>
      <c r="H409" s="156">
        <v>7000</v>
      </c>
      <c r="I409" s="156">
        <v>26422</v>
      </c>
      <c r="J409" s="156">
        <f>I409</f>
        <v>26422</v>
      </c>
      <c r="N409" s="310"/>
    </row>
    <row r="410" spans="1:14" s="15" customFormat="1" ht="110.25" customHeight="1">
      <c r="A410" s="55">
        <v>4216030</v>
      </c>
      <c r="B410" s="55">
        <v>6030</v>
      </c>
      <c r="C410" s="55" t="s">
        <v>68</v>
      </c>
      <c r="D410" s="57" t="s">
        <v>347</v>
      </c>
      <c r="E410" s="175" t="s">
        <v>327</v>
      </c>
      <c r="F410" s="175" t="s">
        <v>325</v>
      </c>
      <c r="G410" s="100">
        <f>H410+I410</f>
        <v>1944891.68</v>
      </c>
      <c r="H410" s="110">
        <f>2040300-50000+150000+9900-300000+14000</f>
        <v>1864200</v>
      </c>
      <c r="I410" s="110">
        <f>60626.68-1000+21065</f>
        <v>80691.68</v>
      </c>
      <c r="J410" s="110">
        <f>I410</f>
        <v>80691.68</v>
      </c>
      <c r="N410" s="310"/>
    </row>
    <row r="411" spans="1:14" s="15" customFormat="1" ht="110.25" customHeight="1">
      <c r="A411" s="55"/>
      <c r="B411" s="55"/>
      <c r="C411" s="55"/>
      <c r="D411" s="284" t="s">
        <v>699</v>
      </c>
      <c r="E411" s="275"/>
      <c r="F411" s="175"/>
      <c r="G411" s="382">
        <f>H411+I411</f>
        <v>35065</v>
      </c>
      <c r="H411" s="156">
        <f>14000</f>
        <v>14000</v>
      </c>
      <c r="I411" s="156">
        <v>21065</v>
      </c>
      <c r="J411" s="156">
        <f>I411</f>
        <v>21065</v>
      </c>
      <c r="N411" s="310"/>
    </row>
    <row r="412" spans="1:14" s="15" customFormat="1" ht="51" customHeight="1">
      <c r="A412" s="70" t="s">
        <v>272</v>
      </c>
      <c r="B412" s="69"/>
      <c r="C412" s="69"/>
      <c r="D412" s="412" t="s">
        <v>669</v>
      </c>
      <c r="E412" s="413"/>
      <c r="F412" s="158" t="s">
        <v>284</v>
      </c>
      <c r="G412" s="76">
        <f>G413</f>
        <v>2888198</v>
      </c>
      <c r="H412" s="76">
        <f>H413</f>
        <v>2888198</v>
      </c>
      <c r="I412" s="76">
        <f>I413</f>
        <v>0</v>
      </c>
      <c r="J412" s="76">
        <f>J413</f>
        <v>0</v>
      </c>
      <c r="K412" s="270">
        <f>H414+H415+H416+H417</f>
        <v>2888198</v>
      </c>
      <c r="L412" s="270">
        <f>I414+I415+I416+I417</f>
        <v>0</v>
      </c>
      <c r="M412" s="270">
        <f>K412+L412</f>
        <v>2888198</v>
      </c>
      <c r="N412" s="310">
        <f>M412-G412</f>
        <v>0</v>
      </c>
    </row>
    <row r="413" spans="1:14" s="73" customFormat="1" ht="31.5" customHeight="1">
      <c r="A413" s="50">
        <v>4310000</v>
      </c>
      <c r="B413" s="51"/>
      <c r="C413" s="51"/>
      <c r="D413" s="432" t="s">
        <v>139</v>
      </c>
      <c r="E413" s="433"/>
      <c r="F413" s="52" t="s">
        <v>284</v>
      </c>
      <c r="G413" s="160">
        <f>G414+G415+G416+G417</f>
        <v>2888198</v>
      </c>
      <c r="H413" s="160">
        <f>H414+H415+H416+H417</f>
        <v>2888198</v>
      </c>
      <c r="I413" s="160">
        <f>I414+I415+I416+I417</f>
        <v>0</v>
      </c>
      <c r="J413" s="160">
        <f>J414+J415+J416+J417</f>
        <v>0</v>
      </c>
      <c r="K413" s="159"/>
      <c r="N413" s="311"/>
    </row>
    <row r="414" spans="1:14" s="15" customFormat="1" ht="124.5" customHeight="1">
      <c r="A414" s="55" t="s">
        <v>274</v>
      </c>
      <c r="B414" s="56" t="s">
        <v>121</v>
      </c>
      <c r="C414" s="55" t="s">
        <v>65</v>
      </c>
      <c r="D414" s="57" t="s">
        <v>166</v>
      </c>
      <c r="E414" s="58" t="s">
        <v>267</v>
      </c>
      <c r="F414" s="58" t="s">
        <v>332</v>
      </c>
      <c r="G414" s="74">
        <f>SUM(H414+I414)</f>
        <v>213528</v>
      </c>
      <c r="H414" s="60">
        <f>209600+3928</f>
        <v>213528</v>
      </c>
      <c r="I414" s="61"/>
      <c r="J414" s="110"/>
      <c r="N414" s="310"/>
    </row>
    <row r="415" spans="1:14" s="15" customFormat="1" ht="114.75" customHeight="1">
      <c r="A415" s="55" t="s">
        <v>274</v>
      </c>
      <c r="B415" s="56" t="s">
        <v>121</v>
      </c>
      <c r="C415" s="55" t="s">
        <v>65</v>
      </c>
      <c r="D415" s="57" t="s">
        <v>167</v>
      </c>
      <c r="E415" s="63" t="s">
        <v>652</v>
      </c>
      <c r="F415" s="63" t="s">
        <v>335</v>
      </c>
      <c r="G415" s="74">
        <f>SUM(H415+I415)</f>
        <v>638470</v>
      </c>
      <c r="H415" s="61">
        <v>638470</v>
      </c>
      <c r="I415" s="61"/>
      <c r="J415" s="110"/>
      <c r="N415" s="310"/>
    </row>
    <row r="416" spans="1:14" s="15" customFormat="1" ht="107.25" customHeight="1">
      <c r="A416" s="55">
        <v>4313210</v>
      </c>
      <c r="B416" s="55">
        <v>3210</v>
      </c>
      <c r="C416" s="55" t="s">
        <v>66</v>
      </c>
      <c r="D416" s="57" t="s">
        <v>67</v>
      </c>
      <c r="E416" s="58" t="s">
        <v>328</v>
      </c>
      <c r="F416" s="58" t="s">
        <v>325</v>
      </c>
      <c r="G416" s="74">
        <f>SUM(H416+I416)</f>
        <v>73700</v>
      </c>
      <c r="H416" s="60">
        <v>73700</v>
      </c>
      <c r="I416" s="60"/>
      <c r="J416" s="60"/>
      <c r="K416" s="475" t="s">
        <v>526</v>
      </c>
      <c r="L416" s="476"/>
      <c r="M416" s="476"/>
      <c r="N416" s="476"/>
    </row>
    <row r="417" spans="1:14" s="15" customFormat="1" ht="81" customHeight="1">
      <c r="A417" s="55">
        <v>4316030</v>
      </c>
      <c r="B417" s="55">
        <v>6030</v>
      </c>
      <c r="C417" s="55" t="s">
        <v>68</v>
      </c>
      <c r="D417" s="57" t="s">
        <v>347</v>
      </c>
      <c r="E417" s="58" t="s">
        <v>328</v>
      </c>
      <c r="F417" s="58" t="s">
        <v>325</v>
      </c>
      <c r="G417" s="100">
        <f>H417+I417</f>
        <v>1962500</v>
      </c>
      <c r="H417" s="110">
        <f>2062500-100000</f>
        <v>1962500</v>
      </c>
      <c r="I417" s="110"/>
      <c r="J417" s="110"/>
      <c r="K417" s="268" t="s">
        <v>528</v>
      </c>
      <c r="L417" s="268" t="s">
        <v>529</v>
      </c>
      <c r="M417" s="268" t="s">
        <v>527</v>
      </c>
      <c r="N417" s="308" t="s">
        <v>698</v>
      </c>
    </row>
    <row r="418" spans="1:16" s="73" customFormat="1" ht="38.25" customHeight="1">
      <c r="A418" s="51" t="s">
        <v>757</v>
      </c>
      <c r="B418" s="51" t="s">
        <v>757</v>
      </c>
      <c r="C418" s="51" t="s">
        <v>757</v>
      </c>
      <c r="D418" s="279" t="s">
        <v>758</v>
      </c>
      <c r="E418" s="280" t="s">
        <v>757</v>
      </c>
      <c r="F418" s="280" t="s">
        <v>757</v>
      </c>
      <c r="G418" s="281">
        <f>H418+I418</f>
        <v>1154235813.3</v>
      </c>
      <c r="H418" s="281">
        <f>H15+H22+H25+H110+H140+H206+H242+H320+H324+H330+H340+H348+H354+H361+H377+H381+H387+H395+H403+H412+H226</f>
        <v>668071987.83</v>
      </c>
      <c r="I418" s="281">
        <f>I15+I22+I25+I110+I140+I206+I242+I320+I324+I330+I340+I348+I354+I361+I377+I381+I387+I395+I403+I412+I226</f>
        <v>486163825.46999997</v>
      </c>
      <c r="J418" s="281">
        <f>J15+J22+J25+J110+J140+J206+J242+J320+J324+J330+J340+J348+J354+J361+J377+J381+J387+J395+J403+J412+J226</f>
        <v>434410913.44</v>
      </c>
      <c r="K418" s="318">
        <f>K16+K23+K26+K111+K141+K160+K176+K190+K204+K207+K214+K218+K222+K227+K243+K321+K325+K331+K341+K349+K355+K362+K378+K382+K388+K396+K404+K412</f>
        <v>668071987.83</v>
      </c>
      <c r="L418" s="318">
        <f>L16+L23+L26+L111+L141+L160+L176+L190+L204+L207+L214+L218+L222+L227+L243+L321+L325+L331+L341+L349+L355+L362+L378+L382+L388+L396+L404+L412</f>
        <v>486163825.46999997</v>
      </c>
      <c r="M418" s="318">
        <f>M16+M23+M26+M111+M141+M160+M176+M190+M204+M207+M214+M218+M222+M227+M243+M321+M325+M331+M341+M349+M355+M362+M378+M382+M388+M396+M404+M412</f>
        <v>1154235813.3</v>
      </c>
      <c r="N418" s="318">
        <f>N16+N23+N26+N111+N141+N160+N176+N190+N204+N207+N214+N218+N222+N227+N243+N321+N325+N331+N341+N349+N355+N362+N378+N382+N388+N396+N404+N412</f>
        <v>0</v>
      </c>
      <c r="O418" s="168"/>
      <c r="P418" s="168"/>
    </row>
    <row r="419" spans="1:14" s="4" customFormat="1" ht="39.75" customHeight="1">
      <c r="A419" s="351"/>
      <c r="B419" s="352"/>
      <c r="C419" s="352"/>
      <c r="D419" s="353"/>
      <c r="E419" s="354"/>
      <c r="F419" s="354"/>
      <c r="G419" s="34"/>
      <c r="H419" s="34"/>
      <c r="I419" s="34"/>
      <c r="J419" s="34"/>
      <c r="K419" s="319">
        <f>K418-H418</f>
        <v>0</v>
      </c>
      <c r="L419" s="319">
        <f>L418-I418</f>
        <v>0</v>
      </c>
      <c r="M419" s="319">
        <f>G418-M418</f>
        <v>0</v>
      </c>
      <c r="N419" s="320"/>
    </row>
    <row r="420" spans="1:14" s="7" customFormat="1" ht="84" customHeight="1">
      <c r="A420" s="487" t="s">
        <v>549</v>
      </c>
      <c r="B420" s="487"/>
      <c r="C420" s="487"/>
      <c r="D420" s="487"/>
      <c r="E420" s="487"/>
      <c r="F420" s="12"/>
      <c r="G420" s="13"/>
      <c r="H420" s="485" t="s">
        <v>767</v>
      </c>
      <c r="I420" s="486"/>
      <c r="J420" s="486"/>
      <c r="K420" s="355"/>
      <c r="M420" s="14"/>
      <c r="N420" s="312"/>
    </row>
    <row r="421" spans="1:14" s="4" customFormat="1" ht="23.25" customHeight="1">
      <c r="A421" s="488"/>
      <c r="B421" s="488"/>
      <c r="C421" s="488"/>
      <c r="D421" s="488"/>
      <c r="E421" s="2"/>
      <c r="F421" s="2"/>
      <c r="G421" s="35"/>
      <c r="H421" s="36"/>
      <c r="I421" s="493"/>
      <c r="J421" s="493"/>
      <c r="M421" s="15"/>
      <c r="N421" s="309"/>
    </row>
    <row r="422" spans="7:13" ht="26.25" customHeight="1">
      <c r="G422" s="491" t="s">
        <v>83</v>
      </c>
      <c r="H422" s="491" t="s">
        <v>60</v>
      </c>
      <c r="I422" s="489" t="s">
        <v>61</v>
      </c>
      <c r="J422" s="490"/>
      <c r="M422" s="15"/>
    </row>
    <row r="423" spans="7:11" ht="34.5" customHeight="1">
      <c r="G423" s="492"/>
      <c r="H423" s="492"/>
      <c r="I423" s="37" t="s">
        <v>84</v>
      </c>
      <c r="J423" s="37" t="s">
        <v>85</v>
      </c>
      <c r="K423" s="27" t="s">
        <v>698</v>
      </c>
    </row>
    <row r="424" spans="6:11" ht="18.75">
      <c r="F424" s="22" t="s">
        <v>363</v>
      </c>
      <c r="G424" s="20">
        <f>SUM(G17+G20+G21+G24+G27+G112+G142+G161+G177+G191+G208+G215+G219+G223+G244+G322+G326+G332+G342+G350+G356+G363+G379+G383+G389+G397+G398+G405+G406+G414+G415+G205+G241)</f>
        <v>11736817</v>
      </c>
      <c r="H424" s="20">
        <f>SUM(H17+H20+H21+H24+H27+H112+H142+H161+H177+H191+H208+H215+H219+H223+H244+H322+H326+H332+H342+H350+H356+H363+H379+H383+H389+H397+H398+H405+H406+H414+H415+H205+H241)</f>
        <v>11736817</v>
      </c>
      <c r="I424" s="20">
        <f>SUM(I17+I20+I21+I24+I27+I112+I142+I161+I177+I191+I208+I215+I219+I223+I244+I322+I326+I332+I342+I350+I356+I363+I379+I383+I389+I397+I398+I405+I406+I414+I415+I205+I241)</f>
        <v>0</v>
      </c>
      <c r="J424" s="20">
        <f>SUM(J17+J20+J21+J24+J27+J112+J142+J161+J177+J191+J208+J215+J219+J223+J244+J322+J326+J332+J342+J350+J356+J363+J379+J383+J389+J397+J398+J405+J406+J414+J415+J205+J241)</f>
        <v>0</v>
      </c>
      <c r="K424" s="321">
        <f>H424+I424-G424</f>
        <v>0</v>
      </c>
    </row>
    <row r="425" spans="6:11" ht="18.75">
      <c r="F425" s="22" t="s">
        <v>423</v>
      </c>
      <c r="G425" s="23">
        <f>G28+G30+G44+G49+G50+G52+G53+G54+G55+G56+G76</f>
        <v>56425140.879999995</v>
      </c>
      <c r="H425" s="23">
        <f>H28+H30+H44+H49+H50+H52+H53+H54+H55+H56+H76</f>
        <v>19711379.759999998</v>
      </c>
      <c r="I425" s="23">
        <f>I28+I30+I44+I49+I50+I52+I53+I54+I55+I56+I76</f>
        <v>36713761.120000005</v>
      </c>
      <c r="J425" s="23">
        <f>J28+J30+J44+J49+J50+J52+J53+J54+J55+J56+J76</f>
        <v>36713761.120000005</v>
      </c>
      <c r="K425" s="321">
        <f>H425+I425-G425</f>
        <v>0</v>
      </c>
    </row>
    <row r="426" spans="6:11" ht="18.75">
      <c r="F426" s="22" t="s">
        <v>365</v>
      </c>
      <c r="G426" s="20">
        <f>G113+G115+G117+G118+G119+G123+G124+G127+G128+G129+G135+G136+G137+G122</f>
        <v>42061711</v>
      </c>
      <c r="H426" s="20">
        <f>H113+H115+H117+H118+H119+H123+H124+H127+H128+H129+H135+H136+H137+H122</f>
        <v>30958029</v>
      </c>
      <c r="I426" s="20">
        <f>I113+I115+I117+I118+I119+I123+I124+I127+I128+I129+I135+I136+I137+I122</f>
        <v>11103682</v>
      </c>
      <c r="J426" s="20">
        <f>J113+J115+J117+J118+J119+J123+J124+J127+J128+J129+J135+J136+J137+J122</f>
        <v>11056782</v>
      </c>
      <c r="K426" s="321">
        <f>H427+I427-G427</f>
        <v>0</v>
      </c>
    </row>
    <row r="427" spans="6:11" ht="18.75">
      <c r="F427" s="22" t="s">
        <v>700</v>
      </c>
      <c r="G427" s="20">
        <f>G68+G69+G71+G144+G145+G146+G147+G149+G150+G151+G152+G154+G156+G157+G158+G159+G163+G164+G165+G166+G167+G172+G173+G174+G179+G180+G181+G182+G183+G184+G188+G189+G192+G194+G195+G196+G198+G202+G203+G210+G211+G213+G217+G221+G225+G230+G231+G400+G197</f>
        <v>74549593.34</v>
      </c>
      <c r="H427" s="20">
        <f>H68+H69+H71+H144+H145+H146+H147+H149+H150+H151+H152+H154+H156+H157+H158+H159+H163+H164+H165+H166+H167+H172+H173+H174+H179+H180+H181+H182+H183+H184+H188+H189+H192+H194+H195+H196+H198+H202+H203+H210+H211+H213+H217+H221+H225+H230+H231+H400+H197</f>
        <v>71082336.34</v>
      </c>
      <c r="I427" s="20">
        <f>I68+I69+I71+I144+I145+I146+I147+I149+I150+I151+I152+I154+I156+I157+I158+I159+I163+I164+I165+I166+I167+I172+I173+I174+I179+I180+I181+I182+I183+I184+I188+I189+I192+I194+I195+I196+I198+I202+I203+I210+I211+I213+I217+I221+I225+I230+I231+I400+I197</f>
        <v>3467257</v>
      </c>
      <c r="J427" s="20">
        <f>J68+J69+J71+J144+J145+J146+J147+J149+J150+J151+J152+J154+J156+J157+J158+J159+J163+J164+J165+J166+J167+J172+J173+J174+J179+J180+J181+J182+J183+J184+J188+J189+J192+J194+J195+J196+J198+J202+J203+J210+J211+J213+J217+J221+J225+J230+J231+J400+J197</f>
        <v>2474157</v>
      </c>
      <c r="K427" s="321">
        <f>H426+I426-G426</f>
        <v>0</v>
      </c>
    </row>
    <row r="428" spans="6:11" ht="18.75">
      <c r="F428" s="22" t="s">
        <v>366</v>
      </c>
      <c r="G428" s="20">
        <f>G73+G77+G78+G79+G80+G82+G84</f>
        <v>50866115.82</v>
      </c>
      <c r="H428" s="20">
        <f>H73+H77+H78+H79+H80+H82+H84</f>
        <v>47403715.82</v>
      </c>
      <c r="I428" s="20">
        <f>I73+I77+I78+I79+I80+I82+I84</f>
        <v>3462400</v>
      </c>
      <c r="J428" s="20">
        <f>J73+J77+J78+J79+J80+J82+J84</f>
        <v>3462400</v>
      </c>
      <c r="K428" s="321">
        <f>H428+I428-G428</f>
        <v>0</v>
      </c>
    </row>
    <row r="429" spans="6:11" ht="18.75">
      <c r="F429" s="22" t="s">
        <v>424</v>
      </c>
      <c r="G429" s="20">
        <f>G240+G232+G233+G234+G235+G236+G237+G238+G239+G247+G85+G86+G88+G89+G93+G98+G100+G102</f>
        <v>38957309</v>
      </c>
      <c r="H429" s="20">
        <f>H240+H232+H233+H234+H235+H236+H237+H238+H239+H247+H85+H86+H88+H89+H93+H98+H100+H102</f>
        <v>36517209</v>
      </c>
      <c r="I429" s="20">
        <f>I240+I232+I233+I234+I235+I236+I237+I238+I239+I247+I85+I86+I88+I89+I93+I98+I100+I102</f>
        <v>2440100</v>
      </c>
      <c r="J429" s="20">
        <f>J240+J232+J233+J234+J235+J236+J237+J238+J239+J247+J85+J86+J88+J89+J93+J98+J100+J102</f>
        <v>2440100</v>
      </c>
      <c r="K429" s="321">
        <f>H429+I429-G429</f>
        <v>0</v>
      </c>
    </row>
    <row r="430" spans="6:11" ht="18.75">
      <c r="F430" s="22" t="s">
        <v>701</v>
      </c>
      <c r="G430" s="20">
        <f>G18+G19</f>
        <v>6076305</v>
      </c>
      <c r="H430" s="20">
        <f>H18+H19</f>
        <v>5376305</v>
      </c>
      <c r="I430" s="20">
        <f>I18+I19</f>
        <v>700000</v>
      </c>
      <c r="J430" s="20">
        <f>J18+J19</f>
        <v>700000</v>
      </c>
      <c r="K430" s="321">
        <f>H430+I430-G430</f>
        <v>0</v>
      </c>
    </row>
    <row r="431" spans="6:11" ht="18.75">
      <c r="F431" s="21" t="s">
        <v>362</v>
      </c>
      <c r="G431" s="23">
        <f>(G417+G416+G410+G408+G407+G402+G401+G394+G393+G392+G390+G386+G384+G380+G376+G374+G373+G372+G371+G370+G369+G368+G367+G366+G365+G359+G358+G357+G353+G352+G351+G347+G345+G344+G339+G338+G337+G336+G334+G323+G243+G139+G138+G109+G108+G105+G104+G103)-G244-G247</f>
        <v>873562821.26</v>
      </c>
      <c r="H431" s="23">
        <f>(H417+H416+H410+H408+H407+H402+H401+H394+H393+H392+H390+H386+H384+H380+H376+H374+H373+H372+H371+H370+H369+H368+H367+H366+H365+H359+H358+H357+H353+H352+H351+H347+H345+H344+H339+H338+H337+H336+H334+H323+H243+H139+H138+H109+H108+H105+H104+H103)-H244-H247</f>
        <v>445286195.91</v>
      </c>
      <c r="I431" s="23">
        <f>(I417+I416+I410+I408+I407+I402+I401+I394+I393+I392+I390+I386+I384+I380+I376+I374+I373+I372+I371+I370+I369+I368+I367+I366+I365+I359+I358+I357+I353+I352+I351+I347+I345+I344+I339+I338+I337+I336+I334+I323+I243+I139+I138+I109+I108+I105+I104+I103)-I244-I247</f>
        <v>428276625.35</v>
      </c>
      <c r="J431" s="23">
        <f>(J417+J416+J410+J408+J407+J402+J401+J394+J393+J392+J390+J386+J384+J380+J376+J374+J373+J372+J371+J370+J369+J368+J367+J366+J365+J359+J358+J357+J353+J352+J351+J347+J345+J344+J339+J338+J337+J336+J334+J323+J243+J139+J138+J109+J108+J105+J104+J103)-J244-J247</f>
        <v>377563713.32</v>
      </c>
      <c r="K431" s="321">
        <f>H431+I431-G431</f>
        <v>0</v>
      </c>
    </row>
    <row r="432" spans="6:11" ht="24" customHeight="1">
      <c r="F432" s="26" t="s">
        <v>758</v>
      </c>
      <c r="G432" s="29">
        <f>SUM(G424:G431)</f>
        <v>1154235813.3</v>
      </c>
      <c r="H432" s="29">
        <f>SUM(H424:H431)</f>
        <v>668071987.83</v>
      </c>
      <c r="I432" s="29">
        <f>SUM(I424:I431)</f>
        <v>486163825.47</v>
      </c>
      <c r="J432" s="29">
        <f>SUM(J424:J431)</f>
        <v>434410913.44</v>
      </c>
      <c r="K432" s="321">
        <f>H432+I432-G432</f>
        <v>0</v>
      </c>
    </row>
    <row r="433" spans="6:11" ht="16.5">
      <c r="F433" s="27" t="s">
        <v>698</v>
      </c>
      <c r="G433" s="43">
        <f>G418-G432</f>
        <v>0</v>
      </c>
      <c r="H433" s="43">
        <f>H418-H432</f>
        <v>0</v>
      </c>
      <c r="I433" s="43">
        <f>I418-I432</f>
        <v>0</v>
      </c>
      <c r="J433" s="43">
        <f>J418-J432</f>
        <v>0</v>
      </c>
      <c r="K433" s="322"/>
    </row>
    <row r="434" spans="6:10" ht="15">
      <c r="F434" s="28"/>
      <c r="G434" s="40"/>
      <c r="H434" s="41"/>
      <c r="I434" s="42"/>
      <c r="J434" s="42"/>
    </row>
    <row r="435" spans="9:10" ht="15">
      <c r="I435" s="8"/>
      <c r="J435" s="8"/>
    </row>
    <row r="437" ht="15.75">
      <c r="G437" s="35"/>
    </row>
    <row r="438" spans="6:11" ht="18.75">
      <c r="F438" s="334" t="s">
        <v>506</v>
      </c>
      <c r="I438" s="335"/>
      <c r="J438" s="335">
        <f>'[1]12'!$K$466</f>
        <v>438462742.44</v>
      </c>
      <c r="K438" s="358"/>
    </row>
    <row r="439" spans="6:13" ht="18.75">
      <c r="F439" s="3" t="s">
        <v>526</v>
      </c>
      <c r="I439" s="335"/>
      <c r="J439" s="335">
        <f>J438-J432</f>
        <v>4051829</v>
      </c>
      <c r="K439" s="357">
        <v>356019</v>
      </c>
      <c r="L439" s="356" t="s">
        <v>764</v>
      </c>
      <c r="M439" s="356"/>
    </row>
    <row r="440" spans="11:13" ht="15">
      <c r="K440" s="357">
        <v>3695810</v>
      </c>
      <c r="L440" s="380" t="s">
        <v>363</v>
      </c>
      <c r="M440" s="356"/>
    </row>
    <row r="441" spans="11:13" ht="15">
      <c r="K441" s="357">
        <f>K440+K439</f>
        <v>4051829</v>
      </c>
      <c r="L441" s="356"/>
      <c r="M441" s="356"/>
    </row>
    <row r="442" spans="11:13" ht="15">
      <c r="K442" s="357">
        <f>J439-K441</f>
        <v>0</v>
      </c>
      <c r="L442" s="356"/>
      <c r="M442" s="356"/>
    </row>
    <row r="443" spans="6:11" ht="15">
      <c r="F443" s="373"/>
      <c r="K443" s="358"/>
    </row>
  </sheetData>
  <sheetProtection/>
  <mergeCells count="160">
    <mergeCell ref="H420:J420"/>
    <mergeCell ref="A420:E420"/>
    <mergeCell ref="A421:D421"/>
    <mergeCell ref="I422:J422"/>
    <mergeCell ref="G422:G423"/>
    <mergeCell ref="H422:H423"/>
    <mergeCell ref="I421:J421"/>
    <mergeCell ref="F345:F346"/>
    <mergeCell ref="D377:E377"/>
    <mergeCell ref="D348:E348"/>
    <mergeCell ref="D361:E361"/>
    <mergeCell ref="F359:F360"/>
    <mergeCell ref="E359:E360"/>
    <mergeCell ref="D354:E354"/>
    <mergeCell ref="D404:E404"/>
    <mergeCell ref="D341:E341"/>
    <mergeCell ref="D331:E331"/>
    <mergeCell ref="D412:E412"/>
    <mergeCell ref="D349:E349"/>
    <mergeCell ref="D403:E403"/>
    <mergeCell ref="D378:E378"/>
    <mergeCell ref="D395:E395"/>
    <mergeCell ref="D382:E382"/>
    <mergeCell ref="D396:E396"/>
    <mergeCell ref="E390:E391"/>
    <mergeCell ref="D321:E321"/>
    <mergeCell ref="D324:E324"/>
    <mergeCell ref="D355:E355"/>
    <mergeCell ref="D330:E330"/>
    <mergeCell ref="D381:E381"/>
    <mergeCell ref="E232:E239"/>
    <mergeCell ref="D387:E387"/>
    <mergeCell ref="D362:E362"/>
    <mergeCell ref="D388:E388"/>
    <mergeCell ref="D242:E242"/>
    <mergeCell ref="D243:E243"/>
    <mergeCell ref="D340:E340"/>
    <mergeCell ref="D325:E325"/>
    <mergeCell ref="E301:E302"/>
    <mergeCell ref="D320:E320"/>
    <mergeCell ref="G6:J6"/>
    <mergeCell ref="H10:H13"/>
    <mergeCell ref="K416:N416"/>
    <mergeCell ref="F390:F391"/>
    <mergeCell ref="F73:F80"/>
    <mergeCell ref="K209:K211"/>
    <mergeCell ref="F85:F102"/>
    <mergeCell ref="F124:F129"/>
    <mergeCell ref="F150:F151"/>
    <mergeCell ref="F209:F213"/>
    <mergeCell ref="D413:E413"/>
    <mergeCell ref="I10:J12"/>
    <mergeCell ref="F301:F302"/>
    <mergeCell ref="F232:F239"/>
    <mergeCell ref="G10:G13"/>
    <mergeCell ref="F230:F231"/>
    <mergeCell ref="F55:F58"/>
    <mergeCell ref="F20:F21"/>
    <mergeCell ref="F10:F13"/>
    <mergeCell ref="F113:F123"/>
    <mergeCell ref="D222:E222"/>
    <mergeCell ref="D172:D173"/>
    <mergeCell ref="D18:D19"/>
    <mergeCell ref="E55:E58"/>
    <mergeCell ref="D207:E207"/>
    <mergeCell ref="D10:D13"/>
    <mergeCell ref="E194:E195"/>
    <mergeCell ref="E28:E51"/>
    <mergeCell ref="D16:E16"/>
    <mergeCell ref="D176:E176"/>
    <mergeCell ref="D15:E15"/>
    <mergeCell ref="E52:E53"/>
    <mergeCell ref="D25:E25"/>
    <mergeCell ref="D226:E226"/>
    <mergeCell ref="E230:E231"/>
    <mergeCell ref="D218:E218"/>
    <mergeCell ref="D227:E227"/>
    <mergeCell ref="D182:D184"/>
    <mergeCell ref="E124:E129"/>
    <mergeCell ref="D214:E214"/>
    <mergeCell ref="E209:E213"/>
    <mergeCell ref="D26:E26"/>
    <mergeCell ref="E20:E21"/>
    <mergeCell ref="D23:E23"/>
    <mergeCell ref="D22:E22"/>
    <mergeCell ref="I1:J1"/>
    <mergeCell ref="A8:J8"/>
    <mergeCell ref="A10:A13"/>
    <mergeCell ref="B10:B13"/>
    <mergeCell ref="C10:C13"/>
    <mergeCell ref="G2:J2"/>
    <mergeCell ref="G4:J4"/>
    <mergeCell ref="E10:E13"/>
    <mergeCell ref="G3:J3"/>
    <mergeCell ref="G5:J5"/>
    <mergeCell ref="D206:E206"/>
    <mergeCell ref="F130:F131"/>
    <mergeCell ref="E144:E147"/>
    <mergeCell ref="D160:E160"/>
    <mergeCell ref="E150:E151"/>
    <mergeCell ref="E133:E134"/>
    <mergeCell ref="D140:E140"/>
    <mergeCell ref="E130:E131"/>
    <mergeCell ref="D204:E204"/>
    <mergeCell ref="F194:F195"/>
    <mergeCell ref="D188:D189"/>
    <mergeCell ref="D202:D203"/>
    <mergeCell ref="D190:E190"/>
    <mergeCell ref="D196:D198"/>
    <mergeCell ref="D141:E141"/>
    <mergeCell ref="A108:A109"/>
    <mergeCell ref="B124:B125"/>
    <mergeCell ref="A113:A114"/>
    <mergeCell ref="A124:A125"/>
    <mergeCell ref="B108:B109"/>
    <mergeCell ref="B113:B114"/>
    <mergeCell ref="E59:E62"/>
    <mergeCell ref="E85:E102"/>
    <mergeCell ref="C113:C114"/>
    <mergeCell ref="E73:E80"/>
    <mergeCell ref="D108:D109"/>
    <mergeCell ref="D111:E111"/>
    <mergeCell ref="C124:C125"/>
    <mergeCell ref="C108:C109"/>
    <mergeCell ref="C172:C173"/>
    <mergeCell ref="D110:E110"/>
    <mergeCell ref="E113:E123"/>
    <mergeCell ref="F136:F137"/>
    <mergeCell ref="F144:F147"/>
    <mergeCell ref="D157:D159"/>
    <mergeCell ref="D113:D114"/>
    <mergeCell ref="E136:E137"/>
    <mergeCell ref="D124:D125"/>
    <mergeCell ref="B172:B173"/>
    <mergeCell ref="B165:B167"/>
    <mergeCell ref="A172:A173"/>
    <mergeCell ref="A157:A159"/>
    <mergeCell ref="B157:B159"/>
    <mergeCell ref="A165:A167"/>
    <mergeCell ref="C165:C167"/>
    <mergeCell ref="C157:C159"/>
    <mergeCell ref="D165:D167"/>
    <mergeCell ref="A188:A189"/>
    <mergeCell ref="C188:C189"/>
    <mergeCell ref="A182:A184"/>
    <mergeCell ref="C182:C184"/>
    <mergeCell ref="B188:B189"/>
    <mergeCell ref="B182:B184"/>
    <mergeCell ref="C18:C19"/>
    <mergeCell ref="C73:C75"/>
    <mergeCell ref="A18:A19"/>
    <mergeCell ref="B73:B75"/>
    <mergeCell ref="B18:B19"/>
    <mergeCell ref="A73:A75"/>
    <mergeCell ref="A202:A203"/>
    <mergeCell ref="C196:C198"/>
    <mergeCell ref="C202:C203"/>
    <mergeCell ref="B202:B203"/>
    <mergeCell ref="A196:A198"/>
    <mergeCell ref="B196:B198"/>
  </mergeCells>
  <printOptions horizontalCentered="1"/>
  <pageMargins left="1.1811023622047245" right="0.3937007874015748" top="0.7874015748031497" bottom="0.7874015748031497" header="0" footer="0"/>
  <pageSetup fitToHeight="21" fitToWidth="1" horizontalDpi="600" verticalDpi="600" orientation="portrait" paperSize="9" scale="32" r:id="rId1"/>
  <headerFooter differentFirst="1">
    <oddHeader>&amp;C&amp;P</oddHeader>
  </headerFooter>
  <rowBreaks count="6" manualBreakCount="6">
    <brk id="105" max="9" man="1"/>
    <brk id="147" max="9" man="1"/>
    <brk id="222" max="9" man="1"/>
    <brk id="294" max="9" man="1"/>
    <brk id="360" max="9" man="1"/>
    <brk id="3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2019-12-14T14:44:29Z</cp:lastPrinted>
  <dcterms:created xsi:type="dcterms:W3CDTF">2016-11-29T09:37:01Z</dcterms:created>
  <dcterms:modified xsi:type="dcterms:W3CDTF">2019-12-14T14:47:25Z</dcterms:modified>
  <cp:category/>
  <cp:version/>
  <cp:contentType/>
  <cp:contentStatus/>
</cp:coreProperties>
</file>