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0260" windowHeight="8865" activeTab="0"/>
  </bookViews>
  <sheets>
    <sheet name="2020" sheetId="1" r:id="rId1"/>
  </sheets>
  <externalReferences>
    <externalReference r:id="rId4"/>
  </externalReferences>
  <definedNames>
    <definedName name="OLE_LINK1" localSheetId="0">'2020'!$D$144</definedName>
    <definedName name="_xlnm.Print_Titles" localSheetId="0">'2020'!$11:$15</definedName>
    <definedName name="_xlnm.Print_Area" localSheetId="0">'2020'!$A$1:$P$348</definedName>
  </definedNames>
  <calcPr fullCalcOnLoad="1"/>
</workbook>
</file>

<file path=xl/sharedStrings.xml><?xml version="1.0" encoding="utf-8"?>
<sst xmlns="http://schemas.openxmlformats.org/spreadsheetml/2006/main" count="1107" uniqueCount="615">
  <si>
    <t>Управління  соціальної політики міської ради</t>
  </si>
  <si>
    <t>Управління  соціального захисту населення адміністрації Південного району міської ради</t>
  </si>
  <si>
    <t>1515041</t>
  </si>
  <si>
    <t>в.з. з.ф.</t>
  </si>
  <si>
    <t>в.з.с.ф.</t>
  </si>
  <si>
    <t>НЕФКО</t>
  </si>
  <si>
    <t>Управління  соціального захисту населення адміністрації Дніпровського району міської ради</t>
  </si>
  <si>
    <t>Управління  соціального захисту населення адміністрації Заводського району міської ради</t>
  </si>
  <si>
    <t>Служба у справах дітей міської ради</t>
  </si>
  <si>
    <t>Служба у справах дітей адміністрації Південного району міської ради</t>
  </si>
  <si>
    <t>Служба у справах дітей адміністрації Дніпровського району міської ради</t>
  </si>
  <si>
    <t>Служба у справах дітей адміністрації Заводського району міської ради</t>
  </si>
  <si>
    <t>1917450</t>
  </si>
  <si>
    <t>Інша діяльність у сфері транспорту</t>
  </si>
  <si>
    <t>Кам'янська міська рада</t>
  </si>
  <si>
    <t>Архівне управління міської ради</t>
  </si>
  <si>
    <t>Управління охорони здоров'я  міської ради</t>
  </si>
  <si>
    <t>Департамент економічного розвитку міської ради</t>
  </si>
  <si>
    <t>Департамент комунальної власності, земельних відносин та реєстрації речових прав на нерухоме майно міської ради</t>
  </si>
  <si>
    <t xml:space="preserve">Орган з питань екології, охорони навколишнього середовища та природних ресурсів </t>
  </si>
  <si>
    <t>Управління екології та природних ресурсів міської ради</t>
  </si>
  <si>
    <t>Управління транспортної інфраструктури та зв'язку міської ради</t>
  </si>
  <si>
    <t>Управління державного архітектурно-будівельного контролю міської ради</t>
  </si>
  <si>
    <t>Управління містобудування та архітектури міської ради</t>
  </si>
  <si>
    <t>Управління з питань надзвичайних ситуацій та цивільного захисту населення міської ради</t>
  </si>
  <si>
    <t>перевірка по КВК</t>
  </si>
  <si>
    <t>відхилення</t>
  </si>
  <si>
    <t>70 ком власність (тільки 31)</t>
  </si>
  <si>
    <t>разом</t>
  </si>
  <si>
    <t>ОСВІТА, разом</t>
  </si>
  <si>
    <t>з.ф.</t>
  </si>
  <si>
    <t>с.ф.</t>
  </si>
  <si>
    <t>7670  разом</t>
  </si>
  <si>
    <t>1516012</t>
  </si>
  <si>
    <t>Забезпечення діяльності з виробництва, транспортування, постачання теплової енергії</t>
  </si>
  <si>
    <t>3719510</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</si>
  <si>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</si>
  <si>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1517366</t>
  </si>
  <si>
    <t>Реалізація проектів в рамках Надзвичайної кредитної програми для відновлення України</t>
  </si>
  <si>
    <t>у тому числі за рахунок субвенції з державного бюджету місцевим бюджетам на реалізацію проектів в рамках Надзвичайної кредитної програми для відновлення України</t>
  </si>
  <si>
    <t>Відділ реклами міської ради</t>
  </si>
  <si>
    <t>у тому числі за рахунок субвенції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</si>
  <si>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Департмент муніципальних послуг та регуляторної політики міської ради</t>
  </si>
  <si>
    <t>Департамент фінансів міської ради</t>
  </si>
  <si>
    <t>Адміністрація Південного району міської ради</t>
  </si>
  <si>
    <t>Адміністрація Дніпровського району міської ради</t>
  </si>
  <si>
    <t>Адміністрація Заводського району міської ради</t>
  </si>
  <si>
    <t>1516017</t>
  </si>
  <si>
    <t>Інша діяльність, пов'язана з експлуатацією об`єктів житлово-комунального господарства</t>
  </si>
  <si>
    <t>0118410" МІС"</t>
  </si>
  <si>
    <t>0150,0160 2АУП</t>
  </si>
  <si>
    <t>0180 "АУП"</t>
  </si>
  <si>
    <t>80 Інша діяльність</t>
  </si>
  <si>
    <t>4216017</t>
  </si>
  <si>
    <t>у тому числі за рахунок субвенції Петриківському району на виготовлення планів земельних ділянок для учасників АТО</t>
  </si>
  <si>
    <t>у тому числі за рахунок медичної субвенції з державного бюджету місцевим бюджетам</t>
  </si>
  <si>
    <t>0117680</t>
  </si>
  <si>
    <t>7680</t>
  </si>
  <si>
    <t xml:space="preserve">Членські внески до асоціацій органів місцевого самоврядування </t>
  </si>
  <si>
    <t>73 будівництво</t>
  </si>
  <si>
    <t>76 Економічна діяльність</t>
  </si>
  <si>
    <t xml:space="preserve">Амбулаторно-поліклінічна допомога населенню,крім первинної медичної допомоги </t>
  </si>
  <si>
    <t>0726</t>
  </si>
  <si>
    <t>Забезпечення діяльності інших закладів у сфері охорони здоров"я</t>
  </si>
  <si>
    <t>Інші програми та заходи у сфері охорони здоров"я</t>
  </si>
  <si>
    <t>0712151</t>
  </si>
  <si>
    <t>0712152</t>
  </si>
  <si>
    <t>Утримання центрів фізичної культури і спорту осіб з інвалідністю і реабілітаційних шкіл</t>
  </si>
  <si>
    <t>Проведення навчально-тренувальних зборів і змагань та заходів зі спорту осіб з інвалідністю</t>
  </si>
  <si>
    <t>1513210</t>
  </si>
  <si>
    <t>4113210</t>
  </si>
  <si>
    <t>3210</t>
  </si>
  <si>
    <t>4213210</t>
  </si>
  <si>
    <t>4313210</t>
  </si>
  <si>
    <t>0613242</t>
  </si>
  <si>
    <t>Інші заходи у сфері соціального захисту і соціального забезпечення</t>
  </si>
  <si>
    <t>0913242</t>
  </si>
  <si>
    <t>0813192</t>
  </si>
  <si>
    <t>Надання фінансової підтримки громадським організаціям ветеранів  і осіб з інвалідністю, діяльність яких має соціальну спрямованість</t>
  </si>
  <si>
    <t>0813241</t>
  </si>
  <si>
    <t>Забезпечення діяльності  інших закладів у сфері соціального захисту і  соціального забезпечення</t>
  </si>
  <si>
    <t>0813242</t>
  </si>
  <si>
    <t>3242</t>
  </si>
  <si>
    <t>1515043</t>
  </si>
  <si>
    <t>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t>
  </si>
  <si>
    <t>у тому числі субвенція з державного бюджету місцевим бюджетам на 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t>
  </si>
  <si>
    <t>1507130</t>
  </si>
  <si>
    <t>'Здійснення заходів із землеустрою</t>
  </si>
  <si>
    <t>1517324</t>
  </si>
  <si>
    <t>7324</t>
  </si>
  <si>
    <t>Будівництво установ та закладів культури</t>
  </si>
  <si>
    <t>0611170</t>
  </si>
  <si>
    <t xml:space="preserve">Забезпечення діяльності інклюзивно-ресурсних центрів </t>
  </si>
  <si>
    <t>60+7130 ( ЖКГ)</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</si>
  <si>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</si>
  <si>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</si>
  <si>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</si>
  <si>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0611161</t>
  </si>
  <si>
    <t>Забезпечення діяльності інших закладів у сфері освіти</t>
  </si>
  <si>
    <t>0614082</t>
  </si>
  <si>
    <t>4082</t>
  </si>
  <si>
    <t>0829</t>
  </si>
  <si>
    <t>Інші заходи в галузі культури і мистецтва</t>
  </si>
  <si>
    <t>Заходи із запобігання та ліквідації надзвичайних ситуацій та наслідків стихійного лиха</t>
  </si>
  <si>
    <t>Додаток 3</t>
  </si>
  <si>
    <t>до рішення міської ради</t>
  </si>
  <si>
    <t>0712146</t>
  </si>
  <si>
    <t>Відшкодування вартості лікарських засобів для лікування окремих захворювань</t>
  </si>
  <si>
    <t>3117650</t>
  </si>
  <si>
    <t>Проведення експертної грошової оцінки земельної ділянки чи права на неї</t>
  </si>
  <si>
    <t>0813032</t>
  </si>
  <si>
    <t>Надання пільг окремим категоріям громадян з оплати послуг зв'язку</t>
  </si>
  <si>
    <t>Виконання інвестиційних проектів в рамках здійснення заходів щодо соціально-економічного розвитку окремих територій</t>
  </si>
  <si>
    <t>0617363</t>
  </si>
  <si>
    <t>1517363</t>
  </si>
  <si>
    <t>Утримання та розвиток автомобільних доріг та дорожньої інфраструктури за рахунок коштів місцевого бюджету</t>
  </si>
  <si>
    <t>4210170</t>
  </si>
  <si>
    <t>0131</t>
  </si>
  <si>
    <t>Підвищення кваліфікації депутатів місцевих рад та посадових осіб місцевого самоврядування</t>
  </si>
  <si>
    <t>2818330</t>
  </si>
  <si>
    <t>Інша діяльність у сфері екології та охорони природних ресурсів</t>
  </si>
  <si>
    <t>1517321</t>
  </si>
  <si>
    <t>1517640</t>
  </si>
  <si>
    <t>0614070</t>
  </si>
  <si>
    <t>Фінансова підтримка кінематографії</t>
  </si>
  <si>
    <t>0823</t>
  </si>
  <si>
    <t>1617350</t>
  </si>
  <si>
    <t>7350</t>
  </si>
  <si>
    <t>Розроблення схем планування та забудови територій (містобудівної документації)</t>
  </si>
  <si>
    <t>3719800</t>
  </si>
  <si>
    <t xml:space="preserve">Субвенція з місцевого бюджету державному бюджету на виконання програм соціально-економічного розвитку регіонів </t>
  </si>
  <si>
    <t>3719770</t>
  </si>
  <si>
    <t>1517530</t>
  </si>
  <si>
    <t>7530</t>
  </si>
  <si>
    <t>Інші заходи у сфері зв'язку, телекомунікації та інформатики</t>
  </si>
  <si>
    <t>0460</t>
  </si>
  <si>
    <t>1518230</t>
  </si>
  <si>
    <t>8230</t>
  </si>
  <si>
    <t>Інші заходи громадського порядку та безпеки</t>
  </si>
  <si>
    <t>0380</t>
  </si>
  <si>
    <t>75 Зв'язок, телекомунікації та інформатика</t>
  </si>
  <si>
    <t>0712144</t>
  </si>
  <si>
    <t>Централізовані заходи з лікування хворих на цукровий та нецукровий діабет</t>
  </si>
  <si>
    <t>4116017</t>
  </si>
  <si>
    <t>0617340</t>
  </si>
  <si>
    <t>Проектування, реставрація та охорона пам'яток архітектури</t>
  </si>
  <si>
    <t>Виконання інвестиційних проектів за рахунок субвенцій з інших бюджетів</t>
  </si>
  <si>
    <t>1517368</t>
  </si>
  <si>
    <t>1113131</t>
  </si>
  <si>
    <t>1113242</t>
  </si>
  <si>
    <t>1517691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</si>
  <si>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</si>
  <si>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1100000</t>
  </si>
  <si>
    <t>1110000</t>
  </si>
  <si>
    <t>1115021</t>
  </si>
  <si>
    <t>1115022</t>
  </si>
  <si>
    <t>1115031</t>
  </si>
  <si>
    <t>1115032</t>
  </si>
  <si>
    <t>1115061</t>
  </si>
  <si>
    <t>1115062</t>
  </si>
  <si>
    <t>екологія</t>
  </si>
  <si>
    <t>зал екологія</t>
  </si>
  <si>
    <t>зал ціл</t>
  </si>
  <si>
    <t>цільов</t>
  </si>
  <si>
    <t>перевірка спец фонд</t>
  </si>
  <si>
    <t>у тому числі за рахунок освітньої субвенціїз державного бюджету місцевим бюджетам</t>
  </si>
  <si>
    <t>у тому числі за рахунок освітньої субвенціїз державного бюджету місцевим бюджетам (залишки)</t>
  </si>
  <si>
    <t>у тому числі субвенція з місцевого бюджету за рахунок залишку коштів освітньої субвенції, що утворився на початок бюджетного періоду (на оновлення матеріально-технічної бази)</t>
  </si>
  <si>
    <t xml:space="preserve"> освіта</t>
  </si>
  <si>
    <t xml:space="preserve"> культура</t>
  </si>
  <si>
    <t xml:space="preserve"> фізична культура та спорт</t>
  </si>
  <si>
    <r>
      <t>охорона здоров</t>
    </r>
    <r>
      <rPr>
        <sz val="11"/>
        <rFont val="Arial Cyr"/>
        <family val="0"/>
      </rPr>
      <t>’</t>
    </r>
    <r>
      <rPr>
        <sz val="8.6"/>
        <rFont val="Times New Roman"/>
        <family val="1"/>
      </rPr>
      <t>я</t>
    </r>
  </si>
  <si>
    <t>у тому числі субвенція з місцевого бюджету за рахунок залишку коштів освітньої субвенції, що утворився на початок бюджетного періоду (на придбання обладнання та оснащення ресурсних кімнат)</t>
  </si>
  <si>
    <t>у тому числі субвенція з місцевого бюджету на здійснення переданих видатків у сфері освіти за рахунок коштів освітньої субвенції  на приватні школи</t>
  </si>
  <si>
    <t>у тому числі субвенція з місцевого бюджету на забезпечення якісної, сучасної та доступної загальної середньої освіти "Нова українська школа"</t>
  </si>
  <si>
    <t>у тому числі за рахунок освітньої субвенції з державного бюджету місцевим бюджетам</t>
  </si>
  <si>
    <t>у тому числі за рахунок субвенції з місцевого бюджету на здійснення переданих видаткіу сфері освіти за рахунок коштів освітньої субвенції на інклюзивно-ресурсні центри</t>
  </si>
  <si>
    <t>у тому числі за рахунок субвенції з державного бюджету місцевим бюджетам на здійснення заходів щодо соціально-економічного розвитку окремих територій (залишки)</t>
  </si>
  <si>
    <t>у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</si>
  <si>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у тому числі за рахунок субвенції з місцевого бюджету на здійснення переданих видатків у сфері охорони здоров"я за рахунок коштів медичної субвенції</t>
  </si>
  <si>
    <t xml:space="preserve">у тому числі 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t>
  </si>
  <si>
    <t xml:space="preserve">у тому числі на проведення заходів по забезпеченню екстреної медичної допомоги та медицини катастроф за рахунок передачі субвенції обласному бюджету для надання медичної допомоги на придбання запасних частин та витратних матеріалів для забезпечення рухомого автотранспорту </t>
  </si>
  <si>
    <t>у тому числі інші субвенції з місцевого бюджету (на соціально-економічний розвиток)</t>
  </si>
  <si>
    <t>у тому числі за рахунок субвенції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«Прозорий офіс»</t>
  </si>
  <si>
    <t xml:space="preserve">у тому числі за рахунок зовнішнього місцевого запозичення шляхом залучення кредиту від Північної Екологічної Фінансвової Корпорації (НЕФКО) </t>
  </si>
  <si>
    <t>у тому числі на 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t>
  </si>
  <si>
    <t xml:space="preserve">у тому числі на заходи та роботи з територіальної оборони та мобілізаційної підготовки місцевого значення </t>
  </si>
  <si>
    <t>у тому числі інші субвенції з місцевого бюджету (з селищного бюджету до міського бюджету на соціально-економічний розвиток)</t>
  </si>
  <si>
    <t>0611162</t>
  </si>
  <si>
    <t>Інші програми та заходи у сфері освіти</t>
  </si>
  <si>
    <t>0618340</t>
  </si>
  <si>
    <t>1518340</t>
  </si>
  <si>
    <t>2919770</t>
  </si>
  <si>
    <t xml:space="preserve">Інші субвенції з місцевого бюджету </t>
  </si>
  <si>
    <t>1516015</t>
  </si>
  <si>
    <t>Забезпечення надійної та безперебійної експлуатації ліфтів</t>
  </si>
  <si>
    <t>3416020</t>
  </si>
  <si>
    <t>3719150</t>
  </si>
  <si>
    <t>Інші дотації з місцевого бюджету</t>
  </si>
  <si>
    <t>0810170</t>
  </si>
  <si>
    <t>3210170</t>
  </si>
  <si>
    <t>Орган у справах сім’ї, молоді та спорту</t>
  </si>
  <si>
    <t>3133</t>
  </si>
  <si>
    <t>ККД 41050900</t>
  </si>
  <si>
    <t>Секретар міської ради</t>
  </si>
  <si>
    <t>О.Ю.Залевський</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</si>
  <si>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</si>
  <si>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0719770</t>
  </si>
  <si>
    <t>90 Міжбюджетні трансферти (депут, мат резерв, здрав)</t>
  </si>
  <si>
    <t>власні</t>
  </si>
  <si>
    <t>соцзахист+ 3210</t>
  </si>
  <si>
    <t>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t>
  </si>
  <si>
    <t>Орган з питань інфраструктури, розвитку та утримання мережі автомобільних доріг загального користування місцевого значення</t>
  </si>
  <si>
    <t>Орган з питань захисту населення і територій від надзвичайних ситуацій техногенного та природного характеру</t>
  </si>
  <si>
    <t>74 транспорт, дороги</t>
  </si>
  <si>
    <t>у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</si>
  <si>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0170 "АУП"</t>
  </si>
  <si>
    <t>7680"АУП"</t>
  </si>
  <si>
    <t>0710170</t>
  </si>
  <si>
    <t>1510170</t>
  </si>
  <si>
    <t>1610170</t>
  </si>
  <si>
    <t>2810170</t>
  </si>
  <si>
    <t>2710170</t>
  </si>
  <si>
    <t>АУП разом</t>
  </si>
  <si>
    <t>1517693</t>
  </si>
  <si>
    <t>1517463</t>
  </si>
  <si>
    <t>Утримання та розвиток автомобільних доріг та дорожньої інфраструктури за рахунок трансфертів з інших місцевих бюджетів</t>
  </si>
  <si>
    <t>1110160</t>
  </si>
  <si>
    <t>Інші заходи, пов'язані з економічною діяльністю</t>
  </si>
  <si>
    <t>Інші заходи та заклади молодіжної політики</t>
  </si>
  <si>
    <t>ККД 41054500</t>
  </si>
  <si>
    <t>Код Функціональної класифікації видатків та кредитування бюджету</t>
  </si>
  <si>
    <t>усього</t>
  </si>
  <si>
    <t>у тому числі бюджет розвитку</t>
  </si>
  <si>
    <t>(грн)</t>
  </si>
  <si>
    <t>Х</t>
  </si>
  <si>
    <t>УСЬОГО</t>
  </si>
  <si>
    <t>РОЗПОДІЛ</t>
  </si>
  <si>
    <t>Загальний фонд</t>
  </si>
  <si>
    <t>видатки споживання</t>
  </si>
  <si>
    <t>з них</t>
  </si>
  <si>
    <t>оплата праці</t>
  </si>
  <si>
    <t>комунальні послуги та енергоносії</t>
  </si>
  <si>
    <t>видатки розвитку</t>
  </si>
  <si>
    <t>Спеціальний фонд</t>
  </si>
  <si>
    <t>РАЗОМ</t>
  </si>
  <si>
    <t>0100000</t>
  </si>
  <si>
    <t>0110000</t>
  </si>
  <si>
    <t>0110150</t>
  </si>
  <si>
    <t>0111</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</si>
  <si>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</si>
  <si>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</si>
  <si>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</si>
  <si>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0133</t>
  </si>
  <si>
    <t>0180</t>
  </si>
  <si>
    <t>Інша діяльність у сфері державного управління</t>
  </si>
  <si>
    <t>0118410</t>
  </si>
  <si>
    <t>0830</t>
  </si>
  <si>
    <t>8410</t>
  </si>
  <si>
    <t>Фінансова підтримка засобів масової інформації</t>
  </si>
  <si>
    <t>0200000</t>
  </si>
  <si>
    <t>Виконавчі органи місцевих рад, Рада міністрів Автономної Республіки Крим, державна адміністрація (обласні державні адміністрації, Київська, Севастопольська міські державні адміністрації, районні державні адміністрації (управління, відділи)</t>
  </si>
  <si>
    <t>0210000</t>
  </si>
  <si>
    <t>0210160</t>
  </si>
  <si>
    <t>0160</t>
  </si>
  <si>
    <t>Керівництво і управління у відповідній сфері у містах (місті Києві), селищах, селах, об`єднаних територіальних громадах</t>
  </si>
  <si>
    <t>0210180</t>
  </si>
  <si>
    <t>0600000</t>
  </si>
  <si>
    <t>Орган з питань освіти і науки</t>
  </si>
  <si>
    <t>0610000</t>
  </si>
  <si>
    <t>Департамент з гуманітарних питань  міської ради</t>
  </si>
  <si>
    <t>0610160</t>
  </si>
  <si>
    <t>0610180</t>
  </si>
  <si>
    <t>0611010</t>
  </si>
  <si>
    <t>0910</t>
  </si>
  <si>
    <t>1010</t>
  </si>
  <si>
    <t>Надання дошкільної освіти</t>
  </si>
  <si>
    <t>0611020</t>
  </si>
  <si>
    <t>0921</t>
  </si>
  <si>
    <t>1020</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</si>
  <si>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</si>
  <si>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0611040</t>
  </si>
  <si>
    <t>0922</t>
  </si>
  <si>
    <t>1040</t>
  </si>
  <si>
    <t>Надання загальної середньої освіти загальноосвiтнiми школами-iнтернатами, загальноосвітніми санаторними школами-інтернатами</t>
  </si>
  <si>
    <t>0611090</t>
  </si>
  <si>
    <t>0960</t>
  </si>
  <si>
    <t>1090</t>
  </si>
  <si>
    <t>Надання позашкільної освіти позашкільними закладами освіти, заходи із позашкільної роботи з дітьми</t>
  </si>
  <si>
    <t>0611100</t>
  </si>
  <si>
    <t>1100</t>
  </si>
  <si>
    <t>Надання спеціальної освіти школами естетичного виховання (музичними, художніми, хореографічними, театральними, хоровими, мистецькими)</t>
  </si>
  <si>
    <t>0611150</t>
  </si>
  <si>
    <t>0990</t>
  </si>
  <si>
    <t>1150</t>
  </si>
  <si>
    <t>Методичне забезпечення діяльності навчальних закладів</t>
  </si>
  <si>
    <t>0613131</t>
  </si>
  <si>
    <t>3131</t>
  </si>
  <si>
    <t>Здійснення заходів та реалізація проектів на виконання Державної цільової соціальної програми `Молодь України`</t>
  </si>
  <si>
    <t>0613140</t>
  </si>
  <si>
    <t>3140</t>
  </si>
  <si>
    <t>1110180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</si>
  <si>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</si>
  <si>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0614010</t>
  </si>
  <si>
    <t>0821</t>
  </si>
  <si>
    <t>4010</t>
  </si>
  <si>
    <t>Фінансова підтримка театрів</t>
  </si>
  <si>
    <t>0614030</t>
  </si>
  <si>
    <t>0824</t>
  </si>
  <si>
    <t>4030</t>
  </si>
  <si>
    <t>Забезпечення діяльності бібліотек</t>
  </si>
  <si>
    <t>0614040</t>
  </si>
  <si>
    <t>4040</t>
  </si>
  <si>
    <t>Забезпечення діяльності музеїв i виставок</t>
  </si>
  <si>
    <t>0810</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</si>
  <si>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</si>
  <si>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</si>
  <si>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5021</t>
  </si>
  <si>
    <t>5022</t>
  </si>
  <si>
    <t>5031</t>
  </si>
  <si>
    <t>Утримання та навчально-тренувальна робота комунальних дитячо-юнацьких спортивних шкіл</t>
  </si>
  <si>
    <t>5032</t>
  </si>
  <si>
    <t>Фінансова підтримка дитячо-юнацьких спортивних шкіл фізкультурно-спортивних товариств</t>
  </si>
  <si>
    <t>Утримання та фінансова підтримка спортивних споруд</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</si>
  <si>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</si>
  <si>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</si>
  <si>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5062</t>
  </si>
  <si>
    <t>Підтримка спорту вищих досягнень та організацій, які здійснюють фізкультурно-спортивну діяльність в регіоні</t>
  </si>
  <si>
    <t>0443</t>
  </si>
  <si>
    <t>0617321</t>
  </si>
  <si>
    <t>7321</t>
  </si>
  <si>
    <t>Будівництво освітніх установ та закладів</t>
  </si>
  <si>
    <t>0470</t>
  </si>
  <si>
    <t>7640</t>
  </si>
  <si>
    <t>Заходи з енергозбереження</t>
  </si>
  <si>
    <t>0617670</t>
  </si>
  <si>
    <t>0490</t>
  </si>
  <si>
    <t>7670</t>
  </si>
  <si>
    <t>Внески до статутного капіталу суб`єктів господарювання</t>
  </si>
  <si>
    <t>0700000</t>
  </si>
  <si>
    <t>Орган з питань охорони здоров`я</t>
  </si>
  <si>
    <t>0710000</t>
  </si>
  <si>
    <t>0710160</t>
  </si>
  <si>
    <t>0710180</t>
  </si>
  <si>
    <t>0712010</t>
  </si>
  <si>
    <t>0731</t>
  </si>
  <si>
    <t>2010</t>
  </si>
  <si>
    <t>Багатопрофільна стаціонарна медична допомога населенню</t>
  </si>
  <si>
    <t>0712020</t>
  </si>
  <si>
    <t>0732</t>
  </si>
  <si>
    <t>2020</t>
  </si>
  <si>
    <t>Спеціалізована стаціонарна медична допомога населенню</t>
  </si>
  <si>
    <t>0712080</t>
  </si>
  <si>
    <t>0721</t>
  </si>
  <si>
    <t>2080</t>
  </si>
  <si>
    <t>0712100</t>
  </si>
  <si>
    <t>0722</t>
  </si>
  <si>
    <t>2100</t>
  </si>
  <si>
    <t>Стоматологічна допомога населенню</t>
  </si>
  <si>
    <t>0712111</t>
  </si>
  <si>
    <t>2111</t>
  </si>
  <si>
    <t>Первинна медична допомога населенню, що надається центрами первинної медичної (медико-санітарної) допомоги</t>
  </si>
  <si>
    <t>0763</t>
  </si>
  <si>
    <t>0717322</t>
  </si>
  <si>
    <t>7322</t>
  </si>
  <si>
    <t>Будівництво медичних установ та закладів</t>
  </si>
  <si>
    <t>0800000</t>
  </si>
  <si>
    <t>Орган з питань праці та соціального захисту населення</t>
  </si>
  <si>
    <t>0810000</t>
  </si>
  <si>
    <t>0810160</t>
  </si>
  <si>
    <t>0810180</t>
  </si>
  <si>
    <t>1060</t>
  </si>
  <si>
    <t xml:space="preserve">у тому числі субвенція з місцевого бюджету на реалізацію заходів, спрямованих на підвищення якості освіти за рахунок відповідної субвенції 
з державного бюджету на придбання послуг з доступу до Інтернету закладів загальної середньої освіти
</t>
  </si>
  <si>
    <t>1515045</t>
  </si>
  <si>
    <t>Будівництво мультифункціональних майданчиків для занять ігровими видами спорту</t>
  </si>
  <si>
    <t xml:space="preserve">у тому числі 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
</t>
  </si>
  <si>
    <t>1030</t>
  </si>
  <si>
    <t>ККД 41031400</t>
  </si>
  <si>
    <t>0816083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</si>
  <si>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</si>
  <si>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 xml:space="preserve">в т.ч. за рахунок субвенції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
</t>
  </si>
  <si>
    <t>залишки</t>
  </si>
  <si>
    <t>ККД 41037400</t>
  </si>
  <si>
    <t>ККД 41053900</t>
  </si>
  <si>
    <t>ККД41033900</t>
  </si>
  <si>
    <t>ККД 41034200</t>
  </si>
  <si>
    <t>ККД 41034500</t>
  </si>
  <si>
    <t>ККД 41034500 передали Карнауховке</t>
  </si>
  <si>
    <t>ККД41039100</t>
  </si>
  <si>
    <t>ККД41051000</t>
  </si>
  <si>
    <t>ККД41051100</t>
  </si>
  <si>
    <t>ККД 41051400</t>
  </si>
  <si>
    <t>ККД 41051200</t>
  </si>
  <si>
    <t>ККД 41051500</t>
  </si>
  <si>
    <t>ККД 41052000</t>
  </si>
  <si>
    <t>ККД 41053500</t>
  </si>
  <si>
    <t>ККД 41054300</t>
  </si>
  <si>
    <t>ККД 41053900 Карнауховка</t>
  </si>
  <si>
    <t xml:space="preserve">залишки </t>
  </si>
  <si>
    <t>Відділ праці та соціально-трудових відносин міської ради</t>
  </si>
  <si>
    <t>0611070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</si>
  <si>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</si>
  <si>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0813031</t>
  </si>
  <si>
    <t>3031</t>
  </si>
  <si>
    <t>Надання інших пільг окремим категоріям громадян відповідно до законодавства</t>
  </si>
  <si>
    <t>0813033</t>
  </si>
  <si>
    <t>1070</t>
  </si>
  <si>
    <t>3033</t>
  </si>
  <si>
    <t>Компенсаційні виплати на пільговий проїзд автомобільним транспортом окремим категоріям громадян</t>
  </si>
  <si>
    <t>0813035</t>
  </si>
  <si>
    <t>3035</t>
  </si>
  <si>
    <t>Компенсаційні виплати за пільговий проїзд окремих категорій громадян на залізничному транспорті</t>
  </si>
  <si>
    <t>0813036</t>
  </si>
  <si>
    <t>3036</t>
  </si>
  <si>
    <t>Компенсаційні виплати на пільговий проїзд електротранспортом окремим категоріям громадян</t>
  </si>
  <si>
    <t>Управління молоді та спорту міської ради</t>
  </si>
  <si>
    <t>0813104</t>
  </si>
  <si>
    <t>3104</t>
  </si>
  <si>
    <t>0813121</t>
  </si>
  <si>
    <t>3121</t>
  </si>
  <si>
    <t>Утримання та забезпечення діяльності центрів соціальних служб для сім`ї, дітей та молоді</t>
  </si>
  <si>
    <t>0813123</t>
  </si>
  <si>
    <t>3123</t>
  </si>
  <si>
    <t>Заходи державної політики з питань сім`ї</t>
  </si>
  <si>
    <t>0813140</t>
  </si>
  <si>
    <t>0813160</t>
  </si>
  <si>
    <t>3160</t>
  </si>
  <si>
    <t>0717691</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</si>
  <si>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</si>
  <si>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0813180</t>
  </si>
  <si>
    <t>3180</t>
  </si>
  <si>
    <t>0900000</t>
  </si>
  <si>
    <t>Орган у справах дітей</t>
  </si>
  <si>
    <t>0910000</t>
  </si>
  <si>
    <t>0910160</t>
  </si>
  <si>
    <t>0910180</t>
  </si>
  <si>
    <t>0913111</t>
  </si>
  <si>
    <t>3111</t>
  </si>
  <si>
    <t>0913112</t>
  </si>
  <si>
    <t>3112</t>
  </si>
  <si>
    <t>Заходи державної політики з питань дітей та їх соціального захисту</t>
  </si>
  <si>
    <t>1500000</t>
  </si>
  <si>
    <t>Орган з питань будівництва</t>
  </si>
  <si>
    <t>1510000</t>
  </si>
  <si>
    <t>Департамент житлово-комунального господарства та будівництва міської ради</t>
  </si>
  <si>
    <t>1510160</t>
  </si>
  <si>
    <t>1510180</t>
  </si>
  <si>
    <t>1050</t>
  </si>
  <si>
    <t>Організація та проведення громадських робіт</t>
  </si>
  <si>
    <t>1516011</t>
  </si>
  <si>
    <t>0620</t>
  </si>
  <si>
    <t>6011</t>
  </si>
  <si>
    <t>Експлуатація та технічне обслуговування житлового фонду</t>
  </si>
  <si>
    <t>1516020</t>
  </si>
  <si>
    <t>6020</t>
  </si>
  <si>
    <t>Забезпечення функціонування підприємств, установ та організацій, що виробляють, виконують та/або надають житлово-комунальні послуги</t>
  </si>
  <si>
    <t>1516030</t>
  </si>
  <si>
    <t>6030</t>
  </si>
  <si>
    <t>Організація благоустрою населених пунктів</t>
  </si>
  <si>
    <t>1516086</t>
  </si>
  <si>
    <t>0610</t>
  </si>
  <si>
    <t>6086</t>
  </si>
  <si>
    <t>Інша діяльність щодо забезпечення житлом громадян</t>
  </si>
  <si>
    <t>1516090</t>
  </si>
  <si>
    <t>0640</t>
  </si>
  <si>
    <t>6090</t>
  </si>
  <si>
    <t>Інша діяльність у сфері житлово-комунального господарства</t>
  </si>
  <si>
    <t>1517310</t>
  </si>
  <si>
    <t>7310</t>
  </si>
  <si>
    <t>Будівництво об`єктів житлово-комунального господарства</t>
  </si>
  <si>
    <t>1517322</t>
  </si>
  <si>
    <t>1517323</t>
  </si>
  <si>
    <t>7323</t>
  </si>
  <si>
    <t>Будівництво установ та закладів соціальної сфери</t>
  </si>
  <si>
    <t>1517325</t>
  </si>
  <si>
    <t>7325</t>
  </si>
  <si>
    <t>Будівництво споруд, установ та закладів фізичної культури і спорту</t>
  </si>
  <si>
    <t>0456</t>
  </si>
  <si>
    <t>1517670</t>
  </si>
  <si>
    <t>9770</t>
  </si>
  <si>
    <t>Інші субвенції з місцевого бюджету</t>
  </si>
  <si>
    <t>1600000</t>
  </si>
  <si>
    <t>Орган з питань містобудування та архітектури</t>
  </si>
  <si>
    <t>1610000</t>
  </si>
  <si>
    <t>1610160</t>
  </si>
  <si>
    <t>1610180</t>
  </si>
  <si>
    <t>1619770</t>
  </si>
  <si>
    <t>1700000</t>
  </si>
  <si>
    <t>Орган з питань державного архітектурно-будівельного контролю</t>
  </si>
  <si>
    <t>1710000</t>
  </si>
  <si>
    <t>1710160</t>
  </si>
  <si>
    <t>1710180</t>
  </si>
  <si>
    <t>1900000</t>
  </si>
  <si>
    <t>1910000</t>
  </si>
  <si>
    <t>1910160</t>
  </si>
  <si>
    <t>1910180</t>
  </si>
  <si>
    <t>1917413</t>
  </si>
  <si>
    <t>0451</t>
  </si>
  <si>
    <t>7413</t>
  </si>
  <si>
    <t>Інші заходи у сфері автотранспорту</t>
  </si>
  <si>
    <t>1917426</t>
  </si>
  <si>
    <t>0453</t>
  </si>
  <si>
    <t>7426</t>
  </si>
  <si>
    <t>Інші заходи у сфері електротранспорту</t>
  </si>
  <si>
    <t>1917670</t>
  </si>
  <si>
    <t>2700000</t>
  </si>
  <si>
    <t>Орган з питань економічного розвитку, торгівлі та інвестицій</t>
  </si>
  <si>
    <t>2710000</t>
  </si>
  <si>
    <t>2710160</t>
  </si>
  <si>
    <t>2710180</t>
  </si>
  <si>
    <t>2717622</t>
  </si>
  <si>
    <t>7622</t>
  </si>
  <si>
    <t>Реалізація програм і заходів в галузі туризму та курортів</t>
  </si>
  <si>
    <t>2717640</t>
  </si>
  <si>
    <t>2717693</t>
  </si>
  <si>
    <t>7693</t>
  </si>
  <si>
    <t>Інші заходи, пов`язані з економічною діяльністю</t>
  </si>
  <si>
    <t>2800000</t>
  </si>
  <si>
    <t>2810000</t>
  </si>
  <si>
    <t>2810160</t>
  </si>
  <si>
    <t>2810180</t>
  </si>
  <si>
    <t>2817670</t>
  </si>
  <si>
    <t>2818340</t>
  </si>
  <si>
    <t>0540</t>
  </si>
  <si>
    <t>8340</t>
  </si>
  <si>
    <t>Природоохоронні заходи за рахунок цільових фондів</t>
  </si>
  <si>
    <t>2900000</t>
  </si>
  <si>
    <t>2910000</t>
  </si>
  <si>
    <t>2910160</t>
  </si>
  <si>
    <t>2910180</t>
  </si>
  <si>
    <t>2918110</t>
  </si>
  <si>
    <t>0320</t>
  </si>
  <si>
    <t>8110</t>
  </si>
  <si>
    <t>3100000</t>
  </si>
  <si>
    <t>Орган з питань управління комунальним майном</t>
  </si>
  <si>
    <t>3110000</t>
  </si>
  <si>
    <t>3110160</t>
  </si>
  <si>
    <t>3110180</t>
  </si>
  <si>
    <t>3116082</t>
  </si>
  <si>
    <t>6082</t>
  </si>
  <si>
    <t>Придбання житла для окремих категорій населення відповідно до законодавства</t>
  </si>
  <si>
    <t>3116086</t>
  </si>
  <si>
    <t>3117130</t>
  </si>
  <si>
    <t>0421</t>
  </si>
  <si>
    <t>7130</t>
  </si>
  <si>
    <t>Здійснення заходів із землеустрою</t>
  </si>
  <si>
    <t>3117660</t>
  </si>
  <si>
    <t>7660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</si>
  <si>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</si>
  <si>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3117693</t>
  </si>
  <si>
    <t>3200000</t>
  </si>
  <si>
    <t>Орган з питань реклами та масових заходів</t>
  </si>
  <si>
    <t>3210000</t>
  </si>
  <si>
    <t>3210160</t>
  </si>
  <si>
    <t>3210180</t>
  </si>
  <si>
    <t>3216030</t>
  </si>
  <si>
    <t>3400000</t>
  </si>
  <si>
    <t>Орган з питань надання адміністративних послуг</t>
  </si>
  <si>
    <t>3410000</t>
  </si>
  <si>
    <t>3410160</t>
  </si>
  <si>
    <t>3410180</t>
  </si>
  <si>
    <t>3417610</t>
  </si>
  <si>
    <t>0411</t>
  </si>
  <si>
    <t>7610</t>
  </si>
  <si>
    <t>Сприяння розвитку малого та середнього підприємництва</t>
  </si>
  <si>
    <t>3700000</t>
  </si>
  <si>
    <t>Орган з питань фінансів</t>
  </si>
  <si>
    <t>3710000</t>
  </si>
  <si>
    <t>3710160</t>
  </si>
  <si>
    <t>3710180</t>
  </si>
  <si>
    <t>3717693</t>
  </si>
  <si>
    <t>3718600</t>
  </si>
  <si>
    <t>0170</t>
  </si>
  <si>
    <t>8600</t>
  </si>
  <si>
    <t>Обслуговування місцевого боргу</t>
  </si>
  <si>
    <t>3718700</t>
  </si>
  <si>
    <t>8700</t>
  </si>
  <si>
    <t>Резервний фонд</t>
  </si>
  <si>
    <t>4100000</t>
  </si>
  <si>
    <t>Районні державні адміністрації у містах з районним поділом за відсутності районних у містах рад</t>
  </si>
  <si>
    <t>4110000</t>
  </si>
  <si>
    <t>4110160</t>
  </si>
  <si>
    <t>4110180</t>
  </si>
  <si>
    <t>4116030</t>
  </si>
  <si>
    <t>4200000</t>
  </si>
  <si>
    <t>4210000</t>
  </si>
  <si>
    <t>4210160</t>
  </si>
  <si>
    <t>4210180</t>
  </si>
  <si>
    <t>4216030</t>
  </si>
  <si>
    <t>4300000</t>
  </si>
  <si>
    <t>4310000</t>
  </si>
  <si>
    <t>4310160</t>
  </si>
  <si>
    <t>4310180</t>
  </si>
  <si>
    <t>4316030</t>
  </si>
  <si>
    <t xml:space="preserve">від                              № </t>
  </si>
  <si>
    <t>(код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</si>
  <si>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</si>
  <si>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</si>
  <si>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04203100000</t>
  </si>
  <si>
    <t>видатків міського бюджету  на 2020 рік</t>
  </si>
  <si>
    <t>Найменування головного розпорядника коштів міського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</si>
  <si>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у тому числі інші субвенції з місцевого бюджету (на виконання доручень виборців депутатами обласної ради у 2020 році)</t>
  </si>
  <si>
    <t>в тому числі на виконання доручень виборців депутатами обласної ради у 2020 році</t>
  </si>
  <si>
    <t>у тому числі за рахунок залишку медичної субвенції з державного бюджету місцевим бюджетам, що утворився на 01.01.2020 року</t>
  </si>
  <si>
    <t xml:space="preserve">у тому числі за рахунок залишку субвенціїї з місцевого бюджету на здійснення переданих видатків у сфері охорони здоров'я за рахунок коштів медичної субвенції,ї що утворився на 01.01.2020 року </t>
  </si>
  <si>
    <t>у тому числі за рахунок місцевого бюджету (на виконання доручень виборців депутутами міської ради у 2020 році)</t>
  </si>
  <si>
    <t>0213242</t>
  </si>
  <si>
    <t>0216030</t>
  </si>
  <si>
    <t>Відділ з питань інфраструктурного розвитку Карнаухівського старостинського округу міської ради</t>
  </si>
  <si>
    <t>0614060</t>
  </si>
  <si>
    <t>Забезпеченння діяльності палаців і будинків культури, клубів, центрів дозвілля та інших клубних закладів</t>
  </si>
  <si>
    <t>1115011</t>
  </si>
  <si>
    <t>1115012</t>
  </si>
  <si>
    <t>0828</t>
  </si>
  <si>
    <t>освіта</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</si>
</sst>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
    <numFmt numFmtId="201" formatCode="#,##0.000"/>
    <numFmt numFmtId="202" formatCode="0.00_ ;[Red]\-0.00\ "/>
    <numFmt numFmtId="203" formatCode="#,##0.00_ ;[Red]\-#,##0.00\ "/>
  </numFmts>
  <fonts count="84">
    <font>
      <sz val="10"/>
      <name val="Arial Cyr"/>
      <family val="0"/>
    </font>
    <font>
      <sz val="8"/>
      <name val="Arial Cyr"/>
      <family val="0"/>
    </font>
    <font>
      <sz val="11"/>
      <name val="Times New Roman"/>
      <family val="1"/>
    </font>
    <font>
      <sz val="24"/>
      <name val="Times New Roman"/>
      <family val="1"/>
    </font>
    <font>
      <i/>
      <sz val="9"/>
      <name val="Times New Roman"/>
      <family val="1"/>
    </font>
    <font>
      <u val="single"/>
      <sz val="7.5"/>
      <color indexed="12"/>
      <name val="Arial Cyr"/>
      <family val="0"/>
    </font>
    <font>
      <u val="single"/>
      <sz val="7.5"/>
      <color indexed="36"/>
      <name val="Arial Cyr"/>
      <family val="0"/>
    </font>
    <font>
      <sz val="10"/>
      <name val="Times New Roman"/>
      <family val="1"/>
    </font>
    <font>
      <sz val="9"/>
      <name val="Times New Roman"/>
      <family val="1"/>
    </font>
    <font>
      <i/>
      <sz val="10"/>
      <name val="Times New Roman"/>
      <family val="1"/>
    </font>
    <font>
      <sz val="10"/>
      <color indexed="12"/>
      <name val="Times New Roman"/>
      <family val="1"/>
    </font>
    <font>
      <sz val="12"/>
      <name val="Times New Roman"/>
      <family val="1"/>
    </font>
    <font>
      <b/>
      <sz val="12"/>
      <name val="Times New Roman"/>
      <family val="1"/>
    </font>
    <font>
      <i/>
      <sz val="10"/>
      <color indexed="12"/>
      <name val="Times New Roman"/>
      <family val="1"/>
    </font>
    <font>
      <i/>
      <sz val="11"/>
      <name val="Times New Roman"/>
      <family val="1"/>
    </font>
    <font>
      <b/>
      <sz val="13"/>
      <name val="Times New Roman"/>
      <family val="1"/>
    </font>
    <font>
      <b/>
      <i/>
      <sz val="11"/>
      <name val="Times New Roman"/>
      <family val="1"/>
    </font>
    <font>
      <b/>
      <sz val="13"/>
      <color indexed="9"/>
      <name val="Times New Roman"/>
      <family val="1"/>
    </font>
    <font>
      <sz val="13"/>
      <color indexed="9"/>
      <name val="Times New Roman"/>
      <family val="1"/>
    </font>
    <font>
      <sz val="9"/>
      <color indexed="9"/>
      <name val="Times New Roman"/>
      <family val="1"/>
    </font>
    <font>
      <sz val="12"/>
      <color indexed="9"/>
      <name val="Times New Roman"/>
      <family val="1"/>
    </font>
    <font>
      <sz val="11"/>
      <color indexed="12"/>
      <name val="Times New Roman"/>
      <family val="1"/>
    </font>
    <font>
      <b/>
      <i/>
      <sz val="10"/>
      <name val="Times New Roman"/>
      <family val="1"/>
    </font>
    <font>
      <b/>
      <sz val="11"/>
      <name val="Times New Roman"/>
      <family val="1"/>
    </font>
    <font>
      <sz val="11"/>
      <color indexed="50"/>
      <name val="Times New Roman"/>
      <family val="1"/>
    </font>
    <font>
      <i/>
      <sz val="11"/>
      <color indexed="12"/>
      <name val="Times New Roman"/>
      <family val="1"/>
    </font>
    <font>
      <sz val="11"/>
      <color indexed="10"/>
      <name val="Times New Roman"/>
      <family val="1"/>
    </font>
    <font>
      <sz val="10"/>
      <color indexed="9"/>
      <name val="Times New Roman"/>
      <family val="1"/>
    </font>
    <font>
      <i/>
      <sz val="11"/>
      <color indexed="9"/>
      <name val="Times New Roman"/>
      <family val="1"/>
    </font>
    <font>
      <i/>
      <sz val="12"/>
      <color indexed="9"/>
      <name val="Times New Roman"/>
      <family val="1"/>
    </font>
    <font>
      <i/>
      <sz val="10"/>
      <color indexed="9"/>
      <name val="Times New Roman"/>
      <family val="1"/>
    </font>
    <font>
      <sz val="8"/>
      <color indexed="9"/>
      <name val="Times New Roman"/>
      <family val="1"/>
    </font>
    <font>
      <sz val="12"/>
      <color indexed="12"/>
      <name val="Times New Roman"/>
      <family val="1"/>
    </font>
    <font>
      <b/>
      <i/>
      <sz val="12"/>
      <name val="Times New Roman"/>
      <family val="1"/>
    </font>
    <font>
      <i/>
      <sz val="12"/>
      <color indexed="12"/>
      <name val="Times New Roman"/>
      <family val="1"/>
    </font>
    <font>
      <b/>
      <i/>
      <sz val="10"/>
      <color indexed="12"/>
      <name val="Times New Roman"/>
      <family val="1"/>
    </font>
    <font>
      <sz val="11"/>
      <name val="Arial Cyr"/>
      <family val="0"/>
    </font>
    <font>
      <sz val="8.6"/>
      <name val="Times New Roman"/>
      <family val="1"/>
    </font>
    <font>
      <sz val="9"/>
      <color indexed="12"/>
      <name val="Times New Roman"/>
      <family val="1"/>
    </font>
    <font>
      <b/>
      <sz val="9"/>
      <name val="Times New Roman"/>
      <family val="1"/>
    </font>
    <font>
      <sz val="9"/>
      <color indexed="50"/>
      <name val="Times New Roman"/>
      <family val="1"/>
    </font>
    <font>
      <b/>
      <i/>
      <sz val="9"/>
      <name val="Times New Roman"/>
      <family val="1"/>
    </font>
    <font>
      <b/>
      <sz val="9"/>
      <color indexed="9"/>
      <name val="Times New Roman"/>
      <family val="1"/>
    </font>
    <font>
      <i/>
      <sz val="9"/>
      <color indexed="9"/>
      <name val="Times New Roman"/>
      <family val="1"/>
    </font>
    <font>
      <sz val="9"/>
      <color indexed="10"/>
      <name val="Times New Roman"/>
      <family val="1"/>
    </font>
    <font>
      <b/>
      <sz val="9"/>
      <color indexed="36"/>
      <name val="Times New Roman"/>
      <family val="1"/>
    </font>
    <font>
      <sz val="16"/>
      <name val="Times New Roman"/>
      <family val="1"/>
    </font>
    <font>
      <u val="single"/>
      <sz val="12"/>
      <color indexed="8"/>
      <name val="Times New Roman"/>
      <family val="1"/>
    </font>
    <font>
      <sz val="10"/>
      <color indexed="8"/>
      <name val="Times New Roman"/>
      <family val="1"/>
    </font>
    <font>
      <sz val="14"/>
      <name val="Times New Roman"/>
      <family val="1"/>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10"/>
        <bgColor indexed="64"/>
      </patternFill>
    </fill>
    <fill>
      <patternFill patternType="solid">
        <fgColor indexed="17"/>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0"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9" fillId="25" borderId="1" applyNumberFormat="0" applyAlignment="0" applyProtection="0"/>
    <xf numFmtId="0" fontId="70" fillId="26" borderId="2" applyNumberFormat="0" applyAlignment="0" applyProtection="0"/>
    <xf numFmtId="0" fontId="71"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27" borderId="7" applyNumberFormat="0" applyAlignment="0" applyProtection="0"/>
    <xf numFmtId="0" fontId="77" fillId="0" borderId="0" applyNumberFormat="0" applyFill="0" applyBorder="0" applyAlignment="0" applyProtection="0"/>
    <xf numFmtId="0" fontId="78" fillId="28" borderId="0" applyNumberFormat="0" applyBorder="0" applyAlignment="0" applyProtection="0"/>
    <xf numFmtId="0" fontId="0" fillId="0" borderId="0">
      <alignment/>
      <protection/>
    </xf>
    <xf numFmtId="0" fontId="6" fillId="0" borderId="0" applyNumberFormat="0" applyFill="0" applyBorder="0" applyAlignment="0" applyProtection="0"/>
    <xf numFmtId="0" fontId="79" fillId="29" borderId="0" applyNumberFormat="0" applyBorder="0" applyAlignment="0" applyProtection="0"/>
    <xf numFmtId="0" fontId="8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3" fillId="31" borderId="0" applyNumberFormat="0" applyBorder="0" applyAlignment="0" applyProtection="0"/>
  </cellStyleXfs>
  <cellXfs count="324">
    <xf numFmtId="0" fontId="0" fillId="0" borderId="0" xfId="0" applyAlignment="1">
      <alignment/>
    </xf>
    <xf numFmtId="2" fontId="2" fillId="0" borderId="10" xfId="0" applyNumberFormat="1" applyFont="1" applyFill="1" applyBorder="1" applyAlignment="1">
      <alignment horizontal="left" vertical="center" wrapText="1"/>
    </xf>
    <xf numFmtId="1" fontId="7" fillId="0" borderId="10" xfId="0" applyNumberFormat="1" applyFont="1" applyBorder="1" applyAlignment="1">
      <alignment horizontal="center" vertical="center" wrapText="1"/>
    </xf>
    <xf numFmtId="2" fontId="9" fillId="0" borderId="10" xfId="0" applyNumberFormat="1" applyFont="1" applyBorder="1" applyAlignment="1">
      <alignment vertical="center" wrapText="1"/>
    </xf>
    <xf numFmtId="2" fontId="9" fillId="0" borderId="10" xfId="0" applyNumberFormat="1" applyFont="1" applyFill="1" applyBorder="1" applyAlignment="1">
      <alignment vertical="center" wrapText="1"/>
    </xf>
    <xf numFmtId="0" fontId="7" fillId="0" borderId="0" xfId="0" applyFont="1" applyAlignment="1">
      <alignment vertical="center" wrapText="1"/>
    </xf>
    <xf numFmtId="3" fontId="7" fillId="4" borderId="0" xfId="0" applyNumberFormat="1" applyFont="1" applyFill="1" applyBorder="1" applyAlignment="1">
      <alignment vertical="center" wrapText="1"/>
    </xf>
    <xf numFmtId="1" fontId="11" fillId="32" borderId="10" xfId="0" applyNumberFormat="1" applyFont="1" applyFill="1" applyBorder="1" applyAlignment="1">
      <alignment horizontal="center" vertical="center" wrapText="1"/>
    </xf>
    <xf numFmtId="1" fontId="11" fillId="0" borderId="10" xfId="0" applyNumberFormat="1" applyFont="1" applyBorder="1" applyAlignment="1">
      <alignment horizontal="center" vertical="center" wrapText="1"/>
    </xf>
    <xf numFmtId="1" fontId="11" fillId="0" borderId="10" xfId="0" applyNumberFormat="1" applyFont="1" applyFill="1" applyBorder="1" applyAlignment="1">
      <alignment horizontal="center" vertical="center" wrapText="1"/>
    </xf>
    <xf numFmtId="3" fontId="11" fillId="0" borderId="0" xfId="0" applyNumberFormat="1" applyFont="1" applyFill="1" applyBorder="1" applyAlignment="1">
      <alignment vertical="center" wrapText="1"/>
    </xf>
    <xf numFmtId="0" fontId="11" fillId="0" borderId="0" xfId="0" applyNumberFormat="1" applyFont="1" applyFill="1" applyAlignment="1" applyProtection="1">
      <alignment vertical="center" wrapText="1"/>
      <protection/>
    </xf>
    <xf numFmtId="3" fontId="11" fillId="4" borderId="0" xfId="0" applyNumberFormat="1" applyFont="1" applyFill="1" applyBorder="1" applyAlignment="1">
      <alignment vertical="center" wrapText="1"/>
    </xf>
    <xf numFmtId="49" fontId="11" fillId="0" borderId="10" xfId="0" applyNumberFormat="1" applyFont="1" applyBorder="1" applyAlignment="1">
      <alignment horizontal="center" vertical="center" wrapText="1"/>
    </xf>
    <xf numFmtId="0" fontId="4" fillId="0" borderId="0" xfId="0" applyFont="1" applyBorder="1" applyAlignment="1">
      <alignment vertical="center" wrapText="1"/>
    </xf>
    <xf numFmtId="49" fontId="9" fillId="0" borderId="10" xfId="0" applyNumberFormat="1" applyFont="1" applyBorder="1" applyAlignment="1" quotePrefix="1">
      <alignment horizontal="center" vertical="center" wrapText="1"/>
    </xf>
    <xf numFmtId="0" fontId="9" fillId="0" borderId="10" xfId="0" applyFont="1" applyBorder="1" applyAlignment="1" quotePrefix="1">
      <alignment horizontal="center" vertical="center" wrapText="1"/>
    </xf>
    <xf numFmtId="49" fontId="9" fillId="0" borderId="11" xfId="0" applyNumberFormat="1" applyFont="1" applyBorder="1" applyAlignment="1" quotePrefix="1">
      <alignment horizontal="center" vertical="center" wrapText="1"/>
    </xf>
    <xf numFmtId="2" fontId="9" fillId="0" borderId="10" xfId="0" applyNumberFormat="1" applyFont="1" applyBorder="1" applyAlignment="1">
      <alignment horizontal="left" vertical="center" wrapText="1"/>
    </xf>
    <xf numFmtId="4" fontId="9" fillId="32" borderId="10" xfId="0" applyNumberFormat="1" applyFont="1" applyFill="1" applyBorder="1" applyAlignment="1">
      <alignment vertical="center" wrapText="1"/>
    </xf>
    <xf numFmtId="4" fontId="9" fillId="0" borderId="10" xfId="0" applyNumberFormat="1" applyFont="1" applyBorder="1" applyAlignment="1">
      <alignment vertical="center" wrapText="1"/>
    </xf>
    <xf numFmtId="4" fontId="9" fillId="33" borderId="10" xfId="0" applyNumberFormat="1" applyFont="1" applyFill="1" applyBorder="1" applyAlignment="1">
      <alignment vertical="center" wrapText="1"/>
    </xf>
    <xf numFmtId="49" fontId="14" fillId="0" borderId="10" xfId="0" applyNumberFormat="1" applyFont="1" applyBorder="1" applyAlignment="1" quotePrefix="1">
      <alignment horizontal="center" vertical="center" wrapText="1"/>
    </xf>
    <xf numFmtId="0" fontId="14" fillId="0" borderId="10" xfId="0" applyFont="1" applyBorder="1" applyAlignment="1" quotePrefix="1">
      <alignment horizontal="center" vertical="center" wrapText="1"/>
    </xf>
    <xf numFmtId="4" fontId="14" fillId="32" borderId="10" xfId="0" applyNumberFormat="1" applyFont="1" applyFill="1" applyBorder="1" applyAlignment="1">
      <alignment vertical="center" wrapText="1"/>
    </xf>
    <xf numFmtId="4" fontId="14" fillId="0" borderId="10" xfId="0" applyNumberFormat="1" applyFont="1" applyBorder="1" applyAlignment="1">
      <alignment vertical="center" wrapText="1"/>
    </xf>
    <xf numFmtId="4" fontId="14" fillId="33" borderId="10" xfId="0" applyNumberFormat="1" applyFont="1" applyFill="1" applyBorder="1" applyAlignment="1">
      <alignment vertical="center" wrapText="1"/>
    </xf>
    <xf numFmtId="4" fontId="14" fillId="0" borderId="10" xfId="0" applyNumberFormat="1" applyFont="1" applyFill="1" applyBorder="1" applyAlignment="1">
      <alignment vertical="center" wrapText="1"/>
    </xf>
    <xf numFmtId="2" fontId="14" fillId="0" borderId="10" xfId="0" applyNumberFormat="1" applyFont="1" applyBorder="1" applyAlignment="1">
      <alignment vertical="center" wrapText="1"/>
    </xf>
    <xf numFmtId="49" fontId="9" fillId="0" borderId="10" xfId="0" applyNumberFormat="1" applyFont="1" applyBorder="1" applyAlignment="1">
      <alignment horizontal="center" vertical="center" wrapText="1"/>
    </xf>
    <xf numFmtId="49" fontId="15" fillId="32" borderId="10" xfId="0" applyNumberFormat="1" applyFont="1" applyFill="1" applyBorder="1" applyAlignment="1">
      <alignment horizontal="center" vertical="center" wrapText="1"/>
    </xf>
    <xf numFmtId="0" fontId="15" fillId="32" borderId="10" xfId="0" applyFont="1" applyFill="1" applyBorder="1" applyAlignment="1">
      <alignment horizontal="center" vertical="center" wrapText="1"/>
    </xf>
    <xf numFmtId="2" fontId="15" fillId="32" borderId="10" xfId="0" applyNumberFormat="1" applyFont="1" applyFill="1" applyBorder="1" applyAlignment="1">
      <alignment vertical="center" wrapText="1"/>
    </xf>
    <xf numFmtId="4" fontId="15" fillId="32" borderId="10" xfId="0" applyNumberFormat="1" applyFont="1" applyFill="1" applyBorder="1" applyAlignment="1">
      <alignment vertical="center" wrapText="1"/>
    </xf>
    <xf numFmtId="4" fontId="15" fillId="33" borderId="10" xfId="0" applyNumberFormat="1" applyFont="1" applyFill="1" applyBorder="1" applyAlignment="1">
      <alignment vertical="center" wrapText="1"/>
    </xf>
    <xf numFmtId="4" fontId="20" fillId="4" borderId="0" xfId="0" applyNumberFormat="1" applyFont="1" applyFill="1" applyBorder="1" applyAlignment="1">
      <alignment vertical="center" wrapText="1"/>
    </xf>
    <xf numFmtId="4" fontId="11"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 fontId="7" fillId="33" borderId="10" xfId="0" applyNumberFormat="1" applyFont="1" applyFill="1" applyBorder="1" applyAlignment="1">
      <alignment vertical="center" wrapText="1"/>
    </xf>
    <xf numFmtId="0" fontId="9" fillId="0" borderId="10" xfId="0" applyFont="1" applyBorder="1" applyAlignment="1">
      <alignment horizontal="center" vertical="center" wrapText="1"/>
    </xf>
    <xf numFmtId="49" fontId="9" fillId="0" borderId="10" xfId="0" applyNumberFormat="1" applyFont="1" applyFill="1" applyBorder="1" applyAlignment="1">
      <alignment horizontal="center" vertical="center" wrapText="1"/>
    </xf>
    <xf numFmtId="49" fontId="9" fillId="0" borderId="10" xfId="0" applyNumberFormat="1" applyFont="1" applyFill="1" applyBorder="1" applyAlignment="1" quotePrefix="1">
      <alignment horizontal="center" vertical="center" wrapText="1"/>
    </xf>
    <xf numFmtId="4" fontId="9" fillId="0" borderId="10" xfId="0" applyNumberFormat="1" applyFont="1" applyFill="1" applyBorder="1" applyAlignment="1">
      <alignment horizontal="right" vertical="center" wrapText="1"/>
    </xf>
    <xf numFmtId="4" fontId="9" fillId="0" borderId="10" xfId="0" applyNumberFormat="1" applyFont="1" applyFill="1" applyBorder="1" applyAlignment="1">
      <alignment vertical="center" wrapText="1"/>
    </xf>
    <xf numFmtId="2" fontId="2" fillId="0" borderId="10" xfId="0" applyNumberFormat="1" applyFont="1" applyBorder="1" applyAlignment="1" quotePrefix="1">
      <alignment vertical="center" wrapText="1"/>
    </xf>
    <xf numFmtId="2" fontId="2" fillId="0" borderId="10" xfId="0" applyNumberFormat="1" applyFont="1" applyBorder="1" applyAlignment="1">
      <alignment vertical="center" wrapText="1"/>
    </xf>
    <xf numFmtId="49" fontId="2" fillId="0" borderId="10" xfId="0" applyNumberFormat="1" applyFont="1" applyBorder="1" applyAlignment="1" quotePrefix="1">
      <alignment horizontal="center" vertical="center" wrapText="1"/>
    </xf>
    <xf numFmtId="0" fontId="2" fillId="0" borderId="10" xfId="0" applyFont="1" applyBorder="1" applyAlignment="1" quotePrefix="1">
      <alignment horizontal="center" vertical="center" wrapText="1"/>
    </xf>
    <xf numFmtId="4" fontId="2" fillId="32" borderId="10" xfId="0" applyNumberFormat="1" applyFont="1" applyFill="1" applyBorder="1" applyAlignment="1">
      <alignment vertical="center" wrapText="1"/>
    </xf>
    <xf numFmtId="4" fontId="2" fillId="0" borderId="10" xfId="0" applyNumberFormat="1" applyFont="1" applyBorder="1" applyAlignment="1">
      <alignment vertical="center" wrapText="1"/>
    </xf>
    <xf numFmtId="4" fontId="2" fillId="33" borderId="10" xfId="0" applyNumberFormat="1" applyFont="1" applyFill="1" applyBorder="1" applyAlignment="1">
      <alignment vertical="center" wrapText="1"/>
    </xf>
    <xf numFmtId="4" fontId="2" fillId="34" borderId="10" xfId="0" applyNumberFormat="1" applyFont="1" applyFill="1" applyBorder="1" applyAlignment="1">
      <alignment vertical="center" wrapText="1"/>
    </xf>
    <xf numFmtId="0" fontId="2" fillId="0" borderId="0" xfId="0" applyFont="1" applyAlignment="1">
      <alignment vertical="center" wrapText="1"/>
    </xf>
    <xf numFmtId="0" fontId="7" fillId="0" borderId="10" xfId="0" applyFont="1" applyBorder="1" applyAlignment="1" quotePrefix="1">
      <alignment horizontal="center" vertical="center" wrapText="1"/>
    </xf>
    <xf numFmtId="4" fontId="7" fillId="0" borderId="10" xfId="0" applyNumberFormat="1" applyFont="1" applyBorder="1" applyAlignment="1">
      <alignment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9" fillId="0" borderId="10" xfId="0" applyFont="1" applyFill="1" applyBorder="1" applyAlignment="1" quotePrefix="1">
      <alignment horizontal="center" vertical="center" wrapText="1"/>
    </xf>
    <xf numFmtId="49" fontId="2" fillId="0" borderId="10" xfId="0" applyNumberFormat="1" applyFont="1" applyBorder="1" applyAlignment="1">
      <alignment horizontal="center" vertical="center" wrapText="1"/>
    </xf>
    <xf numFmtId="4" fontId="2" fillId="0" borderId="10" xfId="0" applyNumberFormat="1" applyFont="1" applyFill="1" applyBorder="1" applyAlignment="1">
      <alignment vertical="center" wrapText="1"/>
    </xf>
    <xf numFmtId="0" fontId="2" fillId="0" borderId="10" xfId="0" applyFont="1" applyFill="1" applyBorder="1" applyAlignment="1" quotePrefix="1">
      <alignment horizontal="center" vertical="center" wrapText="1"/>
    </xf>
    <xf numFmtId="2" fontId="2" fillId="0" borderId="10" xfId="0" applyNumberFormat="1" applyFont="1" applyFill="1" applyBorder="1" applyAlignment="1">
      <alignment vertical="center" wrapText="1"/>
    </xf>
    <xf numFmtId="49" fontId="2" fillId="0" borderId="10" xfId="0" applyNumberFormat="1" applyFont="1" applyFill="1" applyBorder="1" applyAlignment="1" quotePrefix="1">
      <alignment horizontal="center" vertical="center" wrapText="1"/>
    </xf>
    <xf numFmtId="49" fontId="11" fillId="0" borderId="0" xfId="0" applyNumberFormat="1" applyFont="1" applyAlignment="1">
      <alignment vertical="center" wrapText="1"/>
    </xf>
    <xf numFmtId="0" fontId="11" fillId="0" borderId="0" xfId="0" applyFont="1" applyAlignment="1">
      <alignment vertical="center" wrapText="1"/>
    </xf>
    <xf numFmtId="4" fontId="11" fillId="0" borderId="0" xfId="0" applyNumberFormat="1" applyFont="1" applyAlignment="1">
      <alignment vertical="center" wrapText="1"/>
    </xf>
    <xf numFmtId="0" fontId="7" fillId="0" borderId="0" xfId="0" applyFont="1" applyBorder="1" applyAlignment="1">
      <alignment vertical="center" wrapText="1"/>
    </xf>
    <xf numFmtId="2" fontId="11" fillId="0" borderId="0" xfId="0" applyNumberFormat="1" applyFont="1" applyAlignment="1">
      <alignment vertical="center" wrapText="1"/>
    </xf>
    <xf numFmtId="4" fontId="7" fillId="0" borderId="0" xfId="0" applyNumberFormat="1" applyFont="1" applyAlignment="1">
      <alignment vertical="center" wrapText="1"/>
    </xf>
    <xf numFmtId="4" fontId="7" fillId="0" borderId="0" xfId="0" applyNumberFormat="1" applyFont="1" applyBorder="1" applyAlignment="1">
      <alignment vertical="center" wrapText="1"/>
    </xf>
    <xf numFmtId="4" fontId="11" fillId="0" borderId="0" xfId="0" applyNumberFormat="1" applyFont="1" applyAlignment="1">
      <alignment horizontal="right" vertical="center" wrapText="1"/>
    </xf>
    <xf numFmtId="1" fontId="8" fillId="0" borderId="0" xfId="0" applyNumberFormat="1" applyFont="1" applyBorder="1" applyAlignment="1">
      <alignment vertical="center" wrapText="1"/>
    </xf>
    <xf numFmtId="1" fontId="19" fillId="0" borderId="0" xfId="0" applyNumberFormat="1" applyFont="1" applyBorder="1" applyAlignment="1">
      <alignment vertical="center" wrapText="1"/>
    </xf>
    <xf numFmtId="1" fontId="8" fillId="0" borderId="0" xfId="0" applyNumberFormat="1" applyFont="1" applyAlignment="1">
      <alignment vertical="center" wrapText="1"/>
    </xf>
    <xf numFmtId="0" fontId="9" fillId="0" borderId="0" xfId="0" applyFont="1" applyBorder="1" applyAlignment="1">
      <alignment vertical="center" wrapText="1"/>
    </xf>
    <xf numFmtId="0" fontId="9" fillId="0" borderId="0" xfId="0" applyFont="1" applyAlignment="1">
      <alignment vertical="center" wrapText="1"/>
    </xf>
    <xf numFmtId="0" fontId="2" fillId="0" borderId="0" xfId="0" applyFont="1" applyBorder="1" applyAlignment="1">
      <alignment vertical="center" wrapText="1"/>
    </xf>
    <xf numFmtId="0" fontId="21" fillId="0" borderId="0" xfId="0" applyFont="1" applyBorder="1" applyAlignment="1">
      <alignment vertical="center" wrapText="1"/>
    </xf>
    <xf numFmtId="0" fontId="21" fillId="0" borderId="0" xfId="0" applyFont="1" applyAlignment="1">
      <alignment vertical="center" wrapText="1"/>
    </xf>
    <xf numFmtId="0" fontId="13" fillId="0" borderId="0" xfId="0" applyFont="1" applyBorder="1" applyAlignment="1">
      <alignment vertical="center" wrapText="1"/>
    </xf>
    <xf numFmtId="0" fontId="13" fillId="0" borderId="0" xfId="0" applyFont="1" applyAlignment="1">
      <alignment vertical="center" wrapText="1"/>
    </xf>
    <xf numFmtId="0" fontId="10" fillId="0" borderId="0" xfId="0" applyFont="1" applyAlignment="1">
      <alignment vertical="center" wrapText="1"/>
    </xf>
    <xf numFmtId="0" fontId="14" fillId="0" borderId="0" xfId="0" applyFont="1" applyBorder="1" applyAlignment="1">
      <alignment vertical="center" wrapText="1"/>
    </xf>
    <xf numFmtId="0" fontId="14" fillId="0" borderId="0" xfId="0" applyFont="1" applyAlignment="1">
      <alignment vertical="center" wrapText="1"/>
    </xf>
    <xf numFmtId="0" fontId="14" fillId="0" borderId="0" xfId="0" applyFont="1" applyFill="1" applyBorder="1" applyAlignment="1">
      <alignment vertical="center" wrapText="1"/>
    </xf>
    <xf numFmtId="0" fontId="14" fillId="0" borderId="0" xfId="0" applyFont="1" applyFill="1" applyAlignment="1">
      <alignment vertical="center" wrapText="1"/>
    </xf>
    <xf numFmtId="0" fontId="9" fillId="0" borderId="0" xfId="0" applyFont="1" applyFill="1" applyBorder="1" applyAlignment="1">
      <alignment vertical="center" wrapText="1"/>
    </xf>
    <xf numFmtId="0" fontId="9" fillId="0" borderId="0" xfId="0" applyFont="1" applyFill="1" applyAlignment="1">
      <alignment vertical="center" wrapText="1"/>
    </xf>
    <xf numFmtId="0" fontId="4" fillId="0" borderId="0" xfId="0" applyFont="1" applyAlignment="1">
      <alignment vertical="center" wrapText="1"/>
    </xf>
    <xf numFmtId="0" fontId="8" fillId="0" borderId="0" xfId="0" applyFont="1" applyBorder="1" applyAlignment="1">
      <alignment vertical="center" wrapText="1"/>
    </xf>
    <xf numFmtId="0" fontId="18" fillId="0" borderId="0" xfId="0" applyFont="1" applyBorder="1" applyAlignment="1">
      <alignment vertical="center" wrapText="1"/>
    </xf>
    <xf numFmtId="4" fontId="17" fillId="0" borderId="0" xfId="0" applyNumberFormat="1" applyFont="1" applyAlignment="1">
      <alignment vertical="center" wrapText="1"/>
    </xf>
    <xf numFmtId="0" fontId="15" fillId="0" borderId="0" xfId="0" applyFont="1" applyAlignment="1">
      <alignment vertical="center" wrapText="1"/>
    </xf>
    <xf numFmtId="4" fontId="11" fillId="0" borderId="0" xfId="0" applyNumberFormat="1" applyFont="1" applyFill="1" applyAlignment="1">
      <alignment vertical="center" wrapText="1"/>
    </xf>
    <xf numFmtId="0" fontId="2" fillId="35" borderId="0" xfId="0" applyFont="1" applyFill="1" applyBorder="1" applyAlignment="1">
      <alignment vertical="center" wrapText="1"/>
    </xf>
    <xf numFmtId="0" fontId="2" fillId="35" borderId="10" xfId="0" applyFont="1" applyFill="1" applyBorder="1" applyAlignment="1">
      <alignment vertical="center" wrapText="1"/>
    </xf>
    <xf numFmtId="0" fontId="2" fillId="0" borderId="10" xfId="0" applyFont="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alignment vertical="center" wrapText="1"/>
    </xf>
    <xf numFmtId="4" fontId="2" fillId="4" borderId="10" xfId="0" applyNumberFormat="1" applyFont="1" applyFill="1" applyBorder="1" applyAlignment="1">
      <alignment vertical="center" wrapText="1"/>
    </xf>
    <xf numFmtId="4" fontId="2" fillId="0" borderId="0" xfId="0" applyNumberFormat="1" applyFont="1" applyBorder="1" applyAlignment="1">
      <alignment vertical="center" wrapText="1"/>
    </xf>
    <xf numFmtId="0" fontId="2" fillId="0" borderId="12" xfId="0" applyFont="1" applyBorder="1" applyAlignment="1">
      <alignment vertical="center" wrapText="1"/>
    </xf>
    <xf numFmtId="0" fontId="2" fillId="35" borderId="12" xfId="0" applyFont="1" applyFill="1" applyBorder="1" applyAlignment="1">
      <alignment vertical="center" wrapText="1"/>
    </xf>
    <xf numFmtId="49" fontId="2" fillId="34" borderId="10" xfId="0" applyNumberFormat="1" applyFont="1" applyFill="1" applyBorder="1" applyAlignment="1" quotePrefix="1">
      <alignment horizontal="center" vertical="center" wrapText="1"/>
    </xf>
    <xf numFmtId="0" fontId="2" fillId="34" borderId="10" xfId="0" applyFont="1" applyFill="1" applyBorder="1" applyAlignment="1" quotePrefix="1">
      <alignment horizontal="center" vertical="center" wrapText="1"/>
    </xf>
    <xf numFmtId="49" fontId="2" fillId="34" borderId="10" xfId="0" applyNumberFormat="1" applyFont="1" applyFill="1" applyBorder="1" applyAlignment="1">
      <alignment horizontal="center" vertical="center" wrapText="1"/>
    </xf>
    <xf numFmtId="0" fontId="2" fillId="34" borderId="10" xfId="0" applyFont="1" applyFill="1" applyBorder="1" applyAlignment="1">
      <alignment vertical="center" wrapText="1"/>
    </xf>
    <xf numFmtId="0" fontId="2" fillId="0" borderId="10" xfId="0" applyFont="1" applyFill="1" applyBorder="1" applyAlignment="1">
      <alignment vertical="center" wrapText="1"/>
    </xf>
    <xf numFmtId="49" fontId="2" fillId="4" borderId="10" xfId="0" applyNumberFormat="1" applyFont="1" applyFill="1" applyBorder="1" applyAlignment="1">
      <alignment horizontal="center" vertical="center" wrapText="1"/>
    </xf>
    <xf numFmtId="0" fontId="2" fillId="4" borderId="10" xfId="0" applyFont="1" applyFill="1" applyBorder="1" applyAlignment="1" quotePrefix="1">
      <alignment horizontal="center" vertical="center" wrapText="1"/>
    </xf>
    <xf numFmtId="49" fontId="2" fillId="4" borderId="10" xfId="0" applyNumberFormat="1" applyFont="1" applyFill="1" applyBorder="1" applyAlignment="1" quotePrefix="1">
      <alignment horizontal="center" vertical="center" wrapText="1"/>
    </xf>
    <xf numFmtId="2" fontId="2" fillId="4" borderId="10" xfId="0" applyNumberFormat="1" applyFont="1" applyFill="1" applyBorder="1" applyAlignment="1">
      <alignment vertical="center" wrapText="1"/>
    </xf>
    <xf numFmtId="0" fontId="24" fillId="4" borderId="0" xfId="0" applyFont="1" applyFill="1" applyBorder="1" applyAlignment="1">
      <alignment vertical="center" wrapText="1"/>
    </xf>
    <xf numFmtId="0" fontId="24" fillId="4" borderId="0" xfId="0" applyFont="1" applyFill="1" applyAlignment="1">
      <alignment vertical="center" wrapText="1"/>
    </xf>
    <xf numFmtId="0" fontId="2" fillId="4" borderId="10" xfId="0" applyFont="1" applyFill="1" applyBorder="1" applyAlignment="1">
      <alignment horizontal="center" vertical="center" wrapText="1"/>
    </xf>
    <xf numFmtId="2" fontId="2" fillId="4" borderId="10" xfId="0" applyNumberFormat="1" applyFont="1" applyFill="1" applyBorder="1" applyAlignment="1" quotePrefix="1">
      <alignment vertical="center" wrapText="1"/>
    </xf>
    <xf numFmtId="0" fontId="2" fillId="4" borderId="0" xfId="0" applyFont="1" applyFill="1" applyBorder="1" applyAlignment="1">
      <alignment vertical="center" wrapText="1"/>
    </xf>
    <xf numFmtId="0" fontId="2" fillId="4" borderId="0" xfId="0" applyFont="1" applyFill="1" applyAlignment="1">
      <alignment vertical="center" wrapText="1"/>
    </xf>
    <xf numFmtId="49" fontId="14" fillId="0" borderId="11" xfId="0" applyNumberFormat="1" applyFont="1" applyBorder="1" applyAlignment="1" quotePrefix="1">
      <alignment horizontal="center" vertical="center" wrapText="1"/>
    </xf>
    <xf numFmtId="0" fontId="21" fillId="0" borderId="0" xfId="0" applyFont="1" applyFill="1" applyBorder="1" applyAlignment="1">
      <alignment vertical="center" wrapText="1"/>
    </xf>
    <xf numFmtId="0" fontId="21" fillId="0" borderId="0" xfId="0" applyFont="1" applyFill="1" applyAlignment="1">
      <alignment vertical="center" wrapText="1"/>
    </xf>
    <xf numFmtId="2" fontId="2" fillId="0" borderId="10" xfId="0" applyNumberFormat="1" applyFont="1" applyFill="1" applyBorder="1" applyAlignment="1" quotePrefix="1">
      <alignment vertical="center" wrapText="1"/>
    </xf>
    <xf numFmtId="4" fontId="26" fillId="34" borderId="10" xfId="0" applyNumberFormat="1" applyFont="1" applyFill="1" applyBorder="1" applyAlignment="1">
      <alignment vertical="center" wrapText="1"/>
    </xf>
    <xf numFmtId="0" fontId="2" fillId="36" borderId="0" xfId="0" applyFont="1" applyFill="1" applyBorder="1" applyAlignment="1">
      <alignment vertical="center" wrapText="1"/>
    </xf>
    <xf numFmtId="0" fontId="2" fillId="36" borderId="0" xfId="0" applyFont="1" applyFill="1" applyAlignment="1">
      <alignment vertical="center" wrapText="1"/>
    </xf>
    <xf numFmtId="49" fontId="2" fillId="0" borderId="13" xfId="0" applyNumberFormat="1" applyFont="1" applyBorder="1" applyAlignment="1">
      <alignment horizontal="center" vertical="center" wrapText="1"/>
    </xf>
    <xf numFmtId="49" fontId="2" fillId="0" borderId="0" xfId="0" applyNumberFormat="1" applyFont="1" applyAlignment="1">
      <alignment horizontal="center" vertical="center" wrapText="1"/>
    </xf>
    <xf numFmtId="2" fontId="2" fillId="0" borderId="13" xfId="0" applyNumberFormat="1" applyFont="1" applyBorder="1" applyAlignment="1">
      <alignment vertical="center" wrapText="1"/>
    </xf>
    <xf numFmtId="4" fontId="2" fillId="32" borderId="13" xfId="0" applyNumberFormat="1" applyFont="1" applyFill="1" applyBorder="1" applyAlignment="1">
      <alignment vertical="center" wrapText="1"/>
    </xf>
    <xf numFmtId="4" fontId="20" fillId="0" borderId="0" xfId="0" applyNumberFormat="1" applyFont="1" applyAlignment="1">
      <alignment vertical="center" wrapText="1"/>
    </xf>
    <xf numFmtId="0" fontId="27" fillId="0" borderId="0" xfId="0" applyFont="1" applyBorder="1" applyAlignment="1">
      <alignment vertical="center" wrapText="1"/>
    </xf>
    <xf numFmtId="4" fontId="2" fillId="0" borderId="10" xfId="0" applyNumberFormat="1" applyFont="1" applyBorder="1" applyAlignment="1">
      <alignment horizontal="center" vertical="center" wrapText="1"/>
    </xf>
    <xf numFmtId="49" fontId="28" fillId="0" borderId="0" xfId="0" applyNumberFormat="1" applyFont="1" applyAlignment="1">
      <alignment horizontal="center" vertical="center" wrapText="1"/>
    </xf>
    <xf numFmtId="0" fontId="28" fillId="0" borderId="0" xfId="0" applyFont="1" applyAlignment="1">
      <alignment horizontal="center" vertical="center" wrapText="1"/>
    </xf>
    <xf numFmtId="4" fontId="29" fillId="0" borderId="10" xfId="0" applyNumberFormat="1" applyFont="1" applyBorder="1" applyAlignment="1">
      <alignment horizontal="center" vertical="center" wrapText="1"/>
    </xf>
    <xf numFmtId="0" fontId="30" fillId="0" borderId="0" xfId="0" applyFont="1" applyBorder="1" applyAlignment="1">
      <alignment horizontal="center" vertical="center" wrapText="1"/>
    </xf>
    <xf numFmtId="0" fontId="28" fillId="0" borderId="0" xfId="0" applyFont="1" applyBorder="1" applyAlignment="1">
      <alignment horizontal="center" vertical="center" wrapText="1"/>
    </xf>
    <xf numFmtId="202" fontId="29" fillId="0" borderId="10" xfId="0" applyNumberFormat="1" applyFont="1" applyBorder="1" applyAlignment="1">
      <alignment horizontal="center" vertical="center" wrapText="1"/>
    </xf>
    <xf numFmtId="49" fontId="2" fillId="0" borderId="10" xfId="0" applyNumberFormat="1" applyFont="1" applyBorder="1" applyAlignment="1">
      <alignment vertical="center" wrapText="1"/>
    </xf>
    <xf numFmtId="4" fontId="22" fillId="32" borderId="10" xfId="0" applyNumberFormat="1" applyFont="1" applyFill="1" applyBorder="1" applyAlignment="1">
      <alignment vertical="center" wrapText="1"/>
    </xf>
    <xf numFmtId="4" fontId="16" fillId="0" borderId="10" xfId="0" applyNumberFormat="1" applyFont="1" applyBorder="1" applyAlignment="1">
      <alignment horizontal="center" vertical="center" wrapText="1"/>
    </xf>
    <xf numFmtId="4" fontId="31" fillId="0" borderId="0" xfId="0" applyNumberFormat="1" applyFont="1" applyBorder="1" applyAlignment="1">
      <alignment vertical="center" wrapText="1"/>
    </xf>
    <xf numFmtId="3" fontId="11" fillId="0" borderId="0" xfId="0" applyNumberFormat="1" applyFont="1" applyAlignment="1">
      <alignment vertical="center" wrapText="1"/>
    </xf>
    <xf numFmtId="0" fontId="2" fillId="0" borderId="14" xfId="0" applyFont="1" applyBorder="1" applyAlignment="1">
      <alignment vertical="center" wrapText="1"/>
    </xf>
    <xf numFmtId="0" fontId="32" fillId="0" borderId="0" xfId="0" applyFont="1" applyAlignment="1">
      <alignment vertical="center" wrapText="1"/>
    </xf>
    <xf numFmtId="0" fontId="2" fillId="0" borderId="10" xfId="0" applyFont="1" applyBorder="1" applyAlignment="1">
      <alignment horizontal="left" vertical="center" wrapText="1"/>
    </xf>
    <xf numFmtId="4" fontId="2" fillId="0" borderId="14" xfId="0" applyNumberFormat="1" applyFont="1" applyBorder="1" applyAlignment="1">
      <alignment vertical="center" wrapText="1"/>
    </xf>
    <xf numFmtId="0" fontId="2" fillId="0" borderId="15" xfId="0" applyFont="1" applyBorder="1" applyAlignment="1">
      <alignment vertical="center" wrapText="1"/>
    </xf>
    <xf numFmtId="49" fontId="11" fillId="0" borderId="0" xfId="0" applyNumberFormat="1" applyFont="1" applyBorder="1" applyAlignment="1">
      <alignment vertical="center" wrapText="1"/>
    </xf>
    <xf numFmtId="0" fontId="11" fillId="0" borderId="0" xfId="0" applyFont="1" applyBorder="1" applyAlignment="1">
      <alignment vertical="center" wrapText="1"/>
    </xf>
    <xf numFmtId="49" fontId="33" fillId="0" borderId="0" xfId="0" applyNumberFormat="1" applyFont="1" applyAlignment="1">
      <alignment vertical="center" wrapText="1"/>
    </xf>
    <xf numFmtId="0" fontId="33" fillId="0" borderId="0" xfId="0" applyFont="1" applyAlignment="1">
      <alignment vertical="center" wrapText="1"/>
    </xf>
    <xf numFmtId="0" fontId="22" fillId="0" borderId="10" xfId="0" applyFont="1" applyBorder="1" applyAlignment="1">
      <alignment horizontal="center" vertical="center" wrapText="1"/>
    </xf>
    <xf numFmtId="4" fontId="33" fillId="0" borderId="10" xfId="0" applyNumberFormat="1" applyFont="1" applyBorder="1" applyAlignment="1">
      <alignment horizontal="center" vertical="center" wrapText="1"/>
    </xf>
    <xf numFmtId="4" fontId="22" fillId="0" borderId="0" xfId="0" applyNumberFormat="1" applyFont="1" applyBorder="1" applyAlignment="1">
      <alignment vertical="center" wrapText="1"/>
    </xf>
    <xf numFmtId="0" fontId="22" fillId="0" borderId="0" xfId="0" applyFont="1" applyBorder="1" applyAlignment="1">
      <alignment vertical="center" wrapText="1"/>
    </xf>
    <xf numFmtId="0" fontId="22" fillId="0" borderId="0" xfId="0" applyFont="1" applyAlignment="1">
      <alignment vertical="center" wrapText="1"/>
    </xf>
    <xf numFmtId="4" fontId="33" fillId="0" borderId="0" xfId="0" applyNumberFormat="1" applyFont="1" applyBorder="1" applyAlignment="1">
      <alignment vertical="center" wrapText="1"/>
    </xf>
    <xf numFmtId="4" fontId="11" fillId="0" borderId="0" xfId="0" applyNumberFormat="1" applyFont="1" applyBorder="1" applyAlignment="1">
      <alignment horizontal="center" vertical="center" wrapText="1"/>
    </xf>
    <xf numFmtId="202" fontId="29" fillId="0" borderId="0" xfId="0" applyNumberFormat="1" applyFont="1" applyAlignment="1">
      <alignment vertical="center" wrapText="1"/>
    </xf>
    <xf numFmtId="202" fontId="28" fillId="0" borderId="0" xfId="0" applyNumberFormat="1" applyFont="1" applyAlignment="1">
      <alignment horizontal="center" vertical="center" wrapText="1"/>
    </xf>
    <xf numFmtId="203" fontId="29" fillId="0" borderId="0" xfId="0" applyNumberFormat="1" applyFont="1" applyAlignment="1">
      <alignment vertical="center" wrapText="1"/>
    </xf>
    <xf numFmtId="202" fontId="30" fillId="0" borderId="0" xfId="0" applyNumberFormat="1" applyFont="1" applyBorder="1" applyAlignment="1">
      <alignment vertical="center" wrapText="1"/>
    </xf>
    <xf numFmtId="202" fontId="30" fillId="0" borderId="0" xfId="0" applyNumberFormat="1" applyFont="1" applyAlignment="1">
      <alignment vertical="center" wrapText="1"/>
    </xf>
    <xf numFmtId="202" fontId="25" fillId="0" borderId="0" xfId="0" applyNumberFormat="1" applyFont="1" applyAlignment="1">
      <alignment horizontal="right" vertical="center" wrapText="1"/>
    </xf>
    <xf numFmtId="203" fontId="34" fillId="0" borderId="10" xfId="0" applyNumberFormat="1" applyFont="1" applyBorder="1" applyAlignment="1">
      <alignment horizontal="center" vertical="center" wrapText="1"/>
    </xf>
    <xf numFmtId="4" fontId="10" fillId="0" borderId="10" xfId="0" applyNumberFormat="1" applyFont="1" applyBorder="1" applyAlignment="1">
      <alignment vertical="center" wrapText="1"/>
    </xf>
    <xf numFmtId="4" fontId="35" fillId="0" borderId="10" xfId="0" applyNumberFormat="1" applyFont="1" applyBorder="1" applyAlignment="1">
      <alignment vertical="center" wrapText="1"/>
    </xf>
    <xf numFmtId="0" fontId="35" fillId="0" borderId="0" xfId="0" applyFont="1" applyAlignment="1">
      <alignment horizontal="right" vertical="center" wrapText="1"/>
    </xf>
    <xf numFmtId="49" fontId="12" fillId="32" borderId="10" xfId="0" applyNumberFormat="1" applyFont="1" applyFill="1" applyBorder="1" applyAlignment="1" quotePrefix="1">
      <alignment horizontal="center" vertical="center" wrapText="1"/>
    </xf>
    <xf numFmtId="0" fontId="12" fillId="32" borderId="10" xfId="0" applyFont="1" applyFill="1" applyBorder="1" applyAlignment="1">
      <alignment horizontal="center" vertical="center" wrapText="1"/>
    </xf>
    <xf numFmtId="49" fontId="12" fillId="32" borderId="10" xfId="0" applyNumberFormat="1" applyFont="1" applyFill="1" applyBorder="1" applyAlignment="1">
      <alignment horizontal="center" vertical="center" wrapText="1"/>
    </xf>
    <xf numFmtId="2" fontId="12" fillId="32" borderId="10" xfId="0" applyNumberFormat="1" applyFont="1" applyFill="1" applyBorder="1" applyAlignment="1">
      <alignment vertical="center" wrapText="1"/>
    </xf>
    <xf numFmtId="4" fontId="12" fillId="32" borderId="10" xfId="0" applyNumberFormat="1" applyFont="1" applyFill="1" applyBorder="1" applyAlignment="1">
      <alignment vertical="center" wrapText="1"/>
    </xf>
    <xf numFmtId="4" fontId="12" fillId="33" borderId="10" xfId="0" applyNumberFormat="1" applyFont="1" applyFill="1" applyBorder="1" applyAlignment="1">
      <alignment vertical="center" wrapText="1"/>
    </xf>
    <xf numFmtId="0" fontId="12" fillId="32" borderId="0" xfId="0" applyFont="1" applyFill="1" applyBorder="1" applyAlignment="1">
      <alignment vertical="center" wrapText="1"/>
    </xf>
    <xf numFmtId="0" fontId="12" fillId="32" borderId="0" xfId="0" applyFont="1" applyFill="1" applyAlignment="1">
      <alignment vertical="center" wrapText="1"/>
    </xf>
    <xf numFmtId="2" fontId="12" fillId="32" borderId="10" xfId="0" applyNumberFormat="1" applyFont="1" applyFill="1" applyBorder="1" applyAlignment="1" quotePrefix="1">
      <alignment vertical="center" wrapText="1"/>
    </xf>
    <xf numFmtId="0" fontId="11" fillId="32" borderId="0" xfId="0" applyFont="1" applyFill="1" applyBorder="1" applyAlignment="1">
      <alignment vertical="center" wrapText="1"/>
    </xf>
    <xf numFmtId="0" fontId="11" fillId="32" borderId="0" xfId="0" applyFont="1" applyFill="1" applyAlignment="1">
      <alignment vertical="center" wrapText="1"/>
    </xf>
    <xf numFmtId="49" fontId="12" fillId="33" borderId="10" xfId="0" applyNumberFormat="1" applyFont="1" applyFill="1" applyBorder="1" applyAlignment="1" quotePrefix="1">
      <alignment horizontal="center" vertical="center" wrapText="1"/>
    </xf>
    <xf numFmtId="0" fontId="12" fillId="33" borderId="10" xfId="0" applyFont="1" applyFill="1" applyBorder="1" applyAlignment="1">
      <alignment horizontal="center" vertical="center" wrapText="1"/>
    </xf>
    <xf numFmtId="49" fontId="12" fillId="33" borderId="10" xfId="0" applyNumberFormat="1" applyFont="1" applyFill="1" applyBorder="1" applyAlignment="1">
      <alignment horizontal="center" vertical="center" wrapText="1"/>
    </xf>
    <xf numFmtId="2" fontId="12" fillId="33" borderId="10" xfId="0" applyNumberFormat="1" applyFont="1" applyFill="1" applyBorder="1" applyAlignment="1">
      <alignment vertical="center" wrapText="1"/>
    </xf>
    <xf numFmtId="0" fontId="12" fillId="33" borderId="0" xfId="0" applyFont="1" applyFill="1" applyBorder="1" applyAlignment="1">
      <alignment vertical="center" wrapText="1"/>
    </xf>
    <xf numFmtId="0" fontId="12" fillId="33" borderId="0" xfId="0" applyFont="1" applyFill="1" applyAlignment="1">
      <alignment vertical="center" wrapText="1"/>
    </xf>
    <xf numFmtId="0" fontId="12" fillId="32" borderId="10" xfId="0" applyFont="1" applyFill="1" applyBorder="1" applyAlignment="1" quotePrefix="1">
      <alignment horizontal="center" vertical="center" wrapText="1"/>
    </xf>
    <xf numFmtId="4" fontId="22" fillId="4" borderId="10" xfId="0" applyNumberFormat="1" applyFont="1" applyFill="1" applyBorder="1" applyAlignment="1">
      <alignment horizontal="right" vertical="center" wrapText="1"/>
    </xf>
    <xf numFmtId="4" fontId="22" fillId="0" borderId="10" xfId="0" applyNumberFormat="1" applyFont="1" applyBorder="1" applyAlignment="1">
      <alignment horizontal="right" vertical="center" wrapText="1"/>
    </xf>
    <xf numFmtId="4" fontId="21" fillId="0" borderId="0" xfId="0" applyNumberFormat="1" applyFont="1" applyBorder="1" applyAlignment="1">
      <alignment vertical="center" wrapText="1"/>
    </xf>
    <xf numFmtId="0" fontId="9" fillId="0" borderId="0" xfId="0" applyFont="1" applyAlignment="1">
      <alignment horizontal="justify" vertical="center" wrapText="1"/>
    </xf>
    <xf numFmtId="49" fontId="7" fillId="0" borderId="10" xfId="0" applyNumberFormat="1" applyFont="1" applyBorder="1" applyAlignment="1" quotePrefix="1">
      <alignment horizontal="center" vertical="center" wrapText="1"/>
    </xf>
    <xf numFmtId="2" fontId="7" fillId="0" borderId="10" xfId="0" applyNumberFormat="1" applyFont="1" applyBorder="1" applyAlignment="1">
      <alignment vertical="center" wrapText="1"/>
    </xf>
    <xf numFmtId="4" fontId="8" fillId="4" borderId="0" xfId="0" applyNumberFormat="1" applyFont="1" applyFill="1" applyBorder="1" applyAlignment="1">
      <alignment vertical="center" wrapText="1"/>
    </xf>
    <xf numFmtId="0" fontId="38" fillId="0" borderId="0" xfId="0" applyFont="1" applyBorder="1" applyAlignment="1">
      <alignment vertical="center" wrapText="1"/>
    </xf>
    <xf numFmtId="4" fontId="8" fillId="0" borderId="0" xfId="0" applyNumberFormat="1" applyFont="1" applyBorder="1" applyAlignment="1">
      <alignment vertical="center" wrapText="1"/>
    </xf>
    <xf numFmtId="0" fontId="8" fillId="4" borderId="0" xfId="0" applyFont="1" applyFill="1" applyBorder="1" applyAlignment="1">
      <alignment vertical="center" wrapText="1"/>
    </xf>
    <xf numFmtId="0" fontId="39" fillId="32" borderId="0" xfId="0" applyFont="1" applyFill="1" applyBorder="1" applyAlignment="1">
      <alignment vertical="center" wrapText="1"/>
    </xf>
    <xf numFmtId="4" fontId="4" fillId="4" borderId="0" xfId="0" applyNumberFormat="1" applyFont="1" applyFill="1" applyBorder="1" applyAlignment="1">
      <alignment vertical="center" wrapText="1"/>
    </xf>
    <xf numFmtId="0" fontId="8" fillId="35" borderId="0" xfId="0" applyFont="1" applyFill="1" applyBorder="1" applyAlignment="1">
      <alignment vertical="center" wrapText="1"/>
    </xf>
    <xf numFmtId="0" fontId="4" fillId="0" borderId="0" xfId="0" applyFont="1" applyFill="1" applyBorder="1" applyAlignment="1">
      <alignment vertical="center" wrapText="1"/>
    </xf>
    <xf numFmtId="0" fontId="8" fillId="0" borderId="0" xfId="0" applyFont="1" applyFill="1" applyBorder="1" applyAlignment="1">
      <alignment vertical="center" wrapText="1"/>
    </xf>
    <xf numFmtId="0" fontId="8" fillId="32" borderId="0" xfId="0" applyFont="1" applyFill="1" applyBorder="1" applyAlignment="1">
      <alignment vertical="center" wrapText="1"/>
    </xf>
    <xf numFmtId="4" fontId="8" fillId="0" borderId="0" xfId="0" applyNumberFormat="1" applyFont="1" applyFill="1" applyBorder="1" applyAlignment="1">
      <alignment vertical="center" wrapText="1"/>
    </xf>
    <xf numFmtId="4" fontId="39" fillId="33" borderId="0" xfId="0" applyNumberFormat="1" applyFont="1" applyFill="1" applyBorder="1" applyAlignment="1">
      <alignment vertical="center" wrapText="1"/>
    </xf>
    <xf numFmtId="0" fontId="39" fillId="33" borderId="0" xfId="0" applyFont="1" applyFill="1" applyBorder="1" applyAlignment="1">
      <alignment vertical="center" wrapText="1"/>
    </xf>
    <xf numFmtId="4" fontId="39" fillId="4" borderId="0" xfId="0" applyNumberFormat="1" applyFont="1" applyFill="1" applyBorder="1" applyAlignment="1">
      <alignment vertical="center" wrapText="1"/>
    </xf>
    <xf numFmtId="4" fontId="40" fillId="4" borderId="0" xfId="0" applyNumberFormat="1" applyFont="1" applyFill="1" applyBorder="1" applyAlignment="1">
      <alignment vertical="center" wrapText="1"/>
    </xf>
    <xf numFmtId="0" fontId="40" fillId="4" borderId="0" xfId="0" applyFont="1" applyFill="1" applyBorder="1" applyAlignment="1">
      <alignment vertical="center" wrapText="1"/>
    </xf>
    <xf numFmtId="4" fontId="39" fillId="32" borderId="0" xfId="0" applyNumberFormat="1" applyFont="1" applyFill="1" applyBorder="1" applyAlignment="1">
      <alignment vertical="center" wrapText="1"/>
    </xf>
    <xf numFmtId="0" fontId="38" fillId="0" borderId="0" xfId="0" applyFont="1" applyFill="1" applyBorder="1" applyAlignment="1">
      <alignment vertical="center" wrapText="1"/>
    </xf>
    <xf numFmtId="4" fontId="39" fillId="0" borderId="0" xfId="0" applyNumberFormat="1" applyFont="1" applyAlignment="1">
      <alignment vertical="center" wrapText="1"/>
    </xf>
    <xf numFmtId="4" fontId="41" fillId="0" borderId="0" xfId="0" applyNumberFormat="1" applyFont="1" applyAlignment="1">
      <alignment vertical="center" wrapText="1"/>
    </xf>
    <xf numFmtId="0" fontId="8" fillId="36" borderId="0" xfId="0" applyFont="1" applyFill="1" applyBorder="1" applyAlignment="1">
      <alignment vertical="center" wrapText="1"/>
    </xf>
    <xf numFmtId="4" fontId="42" fillId="0" borderId="0" xfId="0" applyNumberFormat="1" applyFont="1" applyBorder="1" applyAlignment="1">
      <alignment vertical="center" wrapText="1"/>
    </xf>
    <xf numFmtId="4" fontId="19" fillId="0" borderId="0" xfId="0" applyNumberFormat="1" applyFont="1" applyBorder="1" applyAlignment="1">
      <alignment vertical="center" wrapText="1"/>
    </xf>
    <xf numFmtId="0" fontId="19" fillId="0" borderId="0" xfId="0" applyFont="1" applyBorder="1" applyAlignment="1">
      <alignment horizontal="right" vertical="center" wrapText="1"/>
    </xf>
    <xf numFmtId="4" fontId="19" fillId="0" borderId="0" xfId="0" applyNumberFormat="1" applyFont="1" applyBorder="1" applyAlignment="1">
      <alignment horizontal="right" vertical="center" wrapText="1"/>
    </xf>
    <xf numFmtId="4" fontId="43" fillId="0" borderId="0" xfId="0" applyNumberFormat="1" applyFont="1" applyBorder="1" applyAlignment="1">
      <alignment horizontal="right" vertical="center" wrapText="1"/>
    </xf>
    <xf numFmtId="0" fontId="43" fillId="0" borderId="0" xfId="0" applyFont="1" applyBorder="1" applyAlignment="1">
      <alignment horizontal="right" vertical="center" wrapText="1"/>
    </xf>
    <xf numFmtId="0" fontId="19" fillId="0" borderId="0" xfId="0" applyFont="1" applyBorder="1" applyAlignment="1">
      <alignment vertical="center" wrapText="1"/>
    </xf>
    <xf numFmtId="0" fontId="44" fillId="0" borderId="0" xfId="0" applyFont="1" applyBorder="1" applyAlignment="1">
      <alignment vertical="center" wrapText="1"/>
    </xf>
    <xf numFmtId="4" fontId="41" fillId="0" borderId="0" xfId="0" applyNumberFormat="1" applyFont="1" applyBorder="1" applyAlignment="1">
      <alignment vertical="center" wrapText="1"/>
    </xf>
    <xf numFmtId="202" fontId="43" fillId="0" borderId="0" xfId="0" applyNumberFormat="1" applyFont="1" applyBorder="1" applyAlignment="1">
      <alignment vertical="center" wrapText="1"/>
    </xf>
    <xf numFmtId="4" fontId="45" fillId="36" borderId="0" xfId="0" applyNumberFormat="1" applyFont="1" applyFill="1" applyAlignment="1">
      <alignment vertical="center" wrapText="1"/>
    </xf>
    <xf numFmtId="4" fontId="27" fillId="0" borderId="0" xfId="0" applyNumberFormat="1" applyFont="1" applyBorder="1" applyAlignment="1">
      <alignment vertical="center" wrapText="1"/>
    </xf>
    <xf numFmtId="0" fontId="2" fillId="0" borderId="10" xfId="0" applyFont="1" applyFill="1" applyBorder="1" applyAlignment="1">
      <alignment wrapText="1"/>
    </xf>
    <xf numFmtId="49" fontId="14" fillId="0" borderId="10" xfId="0" applyNumberFormat="1" applyFont="1" applyFill="1" applyBorder="1" applyAlignment="1" quotePrefix="1">
      <alignment horizontal="center" vertical="center" wrapText="1"/>
    </xf>
    <xf numFmtId="0" fontId="14" fillId="0" borderId="10" xfId="0" applyFont="1" applyFill="1" applyBorder="1" applyAlignment="1" quotePrefix="1">
      <alignment horizontal="center" vertical="center" wrapText="1"/>
    </xf>
    <xf numFmtId="0" fontId="14" fillId="0" borderId="10" xfId="0" applyFont="1" applyFill="1" applyBorder="1" applyAlignment="1">
      <alignment vertical="center" wrapText="1"/>
    </xf>
    <xf numFmtId="0" fontId="46" fillId="0" borderId="0" xfId="0" applyFont="1" applyBorder="1" applyAlignment="1">
      <alignment vertical="center" wrapText="1"/>
    </xf>
    <xf numFmtId="4" fontId="46" fillId="0" borderId="0" xfId="0" applyNumberFormat="1" applyFont="1" applyBorder="1" applyAlignment="1">
      <alignment vertical="center" wrapText="1"/>
    </xf>
    <xf numFmtId="0" fontId="43" fillId="0" borderId="0" xfId="0" applyFont="1" applyBorder="1" applyAlignment="1">
      <alignment vertical="center" wrapText="1"/>
    </xf>
    <xf numFmtId="4" fontId="7" fillId="0" borderId="10" xfId="0" applyNumberFormat="1" applyFont="1" applyFill="1" applyBorder="1" applyAlignment="1">
      <alignment vertical="center" wrapText="1"/>
    </xf>
    <xf numFmtId="4" fontId="9" fillId="0" borderId="0" xfId="0" applyNumberFormat="1" applyFont="1" applyFill="1" applyBorder="1" applyAlignment="1">
      <alignment vertical="center" wrapText="1"/>
    </xf>
    <xf numFmtId="4" fontId="11" fillId="0" borderId="0" xfId="0" applyNumberFormat="1" applyFont="1" applyFill="1" applyBorder="1" applyAlignment="1">
      <alignment vertical="center" wrapText="1"/>
    </xf>
    <xf numFmtId="4" fontId="29" fillId="0" borderId="10" xfId="0" applyNumberFormat="1" applyFont="1" applyFill="1" applyBorder="1" applyAlignment="1">
      <alignment horizontal="center" vertical="center" wrapText="1"/>
    </xf>
    <xf numFmtId="4" fontId="7" fillId="0" borderId="0" xfId="0" applyNumberFormat="1" applyFont="1" applyFill="1" applyAlignment="1">
      <alignment vertical="center" wrapText="1"/>
    </xf>
    <xf numFmtId="4" fontId="2"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4" fontId="11" fillId="0" borderId="0" xfId="0" applyNumberFormat="1" applyFont="1" applyFill="1" applyBorder="1" applyAlignment="1">
      <alignment horizontal="center" vertical="center" wrapText="1"/>
    </xf>
    <xf numFmtId="203" fontId="29" fillId="0" borderId="0" xfId="0" applyNumberFormat="1" applyFont="1" applyFill="1" applyAlignment="1">
      <alignment vertical="center" wrapText="1"/>
    </xf>
    <xf numFmtId="203" fontId="34" fillId="0" borderId="10" xfId="0" applyNumberFormat="1" applyFont="1" applyFill="1" applyBorder="1" applyAlignment="1">
      <alignment horizontal="center" vertical="center" wrapText="1"/>
    </xf>
    <xf numFmtId="4" fontId="10" fillId="0" borderId="10" xfId="0" applyNumberFormat="1" applyFont="1" applyFill="1" applyBorder="1" applyAlignment="1">
      <alignment vertical="center" wrapText="1"/>
    </xf>
    <xf numFmtId="4" fontId="35" fillId="0" borderId="10" xfId="0" applyNumberFormat="1" applyFont="1" applyFill="1" applyBorder="1" applyAlignment="1">
      <alignment vertical="center" wrapText="1"/>
    </xf>
    <xf numFmtId="0" fontId="43" fillId="0" borderId="0" xfId="0" applyFont="1" applyBorder="1" applyAlignment="1">
      <alignment vertical="center" wrapText="1"/>
    </xf>
    <xf numFmtId="0" fontId="12" fillId="36" borderId="0" xfId="0" applyFont="1" applyFill="1" applyAlignment="1">
      <alignment vertical="center" wrapText="1"/>
    </xf>
    <xf numFmtId="49" fontId="12" fillId="36" borderId="0" xfId="0" applyNumberFormat="1" applyFont="1" applyFill="1" applyAlignment="1">
      <alignment vertical="center" wrapText="1"/>
    </xf>
    <xf numFmtId="0" fontId="23" fillId="36" borderId="15" xfId="0" applyFont="1" applyFill="1" applyBorder="1" applyAlignment="1">
      <alignment vertical="center" wrapText="1"/>
    </xf>
    <xf numFmtId="4" fontId="22" fillId="36" borderId="10" xfId="0" applyNumberFormat="1" applyFont="1" applyFill="1" applyBorder="1" applyAlignment="1">
      <alignment vertical="center" wrapText="1"/>
    </xf>
    <xf numFmtId="4" fontId="2" fillId="36" borderId="10" xfId="0" applyNumberFormat="1" applyFont="1" applyFill="1" applyBorder="1" applyAlignment="1">
      <alignment horizontal="center" vertical="center" wrapText="1"/>
    </xf>
    <xf numFmtId="4" fontId="22" fillId="36" borderId="10" xfId="0" applyNumberFormat="1" applyFont="1" applyFill="1" applyBorder="1" applyAlignment="1">
      <alignment horizontal="right" vertical="center" wrapText="1"/>
    </xf>
    <xf numFmtId="4" fontId="39" fillId="36" borderId="0" xfId="0" applyNumberFormat="1" applyFont="1" applyFill="1" applyBorder="1" applyAlignment="1">
      <alignment vertical="center" wrapText="1"/>
    </xf>
    <xf numFmtId="4" fontId="12" fillId="36" borderId="0" xfId="0" applyNumberFormat="1" applyFont="1" applyFill="1" applyBorder="1" applyAlignment="1">
      <alignment vertical="center" wrapText="1"/>
    </xf>
    <xf numFmtId="0" fontId="12" fillId="36" borderId="0" xfId="0" applyFont="1" applyFill="1" applyBorder="1" applyAlignment="1">
      <alignment vertical="center" wrapText="1"/>
    </xf>
    <xf numFmtId="2" fontId="2" fillId="34" borderId="10" xfId="0" applyNumberFormat="1" applyFont="1" applyFill="1" applyBorder="1" applyAlignment="1" quotePrefix="1">
      <alignment vertical="center" wrapText="1"/>
    </xf>
    <xf numFmtId="4" fontId="8" fillId="34" borderId="0" xfId="0" applyNumberFormat="1" applyFont="1" applyFill="1" applyBorder="1" applyAlignment="1">
      <alignment vertical="center" wrapText="1"/>
    </xf>
    <xf numFmtId="0" fontId="8" fillId="34" borderId="0" xfId="0" applyFont="1" applyFill="1" applyBorder="1" applyAlignment="1">
      <alignment vertical="center" wrapText="1"/>
    </xf>
    <xf numFmtId="0" fontId="2" fillId="34" borderId="0" xfId="0" applyFont="1" applyFill="1" applyBorder="1" applyAlignment="1">
      <alignment vertical="center" wrapText="1"/>
    </xf>
    <xf numFmtId="0" fontId="2" fillId="34" borderId="0" xfId="0" applyFont="1" applyFill="1" applyAlignment="1">
      <alignment vertical="center" wrapText="1"/>
    </xf>
    <xf numFmtId="0" fontId="2" fillId="34" borderId="10" xfId="0" applyFont="1" applyFill="1" applyBorder="1" applyAlignment="1">
      <alignment horizontal="center" vertical="center" wrapText="1"/>
    </xf>
    <xf numFmtId="2" fontId="2" fillId="34" borderId="10" xfId="0" applyNumberFormat="1" applyFont="1" applyFill="1" applyBorder="1" applyAlignment="1">
      <alignment horizontal="left" vertical="center" wrapText="1"/>
    </xf>
    <xf numFmtId="0" fontId="38" fillId="34" borderId="0" xfId="0" applyFont="1" applyFill="1" applyBorder="1" applyAlignment="1">
      <alignment vertical="center" wrapText="1"/>
    </xf>
    <xf numFmtId="0" fontId="21" fillId="34" borderId="0" xfId="0" applyFont="1" applyFill="1" applyBorder="1" applyAlignment="1">
      <alignment vertical="center" wrapText="1"/>
    </xf>
    <xf numFmtId="0" fontId="21" fillId="34" borderId="0" xfId="0" applyFont="1" applyFill="1" applyAlignment="1">
      <alignment vertical="center" wrapText="1"/>
    </xf>
    <xf numFmtId="49" fontId="9" fillId="34" borderId="10" xfId="0" applyNumberFormat="1" applyFont="1" applyFill="1" applyBorder="1" applyAlignment="1" quotePrefix="1">
      <alignment horizontal="center" vertical="center" wrapText="1"/>
    </xf>
    <xf numFmtId="0" fontId="9" fillId="34" borderId="10" xfId="0" applyFont="1" applyFill="1" applyBorder="1" applyAlignment="1" quotePrefix="1">
      <alignment horizontal="center" vertical="center" wrapText="1"/>
    </xf>
    <xf numFmtId="0" fontId="9" fillId="34" borderId="0" xfId="0" applyFont="1" applyFill="1" applyAlignment="1">
      <alignment horizontal="justify" vertical="center" wrapText="1"/>
    </xf>
    <xf numFmtId="4" fontId="9" fillId="34" borderId="10" xfId="0" applyNumberFormat="1" applyFont="1" applyFill="1" applyBorder="1" applyAlignment="1">
      <alignment vertical="center" wrapText="1"/>
    </xf>
    <xf numFmtId="4" fontId="4" fillId="34" borderId="0" xfId="0" applyNumberFormat="1" applyFont="1" applyFill="1" applyBorder="1" applyAlignment="1">
      <alignment vertical="center" wrapText="1"/>
    </xf>
    <xf numFmtId="0" fontId="43" fillId="34" borderId="0" xfId="0" applyFont="1" applyFill="1" applyBorder="1" applyAlignment="1">
      <alignment vertical="center" wrapText="1"/>
    </xf>
    <xf numFmtId="0" fontId="9" fillId="34" borderId="0" xfId="0" applyFont="1" applyFill="1" applyBorder="1" applyAlignment="1">
      <alignment vertical="center" wrapText="1"/>
    </xf>
    <xf numFmtId="0" fontId="9" fillId="34" borderId="0" xfId="0" applyFont="1" applyFill="1" applyAlignment="1">
      <alignment vertical="center" wrapText="1"/>
    </xf>
    <xf numFmtId="49" fontId="14" fillId="34" borderId="10" xfId="0" applyNumberFormat="1" applyFont="1" applyFill="1" applyBorder="1" applyAlignment="1" quotePrefix="1">
      <alignment horizontal="center" vertical="center" wrapText="1"/>
    </xf>
    <xf numFmtId="0" fontId="14" fillId="34" borderId="10" xfId="0" applyFont="1" applyFill="1" applyBorder="1" applyAlignment="1" quotePrefix="1">
      <alignment horizontal="center" vertical="center" wrapText="1"/>
    </xf>
    <xf numFmtId="4" fontId="14" fillId="34" borderId="10" xfId="0" applyNumberFormat="1" applyFont="1" applyFill="1" applyBorder="1" applyAlignment="1">
      <alignment vertical="center" wrapText="1"/>
    </xf>
    <xf numFmtId="0" fontId="14" fillId="34" borderId="0" xfId="0" applyFont="1" applyFill="1" applyBorder="1" applyAlignment="1">
      <alignment vertical="center" wrapText="1"/>
    </xf>
    <xf numFmtId="0" fontId="14" fillId="34" borderId="0" xfId="0" applyFont="1" applyFill="1" applyAlignment="1">
      <alignment vertical="center" wrapText="1"/>
    </xf>
    <xf numFmtId="49" fontId="7" fillId="34" borderId="10" xfId="0" applyNumberFormat="1" applyFont="1" applyFill="1" applyBorder="1" applyAlignment="1">
      <alignment horizontal="center" vertical="center" wrapText="1"/>
    </xf>
    <xf numFmtId="0" fontId="7" fillId="34" borderId="10" xfId="0" applyFont="1" applyFill="1" applyBorder="1" applyAlignment="1" quotePrefix="1">
      <alignment horizontal="center" vertical="center" wrapText="1"/>
    </xf>
    <xf numFmtId="2" fontId="9" fillId="34" borderId="10" xfId="0" applyNumberFormat="1" applyFont="1" applyFill="1" applyBorder="1" applyAlignment="1">
      <alignment vertical="center" wrapText="1"/>
    </xf>
    <xf numFmtId="4" fontId="7" fillId="34" borderId="10" xfId="0" applyNumberFormat="1" applyFont="1" applyFill="1" applyBorder="1" applyAlignment="1">
      <alignment vertical="center" wrapText="1"/>
    </xf>
    <xf numFmtId="2" fontId="2" fillId="34" borderId="10" xfId="0" applyNumberFormat="1" applyFont="1" applyFill="1" applyBorder="1" applyAlignment="1">
      <alignment vertical="center" wrapText="1"/>
    </xf>
    <xf numFmtId="4" fontId="2" fillId="34" borderId="13" xfId="0" applyNumberFormat="1" applyFont="1" applyFill="1" applyBorder="1" applyAlignment="1">
      <alignment horizontal="right" vertical="center" wrapText="1"/>
    </xf>
    <xf numFmtId="4" fontId="2" fillId="34" borderId="10" xfId="0" applyNumberFormat="1" applyFont="1" applyFill="1" applyBorder="1" applyAlignment="1">
      <alignment horizontal="right" vertical="center" wrapText="1"/>
    </xf>
    <xf numFmtId="0" fontId="2" fillId="34" borderId="12" xfId="0" applyFont="1" applyFill="1" applyBorder="1" applyAlignment="1">
      <alignment vertical="center" wrapText="1"/>
    </xf>
    <xf numFmtId="49" fontId="2" fillId="34" borderId="10" xfId="0" applyNumberFormat="1" applyFont="1" applyFill="1" applyBorder="1" applyAlignment="1" applyProtection="1">
      <alignment horizontal="center" vertical="center" wrapText="1"/>
      <protection/>
    </xf>
    <xf numFmtId="4" fontId="3" fillId="0" borderId="0" xfId="0" applyNumberFormat="1" applyFont="1" applyAlignment="1">
      <alignment horizontal="center" vertical="center" wrapText="1"/>
    </xf>
    <xf numFmtId="4" fontId="49" fillId="0" borderId="0" xfId="0" applyNumberFormat="1" applyFont="1" applyAlignment="1">
      <alignment horizontal="center" vertical="center" wrapText="1"/>
    </xf>
    <xf numFmtId="4" fontId="12" fillId="32" borderId="0" xfId="0" applyNumberFormat="1" applyFont="1" applyFill="1" applyBorder="1" applyAlignment="1">
      <alignment vertical="center" wrapText="1"/>
    </xf>
    <xf numFmtId="4" fontId="19" fillId="37" borderId="0" xfId="0" applyNumberFormat="1" applyFont="1" applyFill="1" applyBorder="1" applyAlignment="1">
      <alignment horizontal="right" vertical="center" wrapText="1"/>
    </xf>
    <xf numFmtId="4" fontId="2" fillId="38" borderId="10" xfId="0" applyNumberFormat="1" applyFont="1" applyFill="1" applyBorder="1" applyAlignment="1">
      <alignment horizontal="center" vertical="center" wrapText="1"/>
    </xf>
    <xf numFmtId="4" fontId="16" fillId="36" borderId="10" xfId="0" applyNumberFormat="1" applyFont="1" applyFill="1" applyBorder="1" applyAlignment="1">
      <alignment horizontal="center" vertical="center" wrapText="1"/>
    </xf>
    <xf numFmtId="4" fontId="7" fillId="32" borderId="10" xfId="0" applyNumberFormat="1" applyFont="1" applyFill="1" applyBorder="1" applyAlignment="1">
      <alignment vertical="center" wrapText="1"/>
    </xf>
    <xf numFmtId="0" fontId="32" fillId="0" borderId="0" xfId="0" applyFont="1" applyBorder="1" applyAlignment="1">
      <alignment horizontal="left" vertical="center" wrapText="1"/>
    </xf>
    <xf numFmtId="4" fontId="21" fillId="0" borderId="0" xfId="0" applyNumberFormat="1" applyFont="1" applyBorder="1" applyAlignment="1">
      <alignment horizontal="center" vertical="center" wrapText="1"/>
    </xf>
    <xf numFmtId="4" fontId="3" fillId="0" borderId="0" xfId="0" applyNumberFormat="1" applyFont="1" applyAlignment="1">
      <alignment horizontal="center" vertical="center" wrapText="1"/>
    </xf>
    <xf numFmtId="4" fontId="11"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49" fontId="7" fillId="0" borderId="10" xfId="0" applyNumberFormat="1" applyFont="1" applyBorder="1" applyAlignment="1">
      <alignment horizontal="center" vertical="center" wrapText="1"/>
    </xf>
    <xf numFmtId="4" fontId="11" fillId="32" borderId="10" xfId="0" applyNumberFormat="1" applyFont="1" applyFill="1" applyBorder="1" applyAlignment="1">
      <alignment horizontal="center" vertical="center" wrapText="1"/>
    </xf>
    <xf numFmtId="0" fontId="3" fillId="0" borderId="0" xfId="0" applyFont="1" applyAlignment="1">
      <alignment horizontal="center" vertical="center" wrapText="1"/>
    </xf>
    <xf numFmtId="4" fontId="11" fillId="0" borderId="15" xfId="0" applyNumberFormat="1" applyFont="1" applyBorder="1" applyAlignment="1">
      <alignment horizontal="center" vertical="center" wrapText="1"/>
    </xf>
    <xf numFmtId="4" fontId="11" fillId="0" borderId="11" xfId="0" applyNumberFormat="1" applyFont="1" applyBorder="1" applyAlignment="1">
      <alignment horizontal="center" vertical="center" wrapText="1"/>
    </xf>
    <xf numFmtId="4" fontId="11" fillId="0" borderId="12" xfId="0" applyNumberFormat="1" applyFont="1" applyBorder="1" applyAlignment="1">
      <alignment horizontal="center" vertical="center" wrapText="1"/>
    </xf>
    <xf numFmtId="4" fontId="11" fillId="0" borderId="0" xfId="0" applyNumberFormat="1" applyFont="1" applyAlignment="1">
      <alignment horizontal="left" vertical="center" wrapText="1"/>
    </xf>
    <xf numFmtId="4" fontId="32" fillId="0" borderId="10" xfId="0" applyNumberFormat="1" applyFont="1" applyBorder="1" applyAlignment="1">
      <alignment horizontal="center" vertical="center" wrapText="1"/>
    </xf>
    <xf numFmtId="0" fontId="32" fillId="0" borderId="10" xfId="0" applyFont="1" applyBorder="1" applyAlignment="1">
      <alignment horizontal="left" vertical="center" wrapText="1"/>
    </xf>
    <xf numFmtId="0" fontId="32" fillId="0" borderId="15" xfId="0" applyFont="1" applyBorder="1" applyAlignment="1">
      <alignment horizontal="left" vertical="center" wrapText="1"/>
    </xf>
    <xf numFmtId="0" fontId="32" fillId="0" borderId="12" xfId="0" applyFont="1" applyBorder="1" applyAlignment="1">
      <alignment horizontal="left" vertical="center" wrapText="1"/>
    </xf>
    <xf numFmtId="4" fontId="21" fillId="0" borderId="15" xfId="0" applyNumberFormat="1" applyFont="1" applyBorder="1" applyAlignment="1">
      <alignment horizontal="center" vertical="center" wrapText="1"/>
    </xf>
    <xf numFmtId="4" fontId="21" fillId="0" borderId="12" xfId="0" applyNumberFormat="1" applyFont="1" applyBorder="1" applyAlignment="1">
      <alignment horizontal="center" vertical="center" wrapText="1"/>
    </xf>
    <xf numFmtId="3" fontId="21" fillId="0" borderId="10" xfId="0" applyNumberFormat="1" applyFont="1" applyBorder="1" applyAlignment="1">
      <alignment horizontal="center" vertical="center" wrapText="1"/>
    </xf>
    <xf numFmtId="0" fontId="3" fillId="0" borderId="0" xfId="0" applyNumberFormat="1" applyFont="1" applyFill="1" applyAlignment="1" applyProtection="1">
      <alignment horizontal="right" vertical="center" wrapText="1"/>
      <protection/>
    </xf>
    <xf numFmtId="0" fontId="3" fillId="0" borderId="0" xfId="0" applyFont="1" applyAlignment="1">
      <alignment horizontal="right" vertical="center" wrapText="1"/>
    </xf>
    <xf numFmtId="49" fontId="47" fillId="34" borderId="0" xfId="0" applyNumberFormat="1" applyFont="1" applyFill="1" applyBorder="1" applyAlignment="1">
      <alignment horizontal="left"/>
    </xf>
    <xf numFmtId="0" fontId="48" fillId="34" borderId="0" xfId="0" applyFont="1" applyFill="1" applyAlignment="1">
      <alignment horizontal="left" vertical="center"/>
    </xf>
    <xf numFmtId="0" fontId="11" fillId="0" borderId="0" xfId="0" applyFont="1" applyAlignment="1">
      <alignment horizontal="left" vertical="center" wrapText="1"/>
    </xf>
    <xf numFmtId="4" fontId="11" fillId="0" borderId="10" xfId="0" applyNumberFormat="1" applyFont="1" applyFill="1" applyBorder="1" applyAlignment="1">
      <alignment horizontal="center" vertical="center" wrapText="1"/>
    </xf>
    <xf numFmtId="0" fontId="3" fillId="0" borderId="0" xfId="0" applyNumberFormat="1" applyFont="1" applyFill="1" applyAlignment="1" applyProtection="1">
      <alignment horizontal="left" vertical="center" wrapText="1"/>
      <protection/>
    </xf>
    <xf numFmtId="4" fontId="11" fillId="0" borderId="16" xfId="0" applyNumberFormat="1" applyFont="1" applyFill="1" applyBorder="1" applyAlignment="1">
      <alignment horizontal="center" vertical="center" wrapText="1"/>
    </xf>
    <xf numFmtId="4" fontId="11" fillId="0" borderId="17" xfId="0" applyNumberFormat="1" applyFont="1" applyFill="1" applyBorder="1" applyAlignment="1">
      <alignment horizontal="center" vertical="center" wrapText="1"/>
    </xf>
    <xf numFmtId="4" fontId="11" fillId="0" borderId="13"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76;&#1086;&#1076;&#1072;&#1090;&#1086;&#1082;%201_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2"/>
    </sheetNames>
    <sheetDataSet>
      <sheetData sheetId="0">
        <row r="201">
          <cell r="C201">
            <v>2148599526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86"/>
  <sheetViews>
    <sheetView tabSelected="1" view="pageBreakPreview" zoomScale="75" zoomScaleNormal="75" zoomScaleSheetLayoutView="75" zoomScalePageLayoutView="0" workbookViewId="0" topLeftCell="A11">
      <pane xSplit="5" ySplit="4" topLeftCell="P333" activePane="bottomRight" state="frozen"/>
      <selection pane="topLeft" activeCell="A11" sqref="A11"/>
      <selection pane="topRight" activeCell="F11" sqref="F11"/>
      <selection pane="bottomLeft" activeCell="A15" sqref="A15"/>
      <selection pane="bottomRight" activeCell="Q346" sqref="Q346"/>
    </sheetView>
  </sheetViews>
  <sheetFormatPr defaultColWidth="9.00390625" defaultRowHeight="12.75"/>
  <cols>
    <col min="1" max="1" width="12.00390625" style="63" customWidth="1"/>
    <col min="2" max="2" width="10.625" style="64" customWidth="1"/>
    <col min="3" max="3" width="12.75390625" style="63" customWidth="1"/>
    <col min="4" max="4" width="58.625" style="5" customWidth="1"/>
    <col min="5" max="5" width="22.375" style="65" customWidth="1"/>
    <col min="6" max="6" width="21.875" style="65" customWidth="1"/>
    <col min="7" max="10" width="18.75390625" style="65" customWidth="1"/>
    <col min="11" max="11" width="19.875" style="93" customWidth="1"/>
    <col min="12" max="12" width="18.375" style="65" customWidth="1"/>
    <col min="13" max="13" width="17.375" style="65" customWidth="1"/>
    <col min="14" max="14" width="16.00390625" style="65" customWidth="1"/>
    <col min="15" max="15" width="19.00390625" style="93" customWidth="1"/>
    <col min="16" max="16" width="21.75390625" style="65" customWidth="1"/>
    <col min="17" max="17" width="27.125" style="89" customWidth="1"/>
    <col min="18" max="18" width="25.125" style="89" customWidth="1"/>
    <col min="19" max="19" width="20.00390625" style="66" bestFit="1" customWidth="1"/>
    <col min="20" max="20" width="14.625" style="66" bestFit="1" customWidth="1"/>
    <col min="21" max="21" width="23.25390625" style="5" customWidth="1"/>
    <col min="22" max="16384" width="9.125" style="5" customWidth="1"/>
  </cols>
  <sheetData>
    <row r="1" spans="12:16" ht="15.75">
      <c r="L1" s="306" t="s">
        <v>104</v>
      </c>
      <c r="M1" s="318"/>
      <c r="N1" s="318"/>
      <c r="O1" s="318"/>
      <c r="P1" s="318"/>
    </row>
    <row r="2" spans="12:16" ht="24" customHeight="1">
      <c r="L2" s="306" t="s">
        <v>105</v>
      </c>
      <c r="M2" s="306"/>
      <c r="N2" s="306"/>
      <c r="O2" s="306"/>
      <c r="P2" s="306"/>
    </row>
    <row r="3" spans="2:18" ht="24" customHeight="1">
      <c r="B3" s="65"/>
      <c r="L3" s="306" t="s">
        <v>594</v>
      </c>
      <c r="M3" s="306"/>
      <c r="N3" s="306"/>
      <c r="O3" s="306"/>
      <c r="P3" s="306"/>
      <c r="Q3" s="230"/>
      <c r="R3" s="230"/>
    </row>
    <row r="4" spans="2:18" ht="24" customHeight="1">
      <c r="B4" s="65"/>
      <c r="L4" s="306"/>
      <c r="M4" s="306"/>
      <c r="N4" s="306"/>
      <c r="O4" s="306"/>
      <c r="P4" s="306"/>
      <c r="Q4" s="230"/>
      <c r="R4" s="230"/>
    </row>
    <row r="5" spans="2:18" ht="33" customHeight="1">
      <c r="B5" s="67"/>
      <c r="D5" s="68"/>
      <c r="L5" s="306"/>
      <c r="M5" s="306"/>
      <c r="N5" s="306"/>
      <c r="O5" s="306"/>
      <c r="P5" s="306"/>
      <c r="Q5" s="231"/>
      <c r="R5" s="230"/>
    </row>
    <row r="6" spans="1:18" ht="30.75">
      <c r="A6" s="302" t="s">
        <v>237</v>
      </c>
      <c r="B6" s="302"/>
      <c r="C6" s="302"/>
      <c r="D6" s="302"/>
      <c r="E6" s="302"/>
      <c r="F6" s="302"/>
      <c r="G6" s="302"/>
      <c r="H6" s="302"/>
      <c r="I6" s="302"/>
      <c r="J6" s="302"/>
      <c r="K6" s="302"/>
      <c r="L6" s="302"/>
      <c r="M6" s="302"/>
      <c r="N6" s="302"/>
      <c r="O6" s="302"/>
      <c r="P6" s="302"/>
      <c r="Q6" s="230"/>
      <c r="R6" s="230"/>
    </row>
    <row r="7" spans="1:18" ht="30.75">
      <c r="A7" s="297" t="s">
        <v>599</v>
      </c>
      <c r="B7" s="297"/>
      <c r="C7" s="297"/>
      <c r="D7" s="297"/>
      <c r="E7" s="297"/>
      <c r="F7" s="297"/>
      <c r="G7" s="297"/>
      <c r="H7" s="297"/>
      <c r="I7" s="297"/>
      <c r="J7" s="297"/>
      <c r="K7" s="297"/>
      <c r="L7" s="297"/>
      <c r="M7" s="297"/>
      <c r="N7" s="297"/>
      <c r="O7" s="297"/>
      <c r="P7" s="297"/>
      <c r="Q7" s="230"/>
      <c r="R7" s="230"/>
    </row>
    <row r="8" spans="1:18" ht="24" customHeight="1">
      <c r="A8" s="316" t="s">
        <v>598</v>
      </c>
      <c r="B8" s="316"/>
      <c r="C8" s="288"/>
      <c r="D8" s="288"/>
      <c r="E8" s="288"/>
      <c r="F8" s="288"/>
      <c r="G8" s="288"/>
      <c r="H8" s="288"/>
      <c r="I8" s="288"/>
      <c r="J8" s="288"/>
      <c r="K8" s="288"/>
      <c r="L8" s="288"/>
      <c r="M8" s="288"/>
      <c r="N8" s="288"/>
      <c r="O8" s="288"/>
      <c r="P8" s="288"/>
      <c r="Q8" s="230"/>
      <c r="R8" s="230"/>
    </row>
    <row r="9" spans="1:18" ht="17.25" customHeight="1">
      <c r="A9" s="317" t="s">
        <v>595</v>
      </c>
      <c r="B9" s="317"/>
      <c r="C9" s="288"/>
      <c r="D9" s="288"/>
      <c r="E9" s="288"/>
      <c r="F9" s="288"/>
      <c r="G9" s="288"/>
      <c r="H9" s="288"/>
      <c r="I9" s="288"/>
      <c r="J9" s="288"/>
      <c r="K9" s="288"/>
      <c r="L9" s="289"/>
      <c r="M9" s="289"/>
      <c r="N9" s="288"/>
      <c r="O9" s="288"/>
      <c r="P9" s="288"/>
      <c r="Q9" s="230"/>
      <c r="R9" s="230"/>
    </row>
    <row r="10" spans="16:18" ht="20.25">
      <c r="P10" s="70" t="s">
        <v>234</v>
      </c>
      <c r="Q10" s="230"/>
      <c r="R10" s="230"/>
    </row>
    <row r="11" spans="1:16" ht="31.5" customHeight="1">
      <c r="A11" s="300" t="s">
        <v>596</v>
      </c>
      <c r="B11" s="299" t="s">
        <v>597</v>
      </c>
      <c r="C11" s="300" t="s">
        <v>231</v>
      </c>
      <c r="D11" s="299" t="s">
        <v>600</v>
      </c>
      <c r="E11" s="298" t="s">
        <v>238</v>
      </c>
      <c r="F11" s="298"/>
      <c r="G11" s="298"/>
      <c r="H11" s="298"/>
      <c r="I11" s="298"/>
      <c r="J11" s="303" t="s">
        <v>244</v>
      </c>
      <c r="K11" s="304"/>
      <c r="L11" s="304"/>
      <c r="M11" s="304"/>
      <c r="N11" s="304"/>
      <c r="O11" s="305"/>
      <c r="P11" s="301" t="s">
        <v>245</v>
      </c>
    </row>
    <row r="12" spans="1:16" ht="38.25" customHeight="1">
      <c r="A12" s="300"/>
      <c r="B12" s="299"/>
      <c r="C12" s="300"/>
      <c r="D12" s="299"/>
      <c r="E12" s="301" t="s">
        <v>232</v>
      </c>
      <c r="F12" s="298" t="s">
        <v>239</v>
      </c>
      <c r="G12" s="298" t="s">
        <v>240</v>
      </c>
      <c r="H12" s="298"/>
      <c r="I12" s="298" t="s">
        <v>243</v>
      </c>
      <c r="J12" s="301" t="s">
        <v>232</v>
      </c>
      <c r="K12" s="321" t="s">
        <v>233</v>
      </c>
      <c r="L12" s="298" t="s">
        <v>239</v>
      </c>
      <c r="M12" s="298" t="s">
        <v>240</v>
      </c>
      <c r="N12" s="298"/>
      <c r="O12" s="319" t="s">
        <v>243</v>
      </c>
      <c r="P12" s="298"/>
    </row>
    <row r="13" spans="1:16" ht="30.75" customHeight="1">
      <c r="A13" s="300"/>
      <c r="B13" s="299"/>
      <c r="C13" s="300"/>
      <c r="D13" s="299"/>
      <c r="E13" s="298"/>
      <c r="F13" s="298"/>
      <c r="G13" s="298" t="s">
        <v>241</v>
      </c>
      <c r="H13" s="298" t="s">
        <v>242</v>
      </c>
      <c r="I13" s="298"/>
      <c r="J13" s="298"/>
      <c r="K13" s="322"/>
      <c r="L13" s="298"/>
      <c r="M13" s="298" t="s">
        <v>241</v>
      </c>
      <c r="N13" s="298" t="s">
        <v>242</v>
      </c>
      <c r="O13" s="319"/>
      <c r="P13" s="298"/>
    </row>
    <row r="14" spans="1:16" ht="40.5" customHeight="1">
      <c r="A14" s="300"/>
      <c r="B14" s="299"/>
      <c r="C14" s="300"/>
      <c r="D14" s="299"/>
      <c r="E14" s="298"/>
      <c r="F14" s="298"/>
      <c r="G14" s="298"/>
      <c r="H14" s="298"/>
      <c r="I14" s="298"/>
      <c r="J14" s="298"/>
      <c r="K14" s="323"/>
      <c r="L14" s="298"/>
      <c r="M14" s="298"/>
      <c r="N14" s="298"/>
      <c r="O14" s="319"/>
      <c r="P14" s="298"/>
    </row>
    <row r="15" spans="1:20" s="73" customFormat="1" ht="15.75">
      <c r="A15" s="13">
        <v>1</v>
      </c>
      <c r="B15" s="8">
        <v>2</v>
      </c>
      <c r="C15" s="13">
        <v>3</v>
      </c>
      <c r="D15" s="2">
        <v>4</v>
      </c>
      <c r="E15" s="7">
        <v>5</v>
      </c>
      <c r="F15" s="8">
        <v>6</v>
      </c>
      <c r="G15" s="8">
        <v>7</v>
      </c>
      <c r="H15" s="8">
        <v>8</v>
      </c>
      <c r="I15" s="8">
        <v>9</v>
      </c>
      <c r="J15" s="7">
        <v>10</v>
      </c>
      <c r="K15" s="9">
        <v>11</v>
      </c>
      <c r="L15" s="8">
        <v>12</v>
      </c>
      <c r="M15" s="8">
        <v>13</v>
      </c>
      <c r="N15" s="8">
        <v>14</v>
      </c>
      <c r="O15" s="9">
        <v>15</v>
      </c>
      <c r="P15" s="7">
        <v>16</v>
      </c>
      <c r="Q15" s="71"/>
      <c r="R15" s="72" t="s">
        <v>3</v>
      </c>
      <c r="S15" s="72" t="s">
        <v>4</v>
      </c>
      <c r="T15" s="72" t="s">
        <v>5</v>
      </c>
    </row>
    <row r="16" spans="1:20" s="117" customFormat="1" ht="88.5" customHeight="1">
      <c r="A16" s="110" t="s">
        <v>246</v>
      </c>
      <c r="B16" s="114"/>
      <c r="C16" s="108"/>
      <c r="D16" s="115" t="s">
        <v>211</v>
      </c>
      <c r="E16" s="99">
        <f aca="true" t="shared" si="0" ref="E16:E29">F16+I16</f>
        <v>54095923</v>
      </c>
      <c r="F16" s="99">
        <f>SUM(F17)</f>
        <v>54095923</v>
      </c>
      <c r="G16" s="99">
        <f>SUM(G17)</f>
        <v>27418752</v>
      </c>
      <c r="H16" s="99">
        <f>SUM(H17)</f>
        <v>4725509</v>
      </c>
      <c r="I16" s="99">
        <f>SUM(I17)</f>
        <v>0</v>
      </c>
      <c r="J16" s="99">
        <f>L16+O16</f>
        <v>1595100</v>
      </c>
      <c r="K16" s="99">
        <f>SUM(K17)</f>
        <v>1595100</v>
      </c>
      <c r="L16" s="99">
        <f>SUM(L17)</f>
        <v>0</v>
      </c>
      <c r="M16" s="99">
        <f>SUM(M17)</f>
        <v>0</v>
      </c>
      <c r="N16" s="99">
        <f>SUM(N17)</f>
        <v>0</v>
      </c>
      <c r="O16" s="99">
        <f>SUM(O17)</f>
        <v>1595100</v>
      </c>
      <c r="P16" s="99">
        <f aca="true" t="shared" si="1" ref="P16:P69">E16+J16</f>
        <v>55691023</v>
      </c>
      <c r="Q16" s="193"/>
      <c r="R16" s="196"/>
      <c r="S16" s="116"/>
      <c r="T16" s="116"/>
    </row>
    <row r="17" spans="1:20" s="176" customFormat="1" ht="30" customHeight="1">
      <c r="A17" s="169" t="s">
        <v>247</v>
      </c>
      <c r="B17" s="170"/>
      <c r="C17" s="171"/>
      <c r="D17" s="172" t="s">
        <v>14</v>
      </c>
      <c r="E17" s="173">
        <f t="shared" si="0"/>
        <v>54095923</v>
      </c>
      <c r="F17" s="173">
        <f>SUM(F18+F19+F21+F20)</f>
        <v>54095923</v>
      </c>
      <c r="G17" s="173">
        <f>SUM(G18+G19+G21+G20)</f>
        <v>27418752</v>
      </c>
      <c r="H17" s="173">
        <f>SUM(H18+H19+H21+H20)</f>
        <v>4725509</v>
      </c>
      <c r="I17" s="173">
        <f>SUM(I18+I19+I21+I20)</f>
        <v>0</v>
      </c>
      <c r="J17" s="174">
        <f>L17+O17</f>
        <v>1595100</v>
      </c>
      <c r="K17" s="174">
        <f>L17+O17</f>
        <v>1595100</v>
      </c>
      <c r="L17" s="174">
        <f>SUM(L18+L19+L21+L20)</f>
        <v>0</v>
      </c>
      <c r="M17" s="174">
        <f>SUM(M18+M19+M21+M20)</f>
        <v>0</v>
      </c>
      <c r="N17" s="174">
        <f>SUM(N18+N19+N21+N20)</f>
        <v>0</v>
      </c>
      <c r="O17" s="174">
        <f>SUM(O18+O19+O21+O20)</f>
        <v>1595100</v>
      </c>
      <c r="P17" s="173">
        <f t="shared" si="1"/>
        <v>55691023</v>
      </c>
      <c r="Q17" s="193"/>
      <c r="R17" s="197"/>
      <c r="S17" s="175"/>
      <c r="T17" s="175"/>
    </row>
    <row r="18" spans="1:20" s="52" customFormat="1" ht="51.75" customHeight="1">
      <c r="A18" s="46" t="s">
        <v>248</v>
      </c>
      <c r="B18" s="47" t="s">
        <v>250</v>
      </c>
      <c r="C18" s="46" t="s">
        <v>249</v>
      </c>
      <c r="D18" s="44" t="s">
        <v>251</v>
      </c>
      <c r="E18" s="48">
        <f t="shared" si="0"/>
        <v>44234523</v>
      </c>
      <c r="F18" s="49">
        <v>44234523</v>
      </c>
      <c r="G18" s="49">
        <v>27418752</v>
      </c>
      <c r="H18" s="49">
        <v>4725509</v>
      </c>
      <c r="I18" s="49"/>
      <c r="J18" s="50">
        <f aca="true" t="shared" si="2" ref="J18:J69">L18+O18</f>
        <v>1595100</v>
      </c>
      <c r="K18" s="59">
        <v>1595100</v>
      </c>
      <c r="L18" s="49"/>
      <c r="M18" s="49"/>
      <c r="N18" s="49"/>
      <c r="O18" s="59">
        <v>1595100</v>
      </c>
      <c r="P18" s="48">
        <f t="shared" si="1"/>
        <v>45829623</v>
      </c>
      <c r="Q18" s="193"/>
      <c r="R18" s="89"/>
      <c r="S18" s="76"/>
      <c r="T18" s="76"/>
    </row>
    <row r="19" spans="1:20" s="52" customFormat="1" ht="23.25" customHeight="1">
      <c r="A19" s="46" t="s">
        <v>252</v>
      </c>
      <c r="B19" s="47" t="s">
        <v>254</v>
      </c>
      <c r="C19" s="46" t="s">
        <v>253</v>
      </c>
      <c r="D19" s="44" t="s">
        <v>255</v>
      </c>
      <c r="E19" s="48">
        <f t="shared" si="0"/>
        <v>3683800</v>
      </c>
      <c r="F19" s="49">
        <v>3683800</v>
      </c>
      <c r="G19" s="49"/>
      <c r="H19" s="49"/>
      <c r="I19" s="49"/>
      <c r="J19" s="50">
        <f t="shared" si="2"/>
        <v>0</v>
      </c>
      <c r="K19" s="59"/>
      <c r="L19" s="49"/>
      <c r="M19" s="49"/>
      <c r="N19" s="49"/>
      <c r="O19" s="59"/>
      <c r="P19" s="48">
        <f t="shared" si="1"/>
        <v>3683800</v>
      </c>
      <c r="Q19" s="193"/>
      <c r="R19" s="89"/>
      <c r="S19" s="76"/>
      <c r="T19" s="76"/>
    </row>
    <row r="20" spans="1:20" s="52" customFormat="1" ht="30" customHeight="1">
      <c r="A20" s="125" t="s">
        <v>56</v>
      </c>
      <c r="B20" s="125" t="s">
        <v>57</v>
      </c>
      <c r="C20" s="126" t="s">
        <v>336</v>
      </c>
      <c r="D20" s="127" t="s">
        <v>58</v>
      </c>
      <c r="E20" s="128">
        <f t="shared" si="0"/>
        <v>231000</v>
      </c>
      <c r="F20" s="49">
        <v>231000</v>
      </c>
      <c r="G20" s="49"/>
      <c r="H20" s="49"/>
      <c r="I20" s="49"/>
      <c r="J20" s="50">
        <f t="shared" si="2"/>
        <v>0</v>
      </c>
      <c r="K20" s="59"/>
      <c r="L20" s="49"/>
      <c r="M20" s="49"/>
      <c r="N20" s="49"/>
      <c r="O20" s="59"/>
      <c r="P20" s="48">
        <f t="shared" si="1"/>
        <v>231000</v>
      </c>
      <c r="Q20" s="193"/>
      <c r="R20" s="89"/>
      <c r="S20" s="76"/>
      <c r="T20" s="76"/>
    </row>
    <row r="21" spans="1:20" s="52" customFormat="1" ht="27" customHeight="1">
      <c r="A21" s="46" t="s">
        <v>256</v>
      </c>
      <c r="B21" s="47" t="s">
        <v>258</v>
      </c>
      <c r="C21" s="46" t="s">
        <v>257</v>
      </c>
      <c r="D21" s="44" t="s">
        <v>259</v>
      </c>
      <c r="E21" s="48">
        <f t="shared" si="0"/>
        <v>5946600</v>
      </c>
      <c r="F21" s="49">
        <v>5946600</v>
      </c>
      <c r="G21" s="49"/>
      <c r="H21" s="49"/>
      <c r="I21" s="49"/>
      <c r="J21" s="50">
        <f t="shared" si="2"/>
        <v>0</v>
      </c>
      <c r="K21" s="59"/>
      <c r="L21" s="49"/>
      <c r="M21" s="49"/>
      <c r="N21" s="49"/>
      <c r="O21" s="59"/>
      <c r="P21" s="48">
        <f t="shared" si="1"/>
        <v>5946600</v>
      </c>
      <c r="Q21" s="193"/>
      <c r="R21" s="89"/>
      <c r="S21" s="76"/>
      <c r="T21" s="76"/>
    </row>
    <row r="22" spans="1:20" s="117" customFormat="1" ht="75.75" customHeight="1">
      <c r="A22" s="110" t="s">
        <v>260</v>
      </c>
      <c r="B22" s="114"/>
      <c r="C22" s="108"/>
      <c r="D22" s="115" t="s">
        <v>261</v>
      </c>
      <c r="E22" s="99">
        <f t="shared" si="0"/>
        <v>6430932</v>
      </c>
      <c r="F22" s="99">
        <f>SUM(F23+F26)</f>
        <v>6430932</v>
      </c>
      <c r="G22" s="99">
        <f>SUM(G23+G26)</f>
        <v>2917200</v>
      </c>
      <c r="H22" s="99">
        <f>SUM(H23+H26)</f>
        <v>495555</v>
      </c>
      <c r="I22" s="99">
        <f>SUM(I23+I26)</f>
        <v>0</v>
      </c>
      <c r="J22" s="99">
        <f t="shared" si="2"/>
        <v>10000</v>
      </c>
      <c r="K22" s="99">
        <f>SUM(K23+K26)</f>
        <v>0</v>
      </c>
      <c r="L22" s="99">
        <f>SUM(L23+L26)</f>
        <v>10000</v>
      </c>
      <c r="M22" s="99">
        <f>SUM(M23+M26)</f>
        <v>0</v>
      </c>
      <c r="N22" s="99">
        <f>SUM(N23+N26)</f>
        <v>0</v>
      </c>
      <c r="O22" s="99">
        <f>SUM(O23+O26)</f>
        <v>0</v>
      </c>
      <c r="P22" s="99">
        <f t="shared" si="1"/>
        <v>6440932</v>
      </c>
      <c r="Q22" s="193"/>
      <c r="R22" s="196"/>
      <c r="S22" s="116"/>
      <c r="T22" s="116"/>
    </row>
    <row r="23" spans="1:20" s="176" customFormat="1" ht="28.5" customHeight="1">
      <c r="A23" s="169" t="s">
        <v>262</v>
      </c>
      <c r="B23" s="170"/>
      <c r="C23" s="171"/>
      <c r="D23" s="172" t="s">
        <v>15</v>
      </c>
      <c r="E23" s="173">
        <f t="shared" si="0"/>
        <v>2624497</v>
      </c>
      <c r="F23" s="173">
        <f>SUM(F24+F25)</f>
        <v>2624497</v>
      </c>
      <c r="G23" s="173">
        <f>SUM(G24+G25)</f>
        <v>1564387</v>
      </c>
      <c r="H23" s="173">
        <f>SUM(H24+H25)</f>
        <v>463455</v>
      </c>
      <c r="I23" s="173">
        <f>SUM(I24+I25)</f>
        <v>0</v>
      </c>
      <c r="J23" s="174">
        <f t="shared" si="2"/>
        <v>10000</v>
      </c>
      <c r="K23" s="174">
        <f>K24</f>
        <v>0</v>
      </c>
      <c r="L23" s="174">
        <f>L24</f>
        <v>10000</v>
      </c>
      <c r="M23" s="174">
        <f>SUM(M24+M25)</f>
        <v>0</v>
      </c>
      <c r="N23" s="174">
        <f>SUM(N24+N25)</f>
        <v>0</v>
      </c>
      <c r="O23" s="174">
        <f>SUM(O24+O25)</f>
        <v>0</v>
      </c>
      <c r="P23" s="173">
        <f t="shared" si="1"/>
        <v>2634497</v>
      </c>
      <c r="Q23" s="193"/>
      <c r="R23" s="197"/>
      <c r="S23" s="175"/>
      <c r="T23" s="175"/>
    </row>
    <row r="24" spans="1:20" s="52" customFormat="1" ht="39.75" customHeight="1">
      <c r="A24" s="46" t="s">
        <v>263</v>
      </c>
      <c r="B24" s="47" t="s">
        <v>264</v>
      </c>
      <c r="C24" s="46" t="s">
        <v>249</v>
      </c>
      <c r="D24" s="44" t="s">
        <v>265</v>
      </c>
      <c r="E24" s="48">
        <f t="shared" si="0"/>
        <v>2401497</v>
      </c>
      <c r="F24" s="49">
        <v>2401497</v>
      </c>
      <c r="G24" s="49">
        <v>1564387</v>
      </c>
      <c r="H24" s="49">
        <v>463455</v>
      </c>
      <c r="I24" s="49"/>
      <c r="J24" s="50">
        <f t="shared" si="2"/>
        <v>10000</v>
      </c>
      <c r="K24" s="59"/>
      <c r="L24" s="49">
        <v>10000</v>
      </c>
      <c r="M24" s="49"/>
      <c r="N24" s="49"/>
      <c r="O24" s="59"/>
      <c r="P24" s="48">
        <f t="shared" si="1"/>
        <v>2411497</v>
      </c>
      <c r="Q24" s="193"/>
      <c r="R24" s="89"/>
      <c r="S24" s="76"/>
      <c r="T24" s="76"/>
    </row>
    <row r="25" spans="1:20" s="52" customFormat="1" ht="25.5" customHeight="1">
      <c r="A25" s="46" t="s">
        <v>266</v>
      </c>
      <c r="B25" s="47" t="s">
        <v>254</v>
      </c>
      <c r="C25" s="46" t="s">
        <v>253</v>
      </c>
      <c r="D25" s="44" t="s">
        <v>255</v>
      </c>
      <c r="E25" s="48">
        <f t="shared" si="0"/>
        <v>223000</v>
      </c>
      <c r="F25" s="49">
        <v>223000</v>
      </c>
      <c r="G25" s="49"/>
      <c r="H25" s="49"/>
      <c r="I25" s="49"/>
      <c r="J25" s="50">
        <f t="shared" si="2"/>
        <v>0</v>
      </c>
      <c r="K25" s="59"/>
      <c r="L25" s="49"/>
      <c r="M25" s="49"/>
      <c r="N25" s="49"/>
      <c r="O25" s="59"/>
      <c r="P25" s="48">
        <f t="shared" si="1"/>
        <v>223000</v>
      </c>
      <c r="Q25" s="193"/>
      <c r="R25" s="89"/>
      <c r="S25" s="76"/>
      <c r="T25" s="76"/>
    </row>
    <row r="26" spans="1:20" s="176" customFormat="1" ht="48.75" customHeight="1">
      <c r="A26" s="171" t="s">
        <v>262</v>
      </c>
      <c r="B26" s="186"/>
      <c r="C26" s="169"/>
      <c r="D26" s="172" t="s">
        <v>608</v>
      </c>
      <c r="E26" s="173">
        <f t="shared" si="0"/>
        <v>3806435</v>
      </c>
      <c r="F26" s="173">
        <f>F27+F28+F29</f>
        <v>3806435</v>
      </c>
      <c r="G26" s="173">
        <f>G27+G28+G29</f>
        <v>1352813</v>
      </c>
      <c r="H26" s="173">
        <f>H27+H28+H29</f>
        <v>32100</v>
      </c>
      <c r="I26" s="173">
        <f>I27+I28+I29</f>
        <v>0</v>
      </c>
      <c r="J26" s="174">
        <f t="shared" si="2"/>
        <v>0</v>
      </c>
      <c r="K26" s="173">
        <f>K27+K28+K29</f>
        <v>0</v>
      </c>
      <c r="L26" s="173">
        <f>L27+L28+L29</f>
        <v>0</v>
      </c>
      <c r="M26" s="173">
        <f>M27+M28+M29</f>
        <v>0</v>
      </c>
      <c r="N26" s="173">
        <f>N27+N28+N29</f>
        <v>0</v>
      </c>
      <c r="O26" s="173">
        <f>O27+O28+O29</f>
        <v>0</v>
      </c>
      <c r="P26" s="173">
        <f t="shared" si="1"/>
        <v>3806435</v>
      </c>
      <c r="Q26" s="290"/>
      <c r="R26" s="175"/>
      <c r="S26" s="175"/>
      <c r="T26" s="175"/>
    </row>
    <row r="27" spans="1:20" s="52" customFormat="1" ht="38.25" customHeight="1">
      <c r="A27" s="46" t="s">
        <v>263</v>
      </c>
      <c r="B27" s="47" t="s">
        <v>264</v>
      </c>
      <c r="C27" s="46" t="s">
        <v>249</v>
      </c>
      <c r="D27" s="44" t="s">
        <v>265</v>
      </c>
      <c r="E27" s="48">
        <f t="shared" si="0"/>
        <v>1806435</v>
      </c>
      <c r="F27" s="49">
        <v>1806435</v>
      </c>
      <c r="G27" s="49">
        <v>1352813</v>
      </c>
      <c r="H27" s="49">
        <v>32100</v>
      </c>
      <c r="I27" s="49"/>
      <c r="J27" s="50">
        <f t="shared" si="2"/>
        <v>0</v>
      </c>
      <c r="K27" s="59"/>
      <c r="L27" s="49"/>
      <c r="M27" s="49"/>
      <c r="N27" s="49"/>
      <c r="O27" s="59"/>
      <c r="P27" s="48">
        <f t="shared" si="1"/>
        <v>1806435</v>
      </c>
      <c r="Q27" s="193"/>
      <c r="R27" s="89"/>
      <c r="S27" s="76"/>
      <c r="T27" s="76"/>
    </row>
    <row r="28" spans="1:20" s="52" customFormat="1" ht="36.75" customHeight="1">
      <c r="A28" s="105" t="s">
        <v>606</v>
      </c>
      <c r="B28" s="105" t="s">
        <v>82</v>
      </c>
      <c r="C28" s="103">
        <v>1090</v>
      </c>
      <c r="D28" s="283" t="s">
        <v>75</v>
      </c>
      <c r="E28" s="48">
        <f t="shared" si="0"/>
        <v>200000</v>
      </c>
      <c r="F28" s="49">
        <v>200000</v>
      </c>
      <c r="G28" s="49"/>
      <c r="H28" s="49"/>
      <c r="I28" s="49"/>
      <c r="J28" s="50">
        <f t="shared" si="2"/>
        <v>0</v>
      </c>
      <c r="K28" s="59"/>
      <c r="L28" s="49"/>
      <c r="M28" s="49"/>
      <c r="N28" s="49"/>
      <c r="O28" s="59"/>
      <c r="P28" s="48">
        <f t="shared" si="1"/>
        <v>200000</v>
      </c>
      <c r="Q28" s="193"/>
      <c r="R28" s="89"/>
      <c r="S28" s="76"/>
      <c r="T28" s="76"/>
    </row>
    <row r="29" spans="1:20" s="52" customFormat="1" ht="25.5" customHeight="1">
      <c r="A29" s="46" t="s">
        <v>607</v>
      </c>
      <c r="B29" s="47" t="s">
        <v>457</v>
      </c>
      <c r="C29" s="46" t="s">
        <v>450</v>
      </c>
      <c r="D29" s="44" t="s">
        <v>458</v>
      </c>
      <c r="E29" s="48">
        <f t="shared" si="0"/>
        <v>1800000</v>
      </c>
      <c r="F29" s="49">
        <v>1800000</v>
      </c>
      <c r="G29" s="49"/>
      <c r="H29" s="49"/>
      <c r="I29" s="49"/>
      <c r="J29" s="50">
        <f t="shared" si="2"/>
        <v>0</v>
      </c>
      <c r="K29" s="59"/>
      <c r="L29" s="49"/>
      <c r="M29" s="49"/>
      <c r="N29" s="49"/>
      <c r="O29" s="59"/>
      <c r="P29" s="48">
        <f t="shared" si="1"/>
        <v>1800000</v>
      </c>
      <c r="Q29" s="193"/>
      <c r="R29" s="89"/>
      <c r="S29" s="76"/>
      <c r="T29" s="76"/>
    </row>
    <row r="30" spans="1:20" s="117" customFormat="1" ht="29.25" customHeight="1">
      <c r="A30" s="110" t="s">
        <v>267</v>
      </c>
      <c r="B30" s="114"/>
      <c r="C30" s="108"/>
      <c r="D30" s="115" t="s">
        <v>268</v>
      </c>
      <c r="E30" s="99">
        <f>E31</f>
        <v>995470272</v>
      </c>
      <c r="F30" s="99">
        <f aca="true" t="shared" si="3" ref="F30:P30">F31</f>
        <v>995470272</v>
      </c>
      <c r="G30" s="99">
        <f t="shared" si="3"/>
        <v>597876173</v>
      </c>
      <c r="H30" s="99">
        <f t="shared" si="3"/>
        <v>135350400</v>
      </c>
      <c r="I30" s="99">
        <f t="shared" si="3"/>
        <v>0</v>
      </c>
      <c r="J30" s="99">
        <f>L30+O30</f>
        <v>77195053</v>
      </c>
      <c r="K30" s="99">
        <f t="shared" si="3"/>
        <v>29584700</v>
      </c>
      <c r="L30" s="99">
        <f t="shared" si="3"/>
        <v>47259766</v>
      </c>
      <c r="M30" s="99">
        <f t="shared" si="3"/>
        <v>1419118</v>
      </c>
      <c r="N30" s="99">
        <f t="shared" si="3"/>
        <v>134896</v>
      </c>
      <c r="O30" s="99">
        <f t="shared" si="3"/>
        <v>29935287</v>
      </c>
      <c r="P30" s="99">
        <f t="shared" si="3"/>
        <v>1072665325</v>
      </c>
      <c r="Q30" s="193"/>
      <c r="R30" s="196"/>
      <c r="S30" s="116"/>
      <c r="T30" s="116"/>
    </row>
    <row r="31" spans="1:20" s="176" customFormat="1" ht="32.25" customHeight="1">
      <c r="A31" s="169" t="s">
        <v>269</v>
      </c>
      <c r="B31" s="170"/>
      <c r="C31" s="171"/>
      <c r="D31" s="177" t="s">
        <v>270</v>
      </c>
      <c r="E31" s="173">
        <f aca="true" t="shared" si="4" ref="E31:E56">F31+I31</f>
        <v>995470272</v>
      </c>
      <c r="F31" s="173">
        <f>F32+F33+F34+F37+F47+F52+F53+F54+F55+F56+F60+F61+F62+F63+F70+F64+F66+F67+F68+F71+F72+F73+F76+F77+F57+F49</f>
        <v>995470272</v>
      </c>
      <c r="G31" s="173">
        <f>G32+G33+G34+G37+G47+G52+G53+G54+G55+G56+G60+G61+G62+G63+G70+G64+G66+G67+G68+G71+G72+G73+G76+G77+G57+G49</f>
        <v>597876173</v>
      </c>
      <c r="H31" s="173">
        <f>H32+H33+H34+H37+H47+H52+H53+H54+H55+H56+H60+H61+H62+H63+H70+H64+H66+H67+H68+H71+H72+H73+H76+H77+H57+H49</f>
        <v>135350400</v>
      </c>
      <c r="I31" s="173">
        <f>I32+I33+I34+I37+I47+I52+I53+I54+I55+I56+I60+I61+I62+I63+I70+I64+I66+I67+I68+I71+I72+I73+I76+I77+I57+I49</f>
        <v>0</v>
      </c>
      <c r="J31" s="174">
        <f>L31+O31</f>
        <v>77195053</v>
      </c>
      <c r="K31" s="174">
        <f>K32+K33+K34+K37+K47+K52+K53+K54+K55+K56+K60+K61+K62+K63+K70+K64+K66+K67+K68+K71+K72+K73+K76+K77+K57+K49</f>
        <v>29584700</v>
      </c>
      <c r="L31" s="174">
        <f>L32+L33+L34+L37+L47+L52+L53+L54+L55+L56+L60+L61+L62+L63+L70+L64+L66+L67+L68+L71+L72+L73+L76+L77+L57+L49</f>
        <v>47259766</v>
      </c>
      <c r="M31" s="174">
        <f>M32+M33+M34+M37+M47+M52+M53+M54+M55+M56+M60+M61+M62+M63+M70+M64+M66+M67+M68+M71+M72+M73+M76+M77+M57+M49</f>
        <v>1419118</v>
      </c>
      <c r="N31" s="174">
        <f>N32+N33+N34+N37+N47+N52+N53+N54+N55+N56+N60+N61+N62+N63+N70+N64+N66+N67+N68+N71+N72+N73+N76+N77+N57+N49</f>
        <v>134896</v>
      </c>
      <c r="O31" s="174">
        <f>O32+O33+O34+O37+O47+O52+O53+O54+O55+O56+O60+O61+O62+O63+O70+O64+O66+O67+O68+O71+O72+O73+O76+O77+O57+O49</f>
        <v>29935287</v>
      </c>
      <c r="P31" s="173">
        <f>E31+J31</f>
        <v>1072665325</v>
      </c>
      <c r="Q31" s="193">
        <f>K31-K71-K73-K76</f>
        <v>22484700</v>
      </c>
      <c r="R31" s="197"/>
      <c r="S31" s="290"/>
      <c r="T31" s="175"/>
    </row>
    <row r="32" spans="1:20" s="52" customFormat="1" ht="44.25" customHeight="1">
      <c r="A32" s="46" t="s">
        <v>271</v>
      </c>
      <c r="B32" s="47" t="s">
        <v>264</v>
      </c>
      <c r="C32" s="46" t="s">
        <v>249</v>
      </c>
      <c r="D32" s="44" t="s">
        <v>265</v>
      </c>
      <c r="E32" s="48">
        <f t="shared" si="4"/>
        <v>3770629</v>
      </c>
      <c r="F32" s="49">
        <v>3770629</v>
      </c>
      <c r="G32" s="49">
        <v>2869546</v>
      </c>
      <c r="H32" s="49">
        <v>116300</v>
      </c>
      <c r="I32" s="49"/>
      <c r="J32" s="50">
        <f t="shared" si="2"/>
        <v>0</v>
      </c>
      <c r="K32" s="59"/>
      <c r="L32" s="49"/>
      <c r="M32" s="49"/>
      <c r="N32" s="49"/>
      <c r="O32" s="59"/>
      <c r="P32" s="48">
        <f t="shared" si="1"/>
        <v>3770629</v>
      </c>
      <c r="Q32" s="193"/>
      <c r="R32" s="195"/>
      <c r="S32" s="100"/>
      <c r="T32" s="76"/>
    </row>
    <row r="33" spans="1:20" s="52" customFormat="1" ht="23.25" customHeight="1">
      <c r="A33" s="46" t="s">
        <v>272</v>
      </c>
      <c r="B33" s="47" t="s">
        <v>254</v>
      </c>
      <c r="C33" s="46" t="s">
        <v>253</v>
      </c>
      <c r="D33" s="44" t="s">
        <v>255</v>
      </c>
      <c r="E33" s="48">
        <f t="shared" si="4"/>
        <v>271000</v>
      </c>
      <c r="F33" s="49">
        <v>271000</v>
      </c>
      <c r="G33" s="49"/>
      <c r="H33" s="49"/>
      <c r="I33" s="49"/>
      <c r="J33" s="50">
        <f t="shared" si="2"/>
        <v>0</v>
      </c>
      <c r="K33" s="59"/>
      <c r="L33" s="49"/>
      <c r="M33" s="49"/>
      <c r="N33" s="49"/>
      <c r="O33" s="59"/>
      <c r="P33" s="48">
        <f t="shared" si="1"/>
        <v>271000</v>
      </c>
      <c r="Q33" s="193"/>
      <c r="R33" s="89"/>
      <c r="S33" s="100"/>
      <c r="T33" s="76"/>
    </row>
    <row r="34" spans="1:20" s="52" customFormat="1" ht="25.5" customHeight="1">
      <c r="A34" s="46" t="s">
        <v>273</v>
      </c>
      <c r="B34" s="47" t="s">
        <v>275</v>
      </c>
      <c r="C34" s="46" t="s">
        <v>274</v>
      </c>
      <c r="D34" s="44" t="s">
        <v>276</v>
      </c>
      <c r="E34" s="48">
        <f t="shared" si="4"/>
        <v>273104505</v>
      </c>
      <c r="F34" s="49">
        <f>273104505</f>
        <v>273104505</v>
      </c>
      <c r="G34" s="49">
        <f>162206308</f>
        <v>162206308</v>
      </c>
      <c r="H34" s="49">
        <f>40813700</f>
        <v>40813700</v>
      </c>
      <c r="I34" s="49"/>
      <c r="J34" s="50">
        <f>L34+O34</f>
        <v>23355189</v>
      </c>
      <c r="K34" s="59">
        <f>3250000</f>
        <v>3250000</v>
      </c>
      <c r="L34" s="49">
        <f>20105189</f>
        <v>20105189</v>
      </c>
      <c r="M34" s="49"/>
      <c r="N34" s="49"/>
      <c r="O34" s="59">
        <f>3250000</f>
        <v>3250000</v>
      </c>
      <c r="P34" s="48">
        <f t="shared" si="1"/>
        <v>296459694</v>
      </c>
      <c r="Q34" s="193"/>
      <c r="R34" s="89"/>
      <c r="S34" s="76"/>
      <c r="T34" s="76"/>
    </row>
    <row r="35" spans="1:20" s="75" customFormat="1" ht="51" customHeight="1">
      <c r="A35" s="15"/>
      <c r="B35" s="16"/>
      <c r="C35" s="15"/>
      <c r="D35" s="3" t="s">
        <v>215</v>
      </c>
      <c r="E35" s="19">
        <f t="shared" si="4"/>
        <v>546005</v>
      </c>
      <c r="F35" s="20">
        <f>546005</f>
        <v>546005</v>
      </c>
      <c r="G35" s="20">
        <f>290908</f>
        <v>290908</v>
      </c>
      <c r="H35" s="20"/>
      <c r="I35" s="20"/>
      <c r="J35" s="21"/>
      <c r="K35" s="43"/>
      <c r="L35" s="20"/>
      <c r="M35" s="20"/>
      <c r="N35" s="20"/>
      <c r="O35" s="43"/>
      <c r="P35" s="19">
        <f>E35+J35</f>
        <v>546005</v>
      </c>
      <c r="Q35" s="198">
        <f>P35+P43</f>
        <v>3325209</v>
      </c>
      <c r="R35" s="232" t="s">
        <v>392</v>
      </c>
      <c r="S35" s="74"/>
      <c r="T35" s="74"/>
    </row>
    <row r="36" spans="1:20" s="75" customFormat="1" ht="36.75" customHeight="1" hidden="1">
      <c r="A36" s="15"/>
      <c r="B36" s="16"/>
      <c r="C36" s="15"/>
      <c r="D36" s="3" t="s">
        <v>601</v>
      </c>
      <c r="E36" s="19">
        <f t="shared" si="4"/>
        <v>0</v>
      </c>
      <c r="F36" s="20"/>
      <c r="G36" s="20"/>
      <c r="H36" s="20"/>
      <c r="I36" s="20"/>
      <c r="J36" s="21">
        <f>L36+O36</f>
        <v>0</v>
      </c>
      <c r="K36" s="43"/>
      <c r="L36" s="20"/>
      <c r="M36" s="20"/>
      <c r="N36" s="20"/>
      <c r="O36" s="43"/>
      <c r="P36" s="19">
        <f>E36+J36</f>
        <v>0</v>
      </c>
      <c r="Q36" s="198"/>
      <c r="R36" s="232" t="s">
        <v>383</v>
      </c>
      <c r="S36" s="74"/>
      <c r="T36" s="74"/>
    </row>
    <row r="37" spans="1:20" s="52" customFormat="1" ht="62.25" customHeight="1">
      <c r="A37" s="46" t="s">
        <v>277</v>
      </c>
      <c r="B37" s="47" t="s">
        <v>279</v>
      </c>
      <c r="C37" s="46" t="s">
        <v>278</v>
      </c>
      <c r="D37" s="44" t="s">
        <v>280</v>
      </c>
      <c r="E37" s="48">
        <f t="shared" si="4"/>
        <v>549022168</v>
      </c>
      <c r="F37" s="49">
        <f>549022168</f>
        <v>549022168</v>
      </c>
      <c r="G37" s="49">
        <f>348216219</f>
        <v>348216219</v>
      </c>
      <c r="H37" s="49">
        <f>81243600</f>
        <v>81243600</v>
      </c>
      <c r="I37" s="49"/>
      <c r="J37" s="50">
        <f t="shared" si="2"/>
        <v>37270674</v>
      </c>
      <c r="K37" s="59">
        <f>14087200</f>
        <v>14087200</v>
      </c>
      <c r="L37" s="49">
        <f>23178824</f>
        <v>23178824</v>
      </c>
      <c r="M37" s="49">
        <v>111043</v>
      </c>
      <c r="N37" s="49">
        <f>122316</f>
        <v>122316</v>
      </c>
      <c r="O37" s="59">
        <f>4650+14087200</f>
        <v>14091850</v>
      </c>
      <c r="P37" s="48">
        <f t="shared" si="1"/>
        <v>586292842</v>
      </c>
      <c r="Q37" s="193"/>
      <c r="R37" s="89"/>
      <c r="S37" s="76"/>
      <c r="T37" s="76"/>
    </row>
    <row r="38" spans="1:20" s="75" customFormat="1" ht="34.5" customHeight="1">
      <c r="A38" s="15"/>
      <c r="B38" s="16"/>
      <c r="C38" s="15"/>
      <c r="D38" s="3" t="s">
        <v>165</v>
      </c>
      <c r="E38" s="19">
        <f t="shared" si="4"/>
        <v>309583400</v>
      </c>
      <c r="F38" s="20">
        <f>309583400</f>
        <v>309583400</v>
      </c>
      <c r="G38" s="20">
        <f>253756900</f>
        <v>253756900</v>
      </c>
      <c r="H38" s="20"/>
      <c r="I38" s="20"/>
      <c r="J38" s="21">
        <f t="shared" si="2"/>
        <v>0</v>
      </c>
      <c r="K38" s="43"/>
      <c r="L38" s="20"/>
      <c r="M38" s="20"/>
      <c r="N38" s="20"/>
      <c r="O38" s="43"/>
      <c r="P38" s="19">
        <f t="shared" si="1"/>
        <v>309583400</v>
      </c>
      <c r="Q38" s="198">
        <f>P38+P48+P50</f>
        <v>326877200</v>
      </c>
      <c r="R38" s="232" t="s">
        <v>384</v>
      </c>
      <c r="S38" s="74"/>
      <c r="T38" s="74"/>
    </row>
    <row r="39" spans="1:20" s="75" customFormat="1" ht="34.5" customHeight="1" hidden="1">
      <c r="A39" s="15"/>
      <c r="B39" s="16"/>
      <c r="C39" s="15"/>
      <c r="D39" s="3" t="s">
        <v>166</v>
      </c>
      <c r="E39" s="19">
        <f t="shared" si="4"/>
        <v>0</v>
      </c>
      <c r="F39" s="20"/>
      <c r="G39" s="20"/>
      <c r="H39" s="20"/>
      <c r="I39" s="20"/>
      <c r="J39" s="21">
        <f t="shared" si="2"/>
        <v>0</v>
      </c>
      <c r="K39" s="43"/>
      <c r="L39" s="20"/>
      <c r="M39" s="20"/>
      <c r="N39" s="20"/>
      <c r="O39" s="43"/>
      <c r="P39" s="19">
        <f t="shared" si="1"/>
        <v>0</v>
      </c>
      <c r="Q39" s="198"/>
      <c r="R39" s="232" t="s">
        <v>381</v>
      </c>
      <c r="S39" s="74"/>
      <c r="T39" s="74"/>
    </row>
    <row r="40" spans="1:20" s="75" customFormat="1" ht="48" customHeight="1" hidden="1">
      <c r="A40" s="15"/>
      <c r="B40" s="16"/>
      <c r="C40" s="15"/>
      <c r="D40" s="3" t="s">
        <v>167</v>
      </c>
      <c r="E40" s="19">
        <f t="shared" si="4"/>
        <v>0</v>
      </c>
      <c r="F40" s="20"/>
      <c r="G40" s="20"/>
      <c r="H40" s="20"/>
      <c r="I40" s="20"/>
      <c r="J40" s="21">
        <f t="shared" si="2"/>
        <v>0</v>
      </c>
      <c r="K40" s="43"/>
      <c r="L40" s="20"/>
      <c r="M40" s="20"/>
      <c r="N40" s="20"/>
      <c r="O40" s="43"/>
      <c r="P40" s="19">
        <f t="shared" si="1"/>
        <v>0</v>
      </c>
      <c r="Q40" s="198">
        <f>P40+P41</f>
        <v>0</v>
      </c>
      <c r="R40" s="232" t="s">
        <v>390</v>
      </c>
      <c r="S40" s="74"/>
      <c r="T40" s="74"/>
    </row>
    <row r="41" spans="1:20" s="75" customFormat="1" ht="49.5" customHeight="1" hidden="1">
      <c r="A41" s="15"/>
      <c r="B41" s="16"/>
      <c r="C41" s="15"/>
      <c r="D41" s="3" t="s">
        <v>172</v>
      </c>
      <c r="E41" s="19">
        <f t="shared" si="4"/>
        <v>0</v>
      </c>
      <c r="F41" s="20"/>
      <c r="G41" s="20"/>
      <c r="H41" s="20"/>
      <c r="I41" s="20"/>
      <c r="J41" s="21">
        <f t="shared" si="2"/>
        <v>0</v>
      </c>
      <c r="K41" s="43"/>
      <c r="L41" s="20"/>
      <c r="M41" s="20"/>
      <c r="N41" s="20"/>
      <c r="O41" s="43"/>
      <c r="P41" s="19">
        <f t="shared" si="1"/>
        <v>0</v>
      </c>
      <c r="Q41" s="198"/>
      <c r="R41" s="232" t="s">
        <v>390</v>
      </c>
      <c r="S41" s="74"/>
      <c r="T41" s="74"/>
    </row>
    <row r="42" spans="1:20" s="75" customFormat="1" ht="51" customHeight="1">
      <c r="A42" s="15"/>
      <c r="B42" s="16"/>
      <c r="C42" s="15"/>
      <c r="D42" s="3" t="s">
        <v>173</v>
      </c>
      <c r="E42" s="19">
        <f t="shared" si="4"/>
        <v>339164</v>
      </c>
      <c r="F42" s="20">
        <f>339164</f>
        <v>339164</v>
      </c>
      <c r="G42" s="20"/>
      <c r="H42" s="20"/>
      <c r="I42" s="20"/>
      <c r="J42" s="21">
        <f t="shared" si="2"/>
        <v>0</v>
      </c>
      <c r="K42" s="43"/>
      <c r="L42" s="20"/>
      <c r="M42" s="20"/>
      <c r="N42" s="20"/>
      <c r="O42" s="43"/>
      <c r="P42" s="19">
        <f t="shared" si="1"/>
        <v>339164</v>
      </c>
      <c r="Q42" s="198">
        <f>P42+P58</f>
        <v>3301364</v>
      </c>
      <c r="R42" s="232" t="s">
        <v>389</v>
      </c>
      <c r="S42" s="74"/>
      <c r="T42" s="74"/>
    </row>
    <row r="43" spans="1:20" s="75" customFormat="1" ht="51" customHeight="1">
      <c r="A43" s="15"/>
      <c r="B43" s="16"/>
      <c r="C43" s="15"/>
      <c r="D43" s="3" t="s">
        <v>215</v>
      </c>
      <c r="E43" s="19">
        <f t="shared" si="4"/>
        <v>2779204</v>
      </c>
      <c r="F43" s="20">
        <f>2779204</f>
        <v>2779204</v>
      </c>
      <c r="G43" s="20">
        <f>1480719</f>
        <v>1480719</v>
      </c>
      <c r="H43" s="20"/>
      <c r="I43" s="20"/>
      <c r="J43" s="21">
        <f t="shared" si="2"/>
        <v>0</v>
      </c>
      <c r="K43" s="43"/>
      <c r="L43" s="20"/>
      <c r="M43" s="20"/>
      <c r="N43" s="20"/>
      <c r="O43" s="43"/>
      <c r="P43" s="19">
        <f t="shared" si="1"/>
        <v>2779204</v>
      </c>
      <c r="Q43" s="198"/>
      <c r="R43" s="232" t="s">
        <v>392</v>
      </c>
      <c r="S43" s="74"/>
      <c r="T43" s="74"/>
    </row>
    <row r="44" spans="1:20" s="75" customFormat="1" ht="41.25" customHeight="1" hidden="1">
      <c r="A44" s="15"/>
      <c r="B44" s="16"/>
      <c r="C44" s="15"/>
      <c r="D44" s="3" t="s">
        <v>174</v>
      </c>
      <c r="E44" s="19">
        <f t="shared" si="4"/>
        <v>0</v>
      </c>
      <c r="F44" s="20"/>
      <c r="G44" s="20"/>
      <c r="H44" s="20"/>
      <c r="I44" s="20"/>
      <c r="J44" s="21">
        <f t="shared" si="2"/>
        <v>0</v>
      </c>
      <c r="K44" s="43"/>
      <c r="L44" s="20"/>
      <c r="M44" s="20"/>
      <c r="N44" s="20"/>
      <c r="O44" s="43"/>
      <c r="P44" s="19">
        <f t="shared" si="1"/>
        <v>0</v>
      </c>
      <c r="Q44" s="193">
        <f>P44</f>
        <v>0</v>
      </c>
      <c r="R44" s="232" t="s">
        <v>391</v>
      </c>
      <c r="S44" s="74"/>
      <c r="T44" s="74"/>
    </row>
    <row r="45" spans="1:20" s="75" customFormat="1" ht="74.25" customHeight="1" hidden="1">
      <c r="A45" s="15"/>
      <c r="B45" s="16"/>
      <c r="C45" s="15"/>
      <c r="D45" s="3" t="s">
        <v>372</v>
      </c>
      <c r="E45" s="19">
        <f t="shared" si="4"/>
        <v>0</v>
      </c>
      <c r="F45" s="20"/>
      <c r="G45" s="20"/>
      <c r="H45" s="20"/>
      <c r="I45" s="20"/>
      <c r="J45" s="21">
        <f t="shared" si="2"/>
        <v>0</v>
      </c>
      <c r="K45" s="43"/>
      <c r="L45" s="20"/>
      <c r="M45" s="20"/>
      <c r="N45" s="20"/>
      <c r="O45" s="43"/>
      <c r="P45" s="19">
        <f t="shared" si="1"/>
        <v>0</v>
      </c>
      <c r="Q45" s="193">
        <f>P45+P51</f>
        <v>0</v>
      </c>
      <c r="R45" s="232" t="s">
        <v>396</v>
      </c>
      <c r="S45" s="74"/>
      <c r="T45" s="74"/>
    </row>
    <row r="46" spans="1:20" s="75" customFormat="1" ht="33" customHeight="1" hidden="1">
      <c r="A46" s="15"/>
      <c r="B46" s="16"/>
      <c r="C46" s="15"/>
      <c r="D46" s="3" t="s">
        <v>601</v>
      </c>
      <c r="E46" s="19">
        <f t="shared" si="4"/>
        <v>0</v>
      </c>
      <c r="F46" s="20"/>
      <c r="G46" s="20"/>
      <c r="H46" s="20"/>
      <c r="I46" s="20"/>
      <c r="J46" s="21">
        <f t="shared" si="2"/>
        <v>0</v>
      </c>
      <c r="K46" s="43"/>
      <c r="L46" s="20"/>
      <c r="M46" s="20"/>
      <c r="N46" s="20"/>
      <c r="O46" s="43"/>
      <c r="P46" s="19">
        <f t="shared" si="1"/>
        <v>0</v>
      </c>
      <c r="Q46" s="193"/>
      <c r="R46" s="232" t="s">
        <v>383</v>
      </c>
      <c r="S46" s="74"/>
      <c r="T46" s="74"/>
    </row>
    <row r="47" spans="1:20" s="52" customFormat="1" ht="45" customHeight="1" hidden="1">
      <c r="A47" s="46" t="s">
        <v>281</v>
      </c>
      <c r="B47" s="47" t="s">
        <v>283</v>
      </c>
      <c r="C47" s="46" t="s">
        <v>282</v>
      </c>
      <c r="D47" s="44" t="s">
        <v>284</v>
      </c>
      <c r="E47" s="48">
        <f t="shared" si="4"/>
        <v>0</v>
      </c>
      <c r="F47" s="49"/>
      <c r="G47" s="49"/>
      <c r="H47" s="49"/>
      <c r="I47" s="49"/>
      <c r="J47" s="50">
        <f t="shared" si="2"/>
        <v>0</v>
      </c>
      <c r="K47" s="59"/>
      <c r="L47" s="49"/>
      <c r="M47" s="49"/>
      <c r="N47" s="49"/>
      <c r="O47" s="59"/>
      <c r="P47" s="48">
        <f t="shared" si="1"/>
        <v>0</v>
      </c>
      <c r="Q47" s="193"/>
      <c r="R47" s="89"/>
      <c r="S47" s="76"/>
      <c r="T47" s="76"/>
    </row>
    <row r="48" spans="1:20" s="75" customFormat="1" ht="28.5" customHeight="1" hidden="1">
      <c r="A48" s="15"/>
      <c r="B48" s="16"/>
      <c r="C48" s="15"/>
      <c r="D48" s="3" t="s">
        <v>175</v>
      </c>
      <c r="E48" s="19">
        <f t="shared" si="4"/>
        <v>0</v>
      </c>
      <c r="F48" s="20"/>
      <c r="G48" s="20"/>
      <c r="H48" s="20"/>
      <c r="I48" s="20"/>
      <c r="J48" s="21">
        <f t="shared" si="2"/>
        <v>0</v>
      </c>
      <c r="K48" s="43"/>
      <c r="L48" s="20"/>
      <c r="M48" s="20"/>
      <c r="N48" s="20"/>
      <c r="O48" s="43"/>
      <c r="P48" s="19">
        <f t="shared" si="1"/>
        <v>0</v>
      </c>
      <c r="Q48" s="193"/>
      <c r="R48" s="232" t="s">
        <v>384</v>
      </c>
      <c r="S48" s="74"/>
      <c r="T48" s="74"/>
    </row>
    <row r="49" spans="1:20" s="75" customFormat="1" ht="51" customHeight="1">
      <c r="A49" s="37" t="s">
        <v>400</v>
      </c>
      <c r="B49" s="53">
        <v>1070</v>
      </c>
      <c r="C49" s="37" t="s">
        <v>282</v>
      </c>
      <c r="D49" s="192" t="s">
        <v>401</v>
      </c>
      <c r="E49" s="48">
        <f t="shared" si="4"/>
        <v>29904800</v>
      </c>
      <c r="F49" s="54">
        <f>29904800</f>
        <v>29904800</v>
      </c>
      <c r="G49" s="54">
        <f>18605700</f>
        <v>18605700</v>
      </c>
      <c r="H49" s="54">
        <f>2854500</f>
        <v>2854500</v>
      </c>
      <c r="I49" s="54"/>
      <c r="J49" s="50">
        <f t="shared" si="2"/>
        <v>10000</v>
      </c>
      <c r="K49" s="233"/>
      <c r="L49" s="54">
        <f>10000</f>
        <v>10000</v>
      </c>
      <c r="M49" s="54"/>
      <c r="N49" s="54"/>
      <c r="O49" s="233"/>
      <c r="P49" s="48">
        <f t="shared" si="1"/>
        <v>29914800</v>
      </c>
      <c r="Q49" s="193"/>
      <c r="R49" s="14"/>
      <c r="S49" s="74"/>
      <c r="T49" s="74"/>
    </row>
    <row r="50" spans="1:20" s="75" customFormat="1" ht="31.5" customHeight="1">
      <c r="A50" s="37"/>
      <c r="B50" s="53"/>
      <c r="C50" s="191"/>
      <c r="D50" s="3" t="s">
        <v>175</v>
      </c>
      <c r="E50" s="24">
        <f t="shared" si="4"/>
        <v>17293800</v>
      </c>
      <c r="F50" s="20">
        <f>17293800</f>
        <v>17293800</v>
      </c>
      <c r="G50" s="20">
        <f>14175200</f>
        <v>14175200</v>
      </c>
      <c r="H50" s="20"/>
      <c r="I50" s="20"/>
      <c r="J50" s="26">
        <f t="shared" si="2"/>
        <v>0</v>
      </c>
      <c r="K50" s="43"/>
      <c r="L50" s="20"/>
      <c r="M50" s="20"/>
      <c r="N50" s="20"/>
      <c r="O50" s="43"/>
      <c r="P50" s="24">
        <f t="shared" si="1"/>
        <v>17293800</v>
      </c>
      <c r="Q50" s="193"/>
      <c r="R50" s="232" t="s">
        <v>384</v>
      </c>
      <c r="S50" s="74"/>
      <c r="T50" s="74"/>
    </row>
    <row r="51" spans="1:20" s="75" customFormat="1" ht="70.5" customHeight="1" hidden="1">
      <c r="A51" s="37"/>
      <c r="B51" s="53"/>
      <c r="C51" s="191"/>
      <c r="D51" s="3" t="s">
        <v>372</v>
      </c>
      <c r="E51" s="19">
        <f t="shared" si="4"/>
        <v>0</v>
      </c>
      <c r="F51" s="20"/>
      <c r="G51" s="20"/>
      <c r="H51" s="20"/>
      <c r="I51" s="20"/>
      <c r="J51" s="21">
        <f t="shared" si="2"/>
        <v>0</v>
      </c>
      <c r="K51" s="43"/>
      <c r="L51" s="20"/>
      <c r="M51" s="20"/>
      <c r="N51" s="20"/>
      <c r="O51" s="43"/>
      <c r="P51" s="19">
        <f t="shared" si="1"/>
        <v>0</v>
      </c>
      <c r="Q51" s="193"/>
      <c r="R51" s="232" t="s">
        <v>396</v>
      </c>
      <c r="S51" s="74"/>
      <c r="T51" s="74"/>
    </row>
    <row r="52" spans="1:20" s="52" customFormat="1" ht="35.25" customHeight="1">
      <c r="A52" s="46" t="s">
        <v>285</v>
      </c>
      <c r="B52" s="47" t="s">
        <v>287</v>
      </c>
      <c r="C52" s="46" t="s">
        <v>286</v>
      </c>
      <c r="D52" s="44" t="s">
        <v>288</v>
      </c>
      <c r="E52" s="48">
        <f t="shared" si="4"/>
        <v>30699300</v>
      </c>
      <c r="F52" s="49">
        <f>30699300</f>
        <v>30699300</v>
      </c>
      <c r="G52" s="49">
        <f>21343200</f>
        <v>21343200</v>
      </c>
      <c r="H52" s="49">
        <f>3904600</f>
        <v>3904600</v>
      </c>
      <c r="I52" s="49"/>
      <c r="J52" s="50">
        <f t="shared" si="2"/>
        <v>37250</v>
      </c>
      <c r="K52" s="59"/>
      <c r="L52" s="49">
        <f>37250</f>
        <v>37250</v>
      </c>
      <c r="M52" s="49"/>
      <c r="N52" s="49">
        <f>2000</f>
        <v>2000</v>
      </c>
      <c r="O52" s="59"/>
      <c r="P52" s="48">
        <f t="shared" si="1"/>
        <v>30736550</v>
      </c>
      <c r="Q52" s="193"/>
      <c r="R52" s="89"/>
      <c r="S52" s="76"/>
      <c r="T52" s="76"/>
    </row>
    <row r="53" spans="1:20" s="52" customFormat="1" ht="48" customHeight="1">
      <c r="A53" s="46" t="s">
        <v>289</v>
      </c>
      <c r="B53" s="47" t="s">
        <v>290</v>
      </c>
      <c r="C53" s="46" t="s">
        <v>286</v>
      </c>
      <c r="D53" s="44" t="s">
        <v>291</v>
      </c>
      <c r="E53" s="48">
        <f t="shared" si="4"/>
        <v>33070200</v>
      </c>
      <c r="F53" s="49">
        <f>33070200</f>
        <v>33070200</v>
      </c>
      <c r="G53" s="49">
        <f>23937000</f>
        <v>23937000</v>
      </c>
      <c r="H53" s="49">
        <f>3357900</f>
        <v>3357900</v>
      </c>
      <c r="I53" s="49"/>
      <c r="J53" s="50">
        <f t="shared" si="2"/>
        <v>2919615</v>
      </c>
      <c r="K53" s="59"/>
      <c r="L53" s="49">
        <f>2573678</f>
        <v>2573678</v>
      </c>
      <c r="M53" s="49">
        <f>1308075</f>
        <v>1308075</v>
      </c>
      <c r="N53" s="49">
        <f>7080</f>
        <v>7080</v>
      </c>
      <c r="O53" s="59">
        <f>345937</f>
        <v>345937</v>
      </c>
      <c r="P53" s="48">
        <f t="shared" si="1"/>
        <v>35989815</v>
      </c>
      <c r="Q53" s="193"/>
      <c r="R53" s="89"/>
      <c r="S53" s="76"/>
      <c r="T53" s="76"/>
    </row>
    <row r="54" spans="1:20" s="52" customFormat="1" ht="23.25" customHeight="1">
      <c r="A54" s="46" t="s">
        <v>292</v>
      </c>
      <c r="B54" s="47" t="s">
        <v>294</v>
      </c>
      <c r="C54" s="46" t="s">
        <v>293</v>
      </c>
      <c r="D54" s="44" t="s">
        <v>295</v>
      </c>
      <c r="E54" s="48">
        <f t="shared" si="4"/>
        <v>5069800</v>
      </c>
      <c r="F54" s="49">
        <f>5069800</f>
        <v>5069800</v>
      </c>
      <c r="G54" s="49">
        <f>3825300</f>
        <v>3825300</v>
      </c>
      <c r="H54" s="49">
        <f>69500</f>
        <v>69500</v>
      </c>
      <c r="I54" s="49"/>
      <c r="J54" s="50">
        <f t="shared" si="2"/>
        <v>0</v>
      </c>
      <c r="K54" s="59"/>
      <c r="L54" s="49"/>
      <c r="M54" s="49"/>
      <c r="N54" s="49"/>
      <c r="O54" s="59"/>
      <c r="P54" s="48">
        <f t="shared" si="1"/>
        <v>5069800</v>
      </c>
      <c r="Q54" s="193"/>
      <c r="R54" s="89"/>
      <c r="S54" s="76"/>
      <c r="T54" s="76"/>
    </row>
    <row r="55" spans="1:20" s="52" customFormat="1" ht="23.25" customHeight="1">
      <c r="A55" s="58" t="s">
        <v>97</v>
      </c>
      <c r="B55" s="47">
        <v>1161</v>
      </c>
      <c r="C55" s="58" t="s">
        <v>293</v>
      </c>
      <c r="D55" s="45" t="s">
        <v>98</v>
      </c>
      <c r="E55" s="48">
        <f t="shared" si="4"/>
        <v>9751500</v>
      </c>
      <c r="F55" s="49">
        <f>9751500</f>
        <v>9751500</v>
      </c>
      <c r="G55" s="49">
        <f>6095800</f>
        <v>6095800</v>
      </c>
      <c r="H55" s="49">
        <f>648600</f>
        <v>648600</v>
      </c>
      <c r="I55" s="49"/>
      <c r="J55" s="50">
        <f t="shared" si="2"/>
        <v>73300</v>
      </c>
      <c r="K55" s="59"/>
      <c r="L55" s="49">
        <f>73300</f>
        <v>73300</v>
      </c>
      <c r="M55" s="49"/>
      <c r="N55" s="49">
        <f>2000</f>
        <v>2000</v>
      </c>
      <c r="O55" s="59"/>
      <c r="P55" s="48">
        <f t="shared" si="1"/>
        <v>9824800</v>
      </c>
      <c r="Q55" s="193"/>
      <c r="R55" s="89"/>
      <c r="S55" s="76"/>
      <c r="T55" s="76"/>
    </row>
    <row r="56" spans="1:20" s="52" customFormat="1" ht="18" customHeight="1">
      <c r="A56" s="58" t="s">
        <v>188</v>
      </c>
      <c r="B56" s="47">
        <v>1162</v>
      </c>
      <c r="C56" s="58" t="s">
        <v>293</v>
      </c>
      <c r="D56" s="45" t="s">
        <v>189</v>
      </c>
      <c r="E56" s="48">
        <f t="shared" si="4"/>
        <v>805300</v>
      </c>
      <c r="F56" s="49">
        <f>805300</f>
        <v>805300</v>
      </c>
      <c r="G56" s="49"/>
      <c r="H56" s="49"/>
      <c r="I56" s="49"/>
      <c r="J56" s="50">
        <f t="shared" si="2"/>
        <v>0</v>
      </c>
      <c r="K56" s="59"/>
      <c r="L56" s="49"/>
      <c r="M56" s="49"/>
      <c r="N56" s="49"/>
      <c r="O56" s="59"/>
      <c r="P56" s="48">
        <f t="shared" si="1"/>
        <v>805300</v>
      </c>
      <c r="Q56" s="193"/>
      <c r="R56" s="89"/>
      <c r="S56" s="76"/>
      <c r="T56" s="76"/>
    </row>
    <row r="57" spans="1:20" s="52" customFormat="1" ht="28.5" customHeight="1">
      <c r="A57" s="58" t="s">
        <v>91</v>
      </c>
      <c r="B57" s="47">
        <v>1170</v>
      </c>
      <c r="C57" s="58" t="s">
        <v>293</v>
      </c>
      <c r="D57" s="45" t="s">
        <v>92</v>
      </c>
      <c r="E57" s="48">
        <f>F57</f>
        <v>4694700</v>
      </c>
      <c r="F57" s="49">
        <f>4694700</f>
        <v>4694700</v>
      </c>
      <c r="G57" s="59">
        <f>3237000</f>
        <v>3237000</v>
      </c>
      <c r="H57" s="49">
        <f>664900</f>
        <v>664900</v>
      </c>
      <c r="I57" s="49"/>
      <c r="J57" s="50">
        <f>L57+O57</f>
        <v>1897700</v>
      </c>
      <c r="K57" s="59">
        <f>1689800</f>
        <v>1689800</v>
      </c>
      <c r="L57" s="49">
        <f>207900</f>
        <v>207900</v>
      </c>
      <c r="M57" s="49"/>
      <c r="N57" s="49"/>
      <c r="O57" s="59">
        <f>1689800</f>
        <v>1689800</v>
      </c>
      <c r="P57" s="48">
        <f>E57+J57</f>
        <v>6592400</v>
      </c>
      <c r="Q57" s="193"/>
      <c r="R57" s="89"/>
      <c r="S57" s="76"/>
      <c r="T57" s="76"/>
    </row>
    <row r="58" spans="1:20" s="75" customFormat="1" ht="43.5" customHeight="1">
      <c r="A58" s="29"/>
      <c r="B58" s="16"/>
      <c r="C58" s="29"/>
      <c r="D58" s="3" t="s">
        <v>176</v>
      </c>
      <c r="E58" s="19">
        <f>F58</f>
        <v>2962200</v>
      </c>
      <c r="F58" s="20">
        <f>2962200</f>
        <v>2962200</v>
      </c>
      <c r="G58" s="20">
        <f>2428000</f>
        <v>2428000</v>
      </c>
      <c r="H58" s="20"/>
      <c r="I58" s="20"/>
      <c r="J58" s="21">
        <f>L58+O58</f>
        <v>0</v>
      </c>
      <c r="K58" s="43"/>
      <c r="L58" s="20"/>
      <c r="M58" s="20"/>
      <c r="N58" s="20"/>
      <c r="O58" s="43"/>
      <c r="P58" s="19">
        <f>E58+J58</f>
        <v>2962200</v>
      </c>
      <c r="Q58" s="198"/>
      <c r="R58" s="232" t="s">
        <v>389</v>
      </c>
      <c r="S58" s="74"/>
      <c r="T58" s="74"/>
    </row>
    <row r="59" spans="1:20" s="75" customFormat="1" ht="56.25" customHeight="1" hidden="1">
      <c r="A59" s="29"/>
      <c r="B59" s="16"/>
      <c r="C59" s="29"/>
      <c r="D59" s="3" t="s">
        <v>215</v>
      </c>
      <c r="E59" s="19">
        <f>F59</f>
        <v>0</v>
      </c>
      <c r="F59" s="20"/>
      <c r="G59" s="20"/>
      <c r="H59" s="20"/>
      <c r="I59" s="20"/>
      <c r="J59" s="21">
        <f>L59+O59</f>
        <v>0</v>
      </c>
      <c r="K59" s="43"/>
      <c r="L59" s="20"/>
      <c r="M59" s="20"/>
      <c r="N59" s="20"/>
      <c r="O59" s="43"/>
      <c r="P59" s="19">
        <f>E59+J59</f>
        <v>0</v>
      </c>
      <c r="Q59" s="198"/>
      <c r="R59" s="232" t="s">
        <v>392</v>
      </c>
      <c r="S59" s="74"/>
      <c r="T59" s="74"/>
    </row>
    <row r="60" spans="1:20" s="52" customFormat="1" ht="34.5" customHeight="1" hidden="1">
      <c r="A60" s="46" t="s">
        <v>296</v>
      </c>
      <c r="B60" s="47" t="s">
        <v>297</v>
      </c>
      <c r="C60" s="46" t="s">
        <v>283</v>
      </c>
      <c r="D60" s="44" t="s">
        <v>298</v>
      </c>
      <c r="E60" s="48">
        <f aca="true" t="shared" si="5" ref="E60:E80">F60+I60</f>
        <v>0</v>
      </c>
      <c r="F60" s="49"/>
      <c r="G60" s="49"/>
      <c r="I60" s="49"/>
      <c r="J60" s="50">
        <f t="shared" si="2"/>
        <v>0</v>
      </c>
      <c r="K60" s="59"/>
      <c r="L60" s="49"/>
      <c r="M60" s="49"/>
      <c r="N60" s="49"/>
      <c r="O60" s="59"/>
      <c r="P60" s="48">
        <f t="shared" si="1"/>
        <v>0</v>
      </c>
      <c r="Q60" s="193"/>
      <c r="R60" s="89"/>
      <c r="S60" s="76"/>
      <c r="T60" s="76"/>
    </row>
    <row r="61" spans="1:20" s="52" customFormat="1" ht="68.25" customHeight="1">
      <c r="A61" s="46" t="s">
        <v>299</v>
      </c>
      <c r="B61" s="47" t="s">
        <v>300</v>
      </c>
      <c r="C61" s="46" t="s">
        <v>283</v>
      </c>
      <c r="D61" s="44" t="s">
        <v>302</v>
      </c>
      <c r="E61" s="48">
        <f t="shared" si="5"/>
        <v>5637970</v>
      </c>
      <c r="F61" s="49">
        <v>5637970</v>
      </c>
      <c r="G61" s="49"/>
      <c r="H61" s="49"/>
      <c r="I61" s="49"/>
      <c r="J61" s="50">
        <f t="shared" si="2"/>
        <v>1000000</v>
      </c>
      <c r="K61" s="59"/>
      <c r="L61" s="49">
        <v>1000000</v>
      </c>
      <c r="M61" s="49"/>
      <c r="N61" s="49"/>
      <c r="O61" s="59"/>
      <c r="P61" s="48">
        <f t="shared" si="1"/>
        <v>6637970</v>
      </c>
      <c r="Q61" s="193"/>
      <c r="R61" s="89"/>
      <c r="S61" s="76"/>
      <c r="T61" s="76"/>
    </row>
    <row r="62" spans="1:20" s="52" customFormat="1" ht="28.5" customHeight="1" hidden="1">
      <c r="A62" s="46" t="s">
        <v>74</v>
      </c>
      <c r="B62" s="47">
        <v>3242</v>
      </c>
      <c r="C62" s="46" t="s">
        <v>287</v>
      </c>
      <c r="D62" s="52" t="s">
        <v>75</v>
      </c>
      <c r="E62" s="48">
        <f t="shared" si="5"/>
        <v>0</v>
      </c>
      <c r="F62" s="49"/>
      <c r="G62" s="49"/>
      <c r="H62" s="49"/>
      <c r="I62" s="49"/>
      <c r="J62" s="50">
        <f t="shared" si="2"/>
        <v>0</v>
      </c>
      <c r="K62" s="59"/>
      <c r="L62" s="49"/>
      <c r="M62" s="49"/>
      <c r="N62" s="49"/>
      <c r="O62" s="59"/>
      <c r="P62" s="48">
        <f t="shared" si="1"/>
        <v>0</v>
      </c>
      <c r="Q62" s="193"/>
      <c r="R62" s="89"/>
      <c r="S62" s="76"/>
      <c r="T62" s="76"/>
    </row>
    <row r="63" spans="1:20" s="260" customFormat="1" ht="19.5" customHeight="1">
      <c r="A63" s="103" t="s">
        <v>303</v>
      </c>
      <c r="B63" s="104" t="s">
        <v>305</v>
      </c>
      <c r="C63" s="103" t="s">
        <v>304</v>
      </c>
      <c r="D63" s="256" t="s">
        <v>306</v>
      </c>
      <c r="E63" s="48">
        <f t="shared" si="5"/>
        <v>31772300</v>
      </c>
      <c r="F63" s="51">
        <v>31772300</v>
      </c>
      <c r="G63" s="51">
        <v>0</v>
      </c>
      <c r="H63" s="51">
        <v>0</v>
      </c>
      <c r="I63" s="51">
        <v>0</v>
      </c>
      <c r="J63" s="50">
        <f t="shared" si="2"/>
        <v>0</v>
      </c>
      <c r="K63" s="51">
        <v>0</v>
      </c>
      <c r="L63" s="51">
        <v>0</v>
      </c>
      <c r="M63" s="51">
        <v>0</v>
      </c>
      <c r="N63" s="51">
        <v>0</v>
      </c>
      <c r="O63" s="51">
        <v>0</v>
      </c>
      <c r="P63" s="48">
        <f t="shared" si="1"/>
        <v>31772300</v>
      </c>
      <c r="Q63" s="257"/>
      <c r="R63" s="258"/>
      <c r="S63" s="259"/>
      <c r="T63" s="259"/>
    </row>
    <row r="64" spans="1:20" s="260" customFormat="1" ht="18" customHeight="1">
      <c r="A64" s="103" t="s">
        <v>307</v>
      </c>
      <c r="B64" s="104" t="s">
        <v>309</v>
      </c>
      <c r="C64" s="103" t="s">
        <v>308</v>
      </c>
      <c r="D64" s="256" t="s">
        <v>310</v>
      </c>
      <c r="E64" s="48">
        <f t="shared" si="5"/>
        <v>7694800</v>
      </c>
      <c r="F64" s="51">
        <v>7694800</v>
      </c>
      <c r="G64" s="51">
        <v>5017100</v>
      </c>
      <c r="H64" s="51">
        <v>1019600</v>
      </c>
      <c r="I64" s="51">
        <v>0</v>
      </c>
      <c r="J64" s="50">
        <f t="shared" si="2"/>
        <v>1000</v>
      </c>
      <c r="K64" s="51">
        <v>0</v>
      </c>
      <c r="L64" s="51">
        <v>1000</v>
      </c>
      <c r="M64" s="51">
        <v>0</v>
      </c>
      <c r="N64" s="51">
        <v>0</v>
      </c>
      <c r="O64" s="51">
        <v>0</v>
      </c>
      <c r="P64" s="48">
        <f t="shared" si="1"/>
        <v>7695800</v>
      </c>
      <c r="Q64" s="257"/>
      <c r="R64" s="258"/>
      <c r="S64" s="259"/>
      <c r="T64" s="259"/>
    </row>
    <row r="65" spans="1:20" s="75" customFormat="1" ht="33.75" customHeight="1" hidden="1">
      <c r="A65" s="15"/>
      <c r="B65" s="16"/>
      <c r="C65" s="15"/>
      <c r="D65" s="3" t="s">
        <v>601</v>
      </c>
      <c r="E65" s="19">
        <f t="shared" si="5"/>
        <v>0</v>
      </c>
      <c r="F65" s="20"/>
      <c r="G65" s="20"/>
      <c r="H65" s="20"/>
      <c r="I65" s="20"/>
      <c r="J65" s="21">
        <f t="shared" si="2"/>
        <v>0</v>
      </c>
      <c r="K65" s="43"/>
      <c r="L65" s="20"/>
      <c r="M65" s="20"/>
      <c r="N65" s="20"/>
      <c r="O65" s="43"/>
      <c r="P65" s="19">
        <f>E65+J65</f>
        <v>0</v>
      </c>
      <c r="Q65" s="198"/>
      <c r="R65" s="232" t="s">
        <v>383</v>
      </c>
      <c r="S65" s="74"/>
      <c r="T65" s="74"/>
    </row>
    <row r="66" spans="1:20" s="52" customFormat="1" ht="21" customHeight="1">
      <c r="A66" s="46" t="s">
        <v>311</v>
      </c>
      <c r="B66" s="47" t="s">
        <v>312</v>
      </c>
      <c r="C66" s="46" t="s">
        <v>308</v>
      </c>
      <c r="D66" s="44" t="s">
        <v>313</v>
      </c>
      <c r="E66" s="48">
        <f t="shared" si="5"/>
        <v>4052300</v>
      </c>
      <c r="F66" s="49">
        <v>4052300</v>
      </c>
      <c r="G66" s="49">
        <v>2103500</v>
      </c>
      <c r="H66" s="49">
        <v>492700</v>
      </c>
      <c r="I66" s="49">
        <v>0</v>
      </c>
      <c r="J66" s="50">
        <f t="shared" si="2"/>
        <v>2030325</v>
      </c>
      <c r="K66" s="59">
        <v>1957700</v>
      </c>
      <c r="L66" s="49">
        <v>72625</v>
      </c>
      <c r="M66" s="49">
        <v>0</v>
      </c>
      <c r="N66" s="49">
        <v>1500</v>
      </c>
      <c r="O66" s="59">
        <v>1957700</v>
      </c>
      <c r="P66" s="48">
        <f>E66+J66</f>
        <v>6082625</v>
      </c>
      <c r="Q66" s="193"/>
      <c r="R66" s="89"/>
      <c r="S66" s="76"/>
      <c r="T66" s="76"/>
    </row>
    <row r="67" spans="1:20" s="52" customFormat="1" ht="41.25" customHeight="1">
      <c r="A67" s="58" t="s">
        <v>609</v>
      </c>
      <c r="B67" s="47">
        <v>4060</v>
      </c>
      <c r="C67" s="58" t="s">
        <v>613</v>
      </c>
      <c r="D67" s="45" t="s">
        <v>610</v>
      </c>
      <c r="E67" s="48">
        <f t="shared" si="5"/>
        <v>838500</v>
      </c>
      <c r="F67" s="49">
        <v>838500</v>
      </c>
      <c r="G67" s="49">
        <v>419500</v>
      </c>
      <c r="H67" s="49">
        <v>164500</v>
      </c>
      <c r="I67" s="49">
        <v>0</v>
      </c>
      <c r="J67" s="50">
        <f t="shared" si="2"/>
        <v>0</v>
      </c>
      <c r="K67" s="59"/>
      <c r="L67" s="49"/>
      <c r="M67" s="49"/>
      <c r="N67" s="49"/>
      <c r="O67" s="59"/>
      <c r="P67" s="48">
        <f>E67+J67</f>
        <v>838500</v>
      </c>
      <c r="Q67" s="193"/>
      <c r="R67" s="89"/>
      <c r="S67" s="76"/>
      <c r="T67" s="76"/>
    </row>
    <row r="68" spans="1:20" s="52" customFormat="1" ht="21" customHeight="1">
      <c r="A68" s="58" t="s">
        <v>123</v>
      </c>
      <c r="B68" s="47">
        <v>4070</v>
      </c>
      <c r="C68" s="58" t="s">
        <v>125</v>
      </c>
      <c r="D68" s="45" t="s">
        <v>124</v>
      </c>
      <c r="E68" s="48">
        <f t="shared" si="5"/>
        <v>2495500</v>
      </c>
      <c r="F68" s="59">
        <v>2495500</v>
      </c>
      <c r="G68" s="49">
        <v>0</v>
      </c>
      <c r="H68" s="49">
        <v>0</v>
      </c>
      <c r="I68" s="49">
        <v>0</v>
      </c>
      <c r="J68" s="50">
        <f t="shared" si="2"/>
        <v>1500000</v>
      </c>
      <c r="K68" s="59">
        <v>1500000</v>
      </c>
      <c r="L68" s="49"/>
      <c r="M68" s="49"/>
      <c r="N68" s="49"/>
      <c r="O68" s="59">
        <v>1500000</v>
      </c>
      <c r="P68" s="48">
        <f t="shared" si="1"/>
        <v>3995500</v>
      </c>
      <c r="Q68" s="193"/>
      <c r="R68" s="89"/>
      <c r="S68" s="76"/>
      <c r="T68" s="76"/>
    </row>
    <row r="69" spans="1:20" s="75" customFormat="1" ht="29.25" customHeight="1" hidden="1">
      <c r="A69" s="15"/>
      <c r="B69" s="16"/>
      <c r="C69" s="15"/>
      <c r="D69" s="3" t="s">
        <v>601</v>
      </c>
      <c r="E69" s="19">
        <f t="shared" si="5"/>
        <v>0</v>
      </c>
      <c r="F69" s="20"/>
      <c r="G69" s="20"/>
      <c r="H69" s="20"/>
      <c r="I69" s="20"/>
      <c r="J69" s="21">
        <f t="shared" si="2"/>
        <v>0</v>
      </c>
      <c r="K69" s="43"/>
      <c r="L69" s="20"/>
      <c r="M69" s="20"/>
      <c r="N69" s="20"/>
      <c r="O69" s="43"/>
      <c r="P69" s="19">
        <f t="shared" si="1"/>
        <v>0</v>
      </c>
      <c r="Q69" s="198"/>
      <c r="R69" s="232" t="s">
        <v>383</v>
      </c>
      <c r="S69" s="74"/>
      <c r="T69" s="74"/>
    </row>
    <row r="70" spans="1:20" s="52" customFormat="1" ht="21.75" customHeight="1">
      <c r="A70" s="46" t="s">
        <v>99</v>
      </c>
      <c r="B70" s="47" t="s">
        <v>100</v>
      </c>
      <c r="C70" s="46" t="s">
        <v>101</v>
      </c>
      <c r="D70" s="45" t="s">
        <v>102</v>
      </c>
      <c r="E70" s="48">
        <f t="shared" si="5"/>
        <v>2815000</v>
      </c>
      <c r="F70" s="49">
        <v>2815000</v>
      </c>
      <c r="G70" s="49">
        <v>0</v>
      </c>
      <c r="H70" s="49">
        <v>0</v>
      </c>
      <c r="I70" s="49">
        <v>0</v>
      </c>
      <c r="J70" s="50">
        <f>L70+O70</f>
        <v>0</v>
      </c>
      <c r="K70" s="59"/>
      <c r="L70" s="49"/>
      <c r="M70" s="49"/>
      <c r="N70" s="49"/>
      <c r="O70" s="59"/>
      <c r="P70" s="48">
        <f>E70+J70</f>
        <v>2815000</v>
      </c>
      <c r="Q70" s="193"/>
      <c r="R70" s="89"/>
      <c r="S70" s="76"/>
      <c r="T70" s="76"/>
    </row>
    <row r="71" spans="1:20" s="78" customFormat="1" ht="22.5" customHeight="1">
      <c r="A71" s="46" t="s">
        <v>329</v>
      </c>
      <c r="B71" s="47" t="s">
        <v>330</v>
      </c>
      <c r="C71" s="46" t="s">
        <v>328</v>
      </c>
      <c r="D71" s="44" t="s">
        <v>331</v>
      </c>
      <c r="E71" s="48">
        <f t="shared" si="5"/>
        <v>0</v>
      </c>
      <c r="F71" s="49"/>
      <c r="G71" s="49"/>
      <c r="H71" s="49"/>
      <c r="I71" s="49"/>
      <c r="J71" s="50">
        <f>L71+O71</f>
        <v>6500000</v>
      </c>
      <c r="K71" s="59">
        <v>6500000</v>
      </c>
      <c r="L71" s="49"/>
      <c r="M71" s="49"/>
      <c r="N71" s="49"/>
      <c r="O71" s="59">
        <v>6500000</v>
      </c>
      <c r="P71" s="48">
        <f aca="true" t="shared" si="6" ref="P71:P124">E71+J71</f>
        <v>6500000</v>
      </c>
      <c r="Q71" s="193"/>
      <c r="R71" s="194"/>
      <c r="S71" s="77"/>
      <c r="T71" s="77"/>
    </row>
    <row r="72" spans="1:20" s="265" customFormat="1" ht="24" customHeight="1" hidden="1">
      <c r="A72" s="105" t="s">
        <v>144</v>
      </c>
      <c r="B72" s="261">
        <v>7340</v>
      </c>
      <c r="C72" s="105" t="s">
        <v>328</v>
      </c>
      <c r="D72" s="262" t="s">
        <v>145</v>
      </c>
      <c r="E72" s="48">
        <f t="shared" si="5"/>
        <v>0</v>
      </c>
      <c r="F72" s="51"/>
      <c r="G72" s="51"/>
      <c r="H72" s="51"/>
      <c r="I72" s="51"/>
      <c r="J72" s="50">
        <f aca="true" t="shared" si="7" ref="J72:J126">L72+O72</f>
        <v>0</v>
      </c>
      <c r="K72" s="51"/>
      <c r="L72" s="51"/>
      <c r="M72" s="51"/>
      <c r="N72" s="51"/>
      <c r="O72" s="51"/>
      <c r="P72" s="48">
        <f>E72+J72</f>
        <v>0</v>
      </c>
      <c r="Q72" s="257"/>
      <c r="R72" s="263"/>
      <c r="S72" s="264"/>
      <c r="T72" s="264"/>
    </row>
    <row r="73" spans="1:20" s="78" customFormat="1" ht="48.75" customHeight="1" hidden="1">
      <c r="A73" s="55" t="s">
        <v>113</v>
      </c>
      <c r="B73" s="56">
        <v>7363</v>
      </c>
      <c r="C73" s="55" t="s">
        <v>336</v>
      </c>
      <c r="D73" s="1" t="s">
        <v>112</v>
      </c>
      <c r="E73" s="48">
        <f t="shared" si="5"/>
        <v>0</v>
      </c>
      <c r="F73" s="49"/>
      <c r="G73" s="49"/>
      <c r="H73" s="49"/>
      <c r="I73" s="49"/>
      <c r="J73" s="50">
        <f t="shared" si="7"/>
        <v>0</v>
      </c>
      <c r="K73" s="59"/>
      <c r="L73" s="49"/>
      <c r="M73" s="49"/>
      <c r="N73" s="49"/>
      <c r="O73" s="59"/>
      <c r="P73" s="48">
        <f>E73+J73</f>
        <v>0</v>
      </c>
      <c r="Q73" s="193"/>
      <c r="R73" s="194"/>
      <c r="S73" s="77"/>
      <c r="T73" s="77"/>
    </row>
    <row r="74" spans="1:20" s="80" customFormat="1" ht="45.75" customHeight="1" hidden="1">
      <c r="A74" s="15"/>
      <c r="B74" s="16"/>
      <c r="C74" s="17"/>
      <c r="D74" s="18" t="s">
        <v>177</v>
      </c>
      <c r="E74" s="19">
        <f t="shared" si="5"/>
        <v>0</v>
      </c>
      <c r="F74" s="20"/>
      <c r="G74" s="20"/>
      <c r="H74" s="20"/>
      <c r="I74" s="20"/>
      <c r="J74" s="21">
        <f t="shared" si="7"/>
        <v>0</v>
      </c>
      <c r="K74" s="43"/>
      <c r="L74" s="20"/>
      <c r="M74" s="20"/>
      <c r="N74" s="20"/>
      <c r="O74" s="43"/>
      <c r="P74" s="19">
        <f>E74+J74</f>
        <v>0</v>
      </c>
      <c r="Q74" s="193"/>
      <c r="R74" s="232" t="s">
        <v>381</v>
      </c>
      <c r="S74" s="79"/>
      <c r="T74" s="79"/>
    </row>
    <row r="75" spans="1:20" s="80" customFormat="1" ht="41.25" customHeight="1" hidden="1">
      <c r="A75" s="15"/>
      <c r="B75" s="16"/>
      <c r="C75" s="17"/>
      <c r="D75" s="18" t="s">
        <v>178</v>
      </c>
      <c r="E75" s="19">
        <f t="shared" si="5"/>
        <v>0</v>
      </c>
      <c r="F75" s="20"/>
      <c r="G75" s="20"/>
      <c r="H75" s="20"/>
      <c r="I75" s="20"/>
      <c r="J75" s="21">
        <f t="shared" si="7"/>
        <v>0</v>
      </c>
      <c r="K75" s="43"/>
      <c r="L75" s="20"/>
      <c r="M75" s="20"/>
      <c r="N75" s="20"/>
      <c r="O75" s="43"/>
      <c r="P75" s="19">
        <f>E75+J75</f>
        <v>0</v>
      </c>
      <c r="Q75" s="193">
        <f>P75+P318</f>
        <v>0</v>
      </c>
      <c r="R75" s="232" t="s">
        <v>386</v>
      </c>
      <c r="S75" s="79"/>
      <c r="T75" s="79"/>
    </row>
    <row r="76" spans="1:20" s="78" customFormat="1" ht="22.5" customHeight="1">
      <c r="A76" s="46" t="s">
        <v>335</v>
      </c>
      <c r="B76" s="47" t="s">
        <v>337</v>
      </c>
      <c r="C76" s="46" t="s">
        <v>336</v>
      </c>
      <c r="D76" s="44" t="s">
        <v>338</v>
      </c>
      <c r="E76" s="48">
        <f t="shared" si="5"/>
        <v>0</v>
      </c>
      <c r="F76" s="49"/>
      <c r="G76" s="49"/>
      <c r="H76" s="49"/>
      <c r="I76" s="49"/>
      <c r="J76" s="50">
        <f t="shared" si="7"/>
        <v>600000</v>
      </c>
      <c r="K76" s="59">
        <v>600000</v>
      </c>
      <c r="L76" s="49"/>
      <c r="M76" s="49"/>
      <c r="N76" s="49"/>
      <c r="O76" s="59">
        <v>600000</v>
      </c>
      <c r="P76" s="48">
        <f t="shared" si="6"/>
        <v>600000</v>
      </c>
      <c r="Q76" s="193"/>
      <c r="R76" s="194"/>
      <c r="S76" s="189">
        <f>P76+P238+P262+P276</f>
        <v>37600000</v>
      </c>
      <c r="T76" s="77"/>
    </row>
    <row r="77" spans="1:20" s="83" customFormat="1" ht="17.25" customHeight="1" hidden="1">
      <c r="A77" s="58" t="s">
        <v>190</v>
      </c>
      <c r="B77" s="47">
        <v>8340</v>
      </c>
      <c r="C77" s="58" t="s">
        <v>523</v>
      </c>
      <c r="D77" s="45" t="s">
        <v>525</v>
      </c>
      <c r="E77" s="48">
        <f t="shared" si="5"/>
        <v>0</v>
      </c>
      <c r="F77" s="49">
        <v>0</v>
      </c>
      <c r="G77" s="49">
        <v>0</v>
      </c>
      <c r="H77" s="49">
        <v>0</v>
      </c>
      <c r="I77" s="49">
        <v>0</v>
      </c>
      <c r="J77" s="99">
        <f t="shared" si="7"/>
        <v>0</v>
      </c>
      <c r="K77" s="59"/>
      <c r="L77" s="49">
        <v>0</v>
      </c>
      <c r="M77" s="49">
        <v>0</v>
      </c>
      <c r="N77" s="49">
        <v>0</v>
      </c>
      <c r="O77" s="59">
        <v>0</v>
      </c>
      <c r="P77" s="48">
        <f t="shared" si="6"/>
        <v>0</v>
      </c>
      <c r="Q77" s="193"/>
      <c r="R77" s="14"/>
      <c r="S77" s="82"/>
      <c r="T77" s="82"/>
    </row>
    <row r="78" spans="1:20" s="117" customFormat="1" ht="24.75" customHeight="1">
      <c r="A78" s="110" t="s">
        <v>339</v>
      </c>
      <c r="B78" s="114"/>
      <c r="C78" s="108"/>
      <c r="D78" s="115" t="s">
        <v>340</v>
      </c>
      <c r="E78" s="99">
        <f t="shared" si="5"/>
        <v>217656296</v>
      </c>
      <c r="F78" s="99">
        <f>F79</f>
        <v>217656296</v>
      </c>
      <c r="G78" s="99">
        <f>G79</f>
        <v>1432436</v>
      </c>
      <c r="H78" s="99">
        <f>H79</f>
        <v>70681</v>
      </c>
      <c r="I78" s="99">
        <f>I79</f>
        <v>0</v>
      </c>
      <c r="J78" s="99">
        <f t="shared" si="7"/>
        <v>17928500</v>
      </c>
      <c r="K78" s="99">
        <f>K79</f>
        <v>17928500</v>
      </c>
      <c r="L78" s="99">
        <f>L79</f>
        <v>0</v>
      </c>
      <c r="M78" s="99">
        <f>M79</f>
        <v>0</v>
      </c>
      <c r="N78" s="99">
        <f>N79</f>
        <v>0</v>
      </c>
      <c r="O78" s="99">
        <f>O79</f>
        <v>17928500</v>
      </c>
      <c r="P78" s="99">
        <f>E78+J78</f>
        <v>235584796</v>
      </c>
      <c r="Q78" s="193"/>
      <c r="R78" s="196"/>
      <c r="S78" s="116"/>
      <c r="T78" s="116"/>
    </row>
    <row r="79" spans="1:20" s="176" customFormat="1" ht="24" customHeight="1">
      <c r="A79" s="169" t="s">
        <v>341</v>
      </c>
      <c r="B79" s="170"/>
      <c r="C79" s="171"/>
      <c r="D79" s="177" t="s">
        <v>16</v>
      </c>
      <c r="E79" s="173">
        <f t="shared" si="5"/>
        <v>217656296</v>
      </c>
      <c r="F79" s="173">
        <f>F80+F81+F82+F83+F88+F92+F95+F98+F100+F103+F105+F107+F108+F109+F110</f>
        <v>217656296</v>
      </c>
      <c r="G79" s="173">
        <f>G80+G81+G82+G83+G88+G92+G95+G98+G100+G103+G105+G107+G108+G109+G110</f>
        <v>1432436</v>
      </c>
      <c r="H79" s="173">
        <f>H80+H81+H82+H83+H88+H92+H95+H98+H100+H103+H105+H107+H108+H109+H110</f>
        <v>70681</v>
      </c>
      <c r="I79" s="173">
        <f>I80+I81+I82+I83+I88+I92+I95+I98+I100+I103+I105+I107+I108+I109+I110</f>
        <v>0</v>
      </c>
      <c r="J79" s="174">
        <f>L79+O79</f>
        <v>17928500</v>
      </c>
      <c r="K79" s="174">
        <f>K80+K81+K82+K83+K88+K92+K95+K98+K100+K103+K105+K107+K108+K109</f>
        <v>17928500</v>
      </c>
      <c r="L79" s="174">
        <f>L80+L81+L82+L83+L88+L92+L95+L98+L100+L103+L105+L107+L108+L109</f>
        <v>0</v>
      </c>
      <c r="M79" s="174">
        <f>M80+M81+M82+M83+M88+M92+M95+M98+M100+M103+M105+M107+M108+M109</f>
        <v>0</v>
      </c>
      <c r="N79" s="174">
        <f>N80+N81+N82+N83+N88+N92+N95+N98+N100+N103+N105+N107+N108+N109</f>
        <v>0</v>
      </c>
      <c r="O79" s="174">
        <f>O80+O81+O82+O83+O88+O92+O95+O98+O100+O103+O105+O107+O108+O109</f>
        <v>17928500</v>
      </c>
      <c r="P79" s="173">
        <f>E79+J79</f>
        <v>235584796</v>
      </c>
      <c r="Q79" s="193"/>
      <c r="R79" s="197"/>
      <c r="S79" s="175"/>
      <c r="T79" s="175"/>
    </row>
    <row r="80" spans="1:20" s="52" customFormat="1" ht="39" customHeight="1">
      <c r="A80" s="46" t="s">
        <v>342</v>
      </c>
      <c r="B80" s="47" t="s">
        <v>264</v>
      </c>
      <c r="C80" s="46" t="s">
        <v>249</v>
      </c>
      <c r="D80" s="44" t="s">
        <v>265</v>
      </c>
      <c r="E80" s="48">
        <f t="shared" si="5"/>
        <v>1921726</v>
      </c>
      <c r="F80" s="49">
        <v>1921726</v>
      </c>
      <c r="G80" s="49">
        <v>1432436</v>
      </c>
      <c r="H80" s="49">
        <v>70681</v>
      </c>
      <c r="I80" s="49"/>
      <c r="J80" s="50">
        <f t="shared" si="7"/>
        <v>0</v>
      </c>
      <c r="K80" s="59"/>
      <c r="L80" s="49"/>
      <c r="M80" s="49"/>
      <c r="N80" s="49"/>
      <c r="O80" s="233"/>
      <c r="P80" s="48">
        <f t="shared" si="6"/>
        <v>1921726</v>
      </c>
      <c r="Q80" s="193"/>
      <c r="R80" s="89"/>
      <c r="S80" s="76"/>
      <c r="T80" s="76"/>
    </row>
    <row r="81" spans="1:20" s="52" customFormat="1" ht="33.75" customHeight="1" hidden="1">
      <c r="A81" s="58" t="s">
        <v>218</v>
      </c>
      <c r="B81" s="58" t="s">
        <v>572</v>
      </c>
      <c r="C81" s="58" t="s">
        <v>117</v>
      </c>
      <c r="D81" s="45" t="s">
        <v>118</v>
      </c>
      <c r="E81" s="48">
        <f aca="true" t="shared" si="8" ref="E81:E108">F81+I81</f>
        <v>0</v>
      </c>
      <c r="F81" s="59"/>
      <c r="G81" s="49"/>
      <c r="H81" s="49"/>
      <c r="I81" s="49"/>
      <c r="J81" s="50">
        <f t="shared" si="7"/>
        <v>0</v>
      </c>
      <c r="K81" s="59"/>
      <c r="L81" s="49"/>
      <c r="M81" s="49"/>
      <c r="N81" s="49"/>
      <c r="O81" s="59"/>
      <c r="P81" s="48">
        <f t="shared" si="6"/>
        <v>0</v>
      </c>
      <c r="Q81" s="193"/>
      <c r="R81" s="89"/>
      <c r="S81" s="76"/>
      <c r="T81" s="76"/>
    </row>
    <row r="82" spans="1:20" s="52" customFormat="1" ht="25.5" customHeight="1">
      <c r="A82" s="46" t="s">
        <v>343</v>
      </c>
      <c r="B82" s="47" t="s">
        <v>254</v>
      </c>
      <c r="C82" s="46" t="s">
        <v>253</v>
      </c>
      <c r="D82" s="44" t="s">
        <v>255</v>
      </c>
      <c r="E82" s="48">
        <f t="shared" si="8"/>
        <v>271000</v>
      </c>
      <c r="F82" s="49">
        <v>271000</v>
      </c>
      <c r="G82" s="49"/>
      <c r="H82" s="49"/>
      <c r="I82" s="49"/>
      <c r="J82" s="50">
        <f t="shared" si="7"/>
        <v>0</v>
      </c>
      <c r="K82" s="59"/>
      <c r="L82" s="49"/>
      <c r="M82" s="49"/>
      <c r="N82" s="49"/>
      <c r="O82" s="59"/>
      <c r="P82" s="48">
        <f t="shared" si="6"/>
        <v>271000</v>
      </c>
      <c r="Q82" s="193"/>
      <c r="R82" s="89"/>
      <c r="S82" s="76"/>
      <c r="T82" s="76"/>
    </row>
    <row r="83" spans="1:20" s="52" customFormat="1" ht="24.75" customHeight="1">
      <c r="A83" s="46" t="s">
        <v>344</v>
      </c>
      <c r="B83" s="47" t="s">
        <v>346</v>
      </c>
      <c r="C83" s="46" t="s">
        <v>345</v>
      </c>
      <c r="D83" s="44" t="s">
        <v>347</v>
      </c>
      <c r="E83" s="48">
        <f t="shared" si="8"/>
        <v>124251562</v>
      </c>
      <c r="F83" s="49">
        <v>124251562</v>
      </c>
      <c r="G83" s="49">
        <v>0</v>
      </c>
      <c r="H83" s="49">
        <v>0</v>
      </c>
      <c r="I83" s="49">
        <v>0</v>
      </c>
      <c r="J83" s="50">
        <f>L83+O83</f>
        <v>13978500</v>
      </c>
      <c r="K83" s="59">
        <v>13978500</v>
      </c>
      <c r="L83" s="49">
        <v>0</v>
      </c>
      <c r="M83" s="49">
        <v>0</v>
      </c>
      <c r="N83" s="49">
        <v>0</v>
      </c>
      <c r="O83" s="59">
        <v>13978500</v>
      </c>
      <c r="P83" s="48">
        <f t="shared" si="6"/>
        <v>138230062</v>
      </c>
      <c r="Q83" s="193"/>
      <c r="R83" s="89"/>
      <c r="S83" s="76"/>
      <c r="T83" s="76"/>
    </row>
    <row r="84" spans="1:20" s="75" customFormat="1" ht="29.25" customHeight="1">
      <c r="A84" s="15"/>
      <c r="B84" s="16"/>
      <c r="C84" s="15"/>
      <c r="D84" s="3" t="s">
        <v>55</v>
      </c>
      <c r="E84" s="19">
        <f t="shared" si="8"/>
        <v>36051592</v>
      </c>
      <c r="F84" s="20">
        <v>36051592</v>
      </c>
      <c r="G84" s="20"/>
      <c r="H84" s="20"/>
      <c r="I84" s="20"/>
      <c r="J84" s="21">
        <f t="shared" si="7"/>
        <v>0</v>
      </c>
      <c r="K84" s="234"/>
      <c r="L84" s="20"/>
      <c r="M84" s="20"/>
      <c r="N84" s="20"/>
      <c r="O84" s="43"/>
      <c r="P84" s="19">
        <f t="shared" si="6"/>
        <v>36051592</v>
      </c>
      <c r="Q84" s="198">
        <f>P89+P84+P93+P96+P106</f>
        <v>47994200</v>
      </c>
      <c r="R84" s="232" t="s">
        <v>385</v>
      </c>
      <c r="S84" s="74"/>
      <c r="T84" s="74"/>
    </row>
    <row r="85" spans="1:20" s="75" customFormat="1" ht="47.25" customHeight="1" hidden="1">
      <c r="A85" s="15"/>
      <c r="B85" s="16"/>
      <c r="C85" s="15"/>
      <c r="D85" s="75" t="s">
        <v>603</v>
      </c>
      <c r="E85" s="19">
        <f t="shared" si="8"/>
        <v>0</v>
      </c>
      <c r="F85" s="20"/>
      <c r="G85" s="20"/>
      <c r="H85" s="20"/>
      <c r="I85" s="20"/>
      <c r="J85" s="21">
        <f t="shared" si="7"/>
        <v>0</v>
      </c>
      <c r="K85" s="43"/>
      <c r="L85" s="20"/>
      <c r="M85" s="20"/>
      <c r="N85" s="20"/>
      <c r="O85" s="43"/>
      <c r="P85" s="19">
        <f t="shared" si="6"/>
        <v>0</v>
      </c>
      <c r="Q85" s="198"/>
      <c r="R85" s="232" t="s">
        <v>381</v>
      </c>
      <c r="S85" s="74"/>
      <c r="T85" s="74"/>
    </row>
    <row r="86" spans="1:20" s="75" customFormat="1" ht="45" customHeight="1" hidden="1">
      <c r="A86" s="15"/>
      <c r="B86" s="16"/>
      <c r="C86" s="15"/>
      <c r="D86" s="4" t="s">
        <v>179</v>
      </c>
      <c r="E86" s="19">
        <f t="shared" si="8"/>
        <v>0</v>
      </c>
      <c r="F86" s="20"/>
      <c r="G86" s="20"/>
      <c r="H86" s="20"/>
      <c r="I86" s="20"/>
      <c r="J86" s="21">
        <f t="shared" si="7"/>
        <v>0</v>
      </c>
      <c r="K86" s="43"/>
      <c r="L86" s="20"/>
      <c r="M86" s="20"/>
      <c r="N86" s="20"/>
      <c r="O86" s="43"/>
      <c r="P86" s="19">
        <f t="shared" si="6"/>
        <v>0</v>
      </c>
      <c r="Q86" s="198"/>
      <c r="R86" s="232" t="s">
        <v>393</v>
      </c>
      <c r="S86" s="74"/>
      <c r="T86" s="74"/>
    </row>
    <row r="87" spans="1:20" s="75" customFormat="1" ht="42" customHeight="1" hidden="1">
      <c r="A87" s="15"/>
      <c r="B87" s="16"/>
      <c r="C87" s="15"/>
      <c r="D87" s="190" t="s">
        <v>187</v>
      </c>
      <c r="E87" s="19">
        <f t="shared" si="8"/>
        <v>0</v>
      </c>
      <c r="F87" s="20"/>
      <c r="G87" s="20"/>
      <c r="H87" s="20"/>
      <c r="I87" s="20"/>
      <c r="J87" s="21">
        <f t="shared" si="7"/>
        <v>0</v>
      </c>
      <c r="K87" s="43"/>
      <c r="L87" s="20"/>
      <c r="M87" s="20"/>
      <c r="N87" s="20"/>
      <c r="O87" s="43"/>
      <c r="P87" s="19">
        <f t="shared" si="6"/>
        <v>0</v>
      </c>
      <c r="Q87" s="198">
        <f>P87+P91+P94+P97+P99</f>
        <v>0</v>
      </c>
      <c r="R87" s="232" t="s">
        <v>397</v>
      </c>
      <c r="S87" s="74"/>
      <c r="T87" s="74"/>
    </row>
    <row r="88" spans="1:20" s="52" customFormat="1" ht="1.5" customHeight="1" hidden="1">
      <c r="A88" s="46" t="s">
        <v>348</v>
      </c>
      <c r="B88" s="47" t="s">
        <v>350</v>
      </c>
      <c r="C88" s="46" t="s">
        <v>349</v>
      </c>
      <c r="D88" s="44" t="s">
        <v>351</v>
      </c>
      <c r="E88" s="48">
        <f t="shared" si="8"/>
        <v>0</v>
      </c>
      <c r="F88" s="49"/>
      <c r="G88" s="49"/>
      <c r="H88" s="49"/>
      <c r="I88" s="49"/>
      <c r="J88" s="50">
        <f t="shared" si="7"/>
        <v>0</v>
      </c>
      <c r="K88" s="59"/>
      <c r="L88" s="49"/>
      <c r="M88" s="49"/>
      <c r="N88" s="49"/>
      <c r="O88" s="59"/>
      <c r="P88" s="48">
        <f t="shared" si="6"/>
        <v>0</v>
      </c>
      <c r="Q88" s="193"/>
      <c r="R88" s="89"/>
      <c r="S88" s="76"/>
      <c r="T88" s="76"/>
    </row>
    <row r="89" spans="1:20" s="75" customFormat="1" ht="30.75" customHeight="1" hidden="1">
      <c r="A89" s="15"/>
      <c r="B89" s="16"/>
      <c r="C89" s="15"/>
      <c r="D89" s="3" t="s">
        <v>55</v>
      </c>
      <c r="E89" s="19">
        <f t="shared" si="8"/>
        <v>0</v>
      </c>
      <c r="F89" s="20"/>
      <c r="G89" s="20"/>
      <c r="H89" s="20"/>
      <c r="I89" s="20"/>
      <c r="J89" s="21">
        <f t="shared" si="7"/>
        <v>0</v>
      </c>
      <c r="K89" s="43"/>
      <c r="L89" s="20"/>
      <c r="M89" s="20"/>
      <c r="N89" s="20"/>
      <c r="O89" s="43"/>
      <c r="P89" s="19">
        <f t="shared" si="6"/>
        <v>0</v>
      </c>
      <c r="Q89" s="198"/>
      <c r="R89" s="232" t="s">
        <v>385</v>
      </c>
      <c r="S89" s="74"/>
      <c r="T89" s="74"/>
    </row>
    <row r="90" spans="1:20" s="75" customFormat="1" ht="46.5" customHeight="1" hidden="1">
      <c r="A90" s="15"/>
      <c r="B90" s="16"/>
      <c r="C90" s="15"/>
      <c r="D90" s="4" t="s">
        <v>179</v>
      </c>
      <c r="E90" s="19">
        <f t="shared" si="8"/>
        <v>0</v>
      </c>
      <c r="F90" s="20"/>
      <c r="G90" s="20"/>
      <c r="H90" s="20"/>
      <c r="I90" s="20"/>
      <c r="J90" s="21">
        <f t="shared" si="7"/>
        <v>0</v>
      </c>
      <c r="K90" s="43"/>
      <c r="L90" s="20"/>
      <c r="M90" s="20"/>
      <c r="N90" s="20"/>
      <c r="O90" s="43"/>
      <c r="P90" s="19">
        <f t="shared" si="6"/>
        <v>0</v>
      </c>
      <c r="Q90" s="198"/>
      <c r="R90" s="232" t="s">
        <v>393</v>
      </c>
      <c r="S90" s="74"/>
      <c r="T90" s="74"/>
    </row>
    <row r="91" spans="1:20" s="75" customFormat="1" ht="36.75" customHeight="1" hidden="1">
      <c r="A91" s="15"/>
      <c r="B91" s="16"/>
      <c r="C91" s="15"/>
      <c r="D91" s="190" t="s">
        <v>187</v>
      </c>
      <c r="E91" s="19">
        <f t="shared" si="8"/>
        <v>0</v>
      </c>
      <c r="F91" s="20"/>
      <c r="G91" s="20"/>
      <c r="H91" s="20"/>
      <c r="I91" s="20"/>
      <c r="J91" s="21">
        <f t="shared" si="7"/>
        <v>0</v>
      </c>
      <c r="K91" s="43"/>
      <c r="L91" s="20"/>
      <c r="M91" s="20"/>
      <c r="N91" s="20"/>
      <c r="O91" s="43"/>
      <c r="P91" s="19">
        <f t="shared" si="6"/>
        <v>0</v>
      </c>
      <c r="Q91" s="198"/>
      <c r="R91" s="232" t="s">
        <v>397</v>
      </c>
      <c r="S91" s="74"/>
      <c r="T91" s="74"/>
    </row>
    <row r="92" spans="1:20" s="52" customFormat="1" ht="30">
      <c r="A92" s="46" t="s">
        <v>352</v>
      </c>
      <c r="B92" s="47" t="s">
        <v>354</v>
      </c>
      <c r="C92" s="46" t="s">
        <v>353</v>
      </c>
      <c r="D92" s="44" t="s">
        <v>61</v>
      </c>
      <c r="E92" s="48">
        <f t="shared" si="8"/>
        <v>21877518</v>
      </c>
      <c r="F92" s="49">
        <v>21877518</v>
      </c>
      <c r="G92" s="49">
        <v>0</v>
      </c>
      <c r="H92" s="49">
        <v>0</v>
      </c>
      <c r="I92" s="49">
        <v>0</v>
      </c>
      <c r="J92" s="38">
        <f t="shared" si="7"/>
        <v>0</v>
      </c>
      <c r="K92" s="59"/>
      <c r="L92" s="49"/>
      <c r="M92" s="49"/>
      <c r="N92" s="49"/>
      <c r="O92" s="59"/>
      <c r="P92" s="294">
        <f t="shared" si="6"/>
        <v>21877518</v>
      </c>
      <c r="Q92" s="193"/>
      <c r="R92" s="89"/>
      <c r="S92" s="76"/>
      <c r="T92" s="76"/>
    </row>
    <row r="93" spans="1:20" s="75" customFormat="1" ht="33" customHeight="1">
      <c r="A93" s="15"/>
      <c r="B93" s="16"/>
      <c r="C93" s="15"/>
      <c r="D93" s="3" t="s">
        <v>55</v>
      </c>
      <c r="E93" s="19">
        <f t="shared" si="8"/>
        <v>6785074</v>
      </c>
      <c r="F93" s="20">
        <v>6785074</v>
      </c>
      <c r="G93" s="20"/>
      <c r="H93" s="20"/>
      <c r="I93" s="20"/>
      <c r="J93" s="21">
        <f t="shared" si="7"/>
        <v>0</v>
      </c>
      <c r="K93" s="43"/>
      <c r="L93" s="20"/>
      <c r="M93" s="20"/>
      <c r="N93" s="20"/>
      <c r="O93" s="43"/>
      <c r="P93" s="19">
        <f t="shared" si="6"/>
        <v>6785074</v>
      </c>
      <c r="Q93" s="198"/>
      <c r="R93" s="232" t="s">
        <v>385</v>
      </c>
      <c r="S93" s="74"/>
      <c r="T93" s="74"/>
    </row>
    <row r="94" spans="1:20" s="273" customFormat="1" ht="34.5" customHeight="1" hidden="1">
      <c r="A94" s="266"/>
      <c r="B94" s="267"/>
      <c r="C94" s="266"/>
      <c r="D94" s="268" t="s">
        <v>187</v>
      </c>
      <c r="E94" s="24">
        <f t="shared" si="8"/>
        <v>0</v>
      </c>
      <c r="F94" s="269"/>
      <c r="G94" s="269"/>
      <c r="H94" s="269"/>
      <c r="I94" s="269"/>
      <c r="J94" s="21">
        <f t="shared" si="7"/>
        <v>0</v>
      </c>
      <c r="K94" s="269"/>
      <c r="L94" s="269"/>
      <c r="M94" s="269"/>
      <c r="N94" s="269"/>
      <c r="O94" s="269"/>
      <c r="P94" s="21">
        <f t="shared" si="6"/>
        <v>0</v>
      </c>
      <c r="Q94" s="270"/>
      <c r="R94" s="271" t="s">
        <v>397</v>
      </c>
      <c r="S94" s="272"/>
      <c r="T94" s="272"/>
    </row>
    <row r="95" spans="1:20" s="52" customFormat="1" ht="18.75" customHeight="1">
      <c r="A95" s="46" t="s">
        <v>355</v>
      </c>
      <c r="B95" s="47" t="s">
        <v>357</v>
      </c>
      <c r="C95" s="46" t="s">
        <v>356</v>
      </c>
      <c r="D95" s="44" t="s">
        <v>358</v>
      </c>
      <c r="E95" s="48">
        <f t="shared" si="8"/>
        <v>9191390</v>
      </c>
      <c r="F95" s="49">
        <v>9191390</v>
      </c>
      <c r="G95" s="49">
        <v>0</v>
      </c>
      <c r="H95" s="49">
        <v>0</v>
      </c>
      <c r="I95" s="49">
        <v>0</v>
      </c>
      <c r="J95" s="38">
        <f t="shared" si="7"/>
        <v>0</v>
      </c>
      <c r="K95" s="59"/>
      <c r="L95" s="49"/>
      <c r="M95" s="49"/>
      <c r="N95" s="49"/>
      <c r="O95" s="59"/>
      <c r="P95" s="48">
        <f t="shared" si="6"/>
        <v>9191390</v>
      </c>
      <c r="Q95" s="193"/>
      <c r="R95" s="89"/>
      <c r="S95" s="76"/>
      <c r="T95" s="76"/>
    </row>
    <row r="96" spans="1:20" s="75" customFormat="1" ht="33" customHeight="1">
      <c r="A96" s="15"/>
      <c r="B96" s="16"/>
      <c r="C96" s="15"/>
      <c r="D96" s="3" t="s">
        <v>55</v>
      </c>
      <c r="E96" s="19">
        <f t="shared" si="8"/>
        <v>3662995</v>
      </c>
      <c r="F96" s="20">
        <v>3662995</v>
      </c>
      <c r="G96" s="20"/>
      <c r="H96" s="20"/>
      <c r="I96" s="20"/>
      <c r="J96" s="21">
        <f t="shared" si="7"/>
        <v>0</v>
      </c>
      <c r="K96" s="43"/>
      <c r="L96" s="20"/>
      <c r="M96" s="20"/>
      <c r="N96" s="20"/>
      <c r="O96" s="43"/>
      <c r="P96" s="19">
        <f t="shared" si="6"/>
        <v>3662995</v>
      </c>
      <c r="Q96" s="198"/>
      <c r="R96" s="232" t="s">
        <v>385</v>
      </c>
      <c r="S96" s="74"/>
      <c r="T96" s="74"/>
    </row>
    <row r="97" spans="1:20" s="273" customFormat="1" ht="37.5" customHeight="1" hidden="1">
      <c r="A97" s="266"/>
      <c r="B97" s="267"/>
      <c r="C97" s="266"/>
      <c r="D97" s="268" t="s">
        <v>187</v>
      </c>
      <c r="E97" s="19">
        <f t="shared" si="8"/>
        <v>0</v>
      </c>
      <c r="F97" s="269"/>
      <c r="G97" s="269"/>
      <c r="H97" s="269"/>
      <c r="I97" s="269"/>
      <c r="J97" s="21">
        <f t="shared" si="7"/>
        <v>0</v>
      </c>
      <c r="K97" s="269"/>
      <c r="L97" s="269"/>
      <c r="M97" s="269"/>
      <c r="N97" s="269"/>
      <c r="O97" s="269"/>
      <c r="P97" s="21">
        <f t="shared" si="6"/>
        <v>0</v>
      </c>
      <c r="Q97" s="270"/>
      <c r="R97" s="271" t="s">
        <v>397</v>
      </c>
      <c r="S97" s="272"/>
      <c r="T97" s="272"/>
    </row>
    <row r="98" spans="1:20" s="52" customFormat="1" ht="37.5" customHeight="1">
      <c r="A98" s="46" t="s">
        <v>359</v>
      </c>
      <c r="B98" s="47" t="s">
        <v>360</v>
      </c>
      <c r="C98" s="46" t="s">
        <v>62</v>
      </c>
      <c r="D98" s="44" t="s">
        <v>361</v>
      </c>
      <c r="E98" s="48">
        <f t="shared" si="8"/>
        <v>29569643</v>
      </c>
      <c r="F98" s="49">
        <v>29569643</v>
      </c>
      <c r="G98" s="49">
        <v>0</v>
      </c>
      <c r="H98" s="49">
        <v>0</v>
      </c>
      <c r="I98" s="49">
        <v>0</v>
      </c>
      <c r="J98" s="38">
        <f t="shared" si="7"/>
        <v>3950000</v>
      </c>
      <c r="K98" s="59">
        <v>3950000</v>
      </c>
      <c r="L98" s="49">
        <v>0</v>
      </c>
      <c r="M98" s="49">
        <v>0</v>
      </c>
      <c r="N98" s="49">
        <v>0</v>
      </c>
      <c r="O98" s="59">
        <v>3950000</v>
      </c>
      <c r="P98" s="19">
        <f t="shared" si="6"/>
        <v>33519643</v>
      </c>
      <c r="Q98" s="193"/>
      <c r="R98" s="89"/>
      <c r="S98" s="76"/>
      <c r="T98" s="76"/>
    </row>
    <row r="99" spans="1:20" s="278" customFormat="1" ht="40.5" customHeight="1" hidden="1">
      <c r="A99" s="274"/>
      <c r="B99" s="275"/>
      <c r="C99" s="274"/>
      <c r="D99" s="268" t="s">
        <v>187</v>
      </c>
      <c r="E99" s="19">
        <f t="shared" si="8"/>
        <v>0</v>
      </c>
      <c r="F99" s="276"/>
      <c r="G99" s="276"/>
      <c r="H99" s="276"/>
      <c r="I99" s="276"/>
      <c r="J99" s="21">
        <f t="shared" si="7"/>
        <v>0</v>
      </c>
      <c r="K99" s="276"/>
      <c r="L99" s="276"/>
      <c r="M99" s="276"/>
      <c r="N99" s="276"/>
      <c r="O99" s="276"/>
      <c r="P99" s="21">
        <f t="shared" si="6"/>
        <v>0</v>
      </c>
      <c r="Q99" s="270"/>
      <c r="R99" s="271" t="s">
        <v>397</v>
      </c>
      <c r="S99" s="277"/>
      <c r="T99" s="277"/>
    </row>
    <row r="100" spans="1:20" s="85" customFormat="1" ht="33" customHeight="1">
      <c r="A100" s="55" t="s">
        <v>141</v>
      </c>
      <c r="B100" s="60">
        <v>2144</v>
      </c>
      <c r="C100" s="55" t="s">
        <v>362</v>
      </c>
      <c r="D100" s="61" t="s">
        <v>142</v>
      </c>
      <c r="E100" s="48">
        <f>F100+I100</f>
        <v>1838670</v>
      </c>
      <c r="F100" s="59">
        <f>F101</f>
        <v>1838670</v>
      </c>
      <c r="G100" s="25"/>
      <c r="H100" s="25"/>
      <c r="I100" s="25"/>
      <c r="J100" s="50">
        <f t="shared" si="7"/>
        <v>0</v>
      </c>
      <c r="K100" s="59"/>
      <c r="L100" s="49"/>
      <c r="M100" s="49"/>
      <c r="N100" s="49"/>
      <c r="O100" s="59"/>
      <c r="P100" s="19">
        <f t="shared" si="6"/>
        <v>1838670</v>
      </c>
      <c r="Q100" s="193"/>
      <c r="R100" s="200"/>
      <c r="S100" s="84"/>
      <c r="T100" s="84"/>
    </row>
    <row r="101" spans="1:20" s="87" customFormat="1" ht="43.5" customHeight="1">
      <c r="A101" s="40"/>
      <c r="B101" s="57"/>
      <c r="C101" s="40"/>
      <c r="D101" s="4" t="s">
        <v>179</v>
      </c>
      <c r="E101" s="19">
        <f t="shared" si="8"/>
        <v>1838670</v>
      </c>
      <c r="F101" s="43">
        <v>1838670</v>
      </c>
      <c r="G101" s="20"/>
      <c r="H101" s="20"/>
      <c r="I101" s="20"/>
      <c r="J101" s="21">
        <f t="shared" si="7"/>
        <v>0</v>
      </c>
      <c r="K101" s="43"/>
      <c r="L101" s="20"/>
      <c r="M101" s="20"/>
      <c r="N101" s="20"/>
      <c r="O101" s="43"/>
      <c r="P101" s="19">
        <f t="shared" si="6"/>
        <v>1838670</v>
      </c>
      <c r="Q101" s="198"/>
      <c r="R101" s="232" t="s">
        <v>393</v>
      </c>
      <c r="S101" s="86"/>
      <c r="T101" s="86"/>
    </row>
    <row r="102" spans="1:20" s="273" customFormat="1" ht="54.75" customHeight="1" hidden="1">
      <c r="A102" s="279"/>
      <c r="B102" s="280"/>
      <c r="C102" s="279"/>
      <c r="D102" s="281" t="s">
        <v>604</v>
      </c>
      <c r="E102" s="19">
        <f t="shared" si="8"/>
        <v>0</v>
      </c>
      <c r="F102" s="269"/>
      <c r="G102" s="269"/>
      <c r="H102" s="269"/>
      <c r="I102" s="269"/>
      <c r="J102" s="21">
        <f t="shared" si="7"/>
        <v>0</v>
      </c>
      <c r="K102" s="282"/>
      <c r="L102" s="269"/>
      <c r="M102" s="269"/>
      <c r="N102" s="269"/>
      <c r="O102" s="269"/>
      <c r="P102" s="21">
        <f t="shared" si="6"/>
        <v>0</v>
      </c>
      <c r="Q102" s="257"/>
      <c r="R102" s="271" t="s">
        <v>381</v>
      </c>
      <c r="S102" s="272"/>
      <c r="T102" s="272"/>
    </row>
    <row r="103" spans="1:20" s="83" customFormat="1" ht="36.75" customHeight="1" hidden="1">
      <c r="A103" s="58" t="s">
        <v>106</v>
      </c>
      <c r="B103" s="47">
        <v>2146</v>
      </c>
      <c r="C103" s="58" t="s">
        <v>362</v>
      </c>
      <c r="D103" s="45" t="s">
        <v>107</v>
      </c>
      <c r="E103" s="48">
        <f t="shared" si="8"/>
        <v>0</v>
      </c>
      <c r="F103" s="49"/>
      <c r="G103" s="49"/>
      <c r="H103" s="49"/>
      <c r="I103" s="49"/>
      <c r="J103" s="38">
        <f t="shared" si="7"/>
        <v>0</v>
      </c>
      <c r="K103" s="59"/>
      <c r="L103" s="49"/>
      <c r="M103" s="49"/>
      <c r="N103" s="49"/>
      <c r="O103" s="59"/>
      <c r="P103" s="294">
        <f t="shared" si="6"/>
        <v>0</v>
      </c>
      <c r="Q103" s="193"/>
      <c r="R103" s="88"/>
      <c r="S103" s="82"/>
      <c r="T103" s="82"/>
    </row>
    <row r="104" spans="1:20" s="75" customFormat="1" ht="57" customHeight="1" hidden="1">
      <c r="A104" s="29"/>
      <c r="B104" s="16"/>
      <c r="C104" s="29"/>
      <c r="D104" s="3" t="s">
        <v>180</v>
      </c>
      <c r="E104" s="19">
        <f t="shared" si="8"/>
        <v>0</v>
      </c>
      <c r="F104" s="20"/>
      <c r="G104" s="20"/>
      <c r="H104" s="20"/>
      <c r="I104" s="20"/>
      <c r="J104" s="21">
        <f t="shared" si="7"/>
        <v>0</v>
      </c>
      <c r="K104" s="43"/>
      <c r="L104" s="20"/>
      <c r="M104" s="20"/>
      <c r="N104" s="20"/>
      <c r="O104" s="43"/>
      <c r="P104" s="19">
        <f t="shared" si="6"/>
        <v>0</v>
      </c>
      <c r="Q104" s="198">
        <f>P104</f>
        <v>0</v>
      </c>
      <c r="R104" s="232" t="s">
        <v>394</v>
      </c>
      <c r="S104" s="74"/>
      <c r="T104" s="74"/>
    </row>
    <row r="105" spans="1:20" s="260" customFormat="1" ht="36.75" customHeight="1">
      <c r="A105" s="103" t="s">
        <v>65</v>
      </c>
      <c r="B105" s="104">
        <v>2151</v>
      </c>
      <c r="C105" s="103" t="s">
        <v>362</v>
      </c>
      <c r="D105" s="283" t="s">
        <v>63</v>
      </c>
      <c r="E105" s="48">
        <f t="shared" si="8"/>
        <v>6744917</v>
      </c>
      <c r="F105" s="51">
        <v>6744917</v>
      </c>
      <c r="G105" s="51">
        <v>0</v>
      </c>
      <c r="H105" s="51">
        <v>0</v>
      </c>
      <c r="I105" s="51">
        <v>0</v>
      </c>
      <c r="J105" s="48">
        <f t="shared" si="7"/>
        <v>0</v>
      </c>
      <c r="K105" s="51"/>
      <c r="L105" s="51"/>
      <c r="M105" s="51"/>
      <c r="N105" s="51"/>
      <c r="O105" s="51"/>
      <c r="P105" s="48">
        <f>E105+J105</f>
        <v>6744917</v>
      </c>
      <c r="Q105" s="257"/>
      <c r="R105" s="258"/>
      <c r="S105" s="259"/>
      <c r="T105" s="259"/>
    </row>
    <row r="106" spans="1:20" s="75" customFormat="1" ht="33" customHeight="1">
      <c r="A106" s="15"/>
      <c r="B106" s="16"/>
      <c r="C106" s="15"/>
      <c r="D106" s="3" t="s">
        <v>55</v>
      </c>
      <c r="E106" s="19">
        <f t="shared" si="8"/>
        <v>1494539</v>
      </c>
      <c r="F106" s="20">
        <v>1494539</v>
      </c>
      <c r="G106" s="20"/>
      <c r="H106" s="20"/>
      <c r="I106" s="20"/>
      <c r="J106" s="21">
        <f t="shared" si="7"/>
        <v>0</v>
      </c>
      <c r="K106" s="43"/>
      <c r="L106" s="20"/>
      <c r="M106" s="20"/>
      <c r="N106" s="20"/>
      <c r="O106" s="43"/>
      <c r="P106" s="19">
        <f>E106+J106</f>
        <v>1494539</v>
      </c>
      <c r="Q106" s="198"/>
      <c r="R106" s="232" t="s">
        <v>385</v>
      </c>
      <c r="S106" s="74"/>
      <c r="T106" s="74"/>
    </row>
    <row r="107" spans="1:20" s="260" customFormat="1" ht="28.5" customHeight="1">
      <c r="A107" s="103" t="s">
        <v>66</v>
      </c>
      <c r="B107" s="104">
        <v>2152</v>
      </c>
      <c r="C107" s="103" t="s">
        <v>362</v>
      </c>
      <c r="D107" s="283" t="s">
        <v>64</v>
      </c>
      <c r="E107" s="48">
        <f t="shared" si="8"/>
        <v>21989870</v>
      </c>
      <c r="F107" s="51">
        <v>21989870</v>
      </c>
      <c r="G107" s="51">
        <v>0</v>
      </c>
      <c r="H107" s="51">
        <v>0</v>
      </c>
      <c r="I107" s="51">
        <v>0</v>
      </c>
      <c r="J107" s="48">
        <f t="shared" si="7"/>
        <v>0</v>
      </c>
      <c r="K107" s="51"/>
      <c r="L107" s="51"/>
      <c r="M107" s="51"/>
      <c r="N107" s="51"/>
      <c r="O107" s="51"/>
      <c r="P107" s="48">
        <f>E107+J107</f>
        <v>21989870</v>
      </c>
      <c r="Q107" s="257"/>
      <c r="R107" s="258"/>
      <c r="S107" s="259"/>
      <c r="T107" s="259"/>
    </row>
    <row r="108" spans="1:20" s="260" customFormat="1" ht="20.25" customHeight="1" hidden="1">
      <c r="A108" s="103" t="s">
        <v>363</v>
      </c>
      <c r="B108" s="104" t="s">
        <v>364</v>
      </c>
      <c r="C108" s="103" t="s">
        <v>328</v>
      </c>
      <c r="D108" s="256" t="s">
        <v>365</v>
      </c>
      <c r="E108" s="48">
        <f t="shared" si="8"/>
        <v>0</v>
      </c>
      <c r="F108" s="51"/>
      <c r="G108" s="51"/>
      <c r="H108" s="51"/>
      <c r="I108" s="51"/>
      <c r="J108" s="48">
        <f t="shared" si="7"/>
        <v>0</v>
      </c>
      <c r="K108" s="51"/>
      <c r="L108" s="51"/>
      <c r="M108" s="51"/>
      <c r="N108" s="51"/>
      <c r="O108" s="51"/>
      <c r="P108" s="48">
        <f t="shared" si="6"/>
        <v>0</v>
      </c>
      <c r="Q108" s="257"/>
      <c r="R108" s="258"/>
      <c r="S108" s="259"/>
      <c r="T108" s="259"/>
    </row>
    <row r="109" spans="1:20" s="260" customFormat="1" ht="96.75" customHeight="1" hidden="1">
      <c r="A109" s="105" t="s">
        <v>427</v>
      </c>
      <c r="B109" s="104">
        <v>7691</v>
      </c>
      <c r="C109" s="103" t="s">
        <v>336</v>
      </c>
      <c r="D109" s="283" t="s">
        <v>151</v>
      </c>
      <c r="E109" s="48">
        <f aca="true" t="shared" si="9" ref="E109:E115">F109+I109</f>
        <v>0</v>
      </c>
      <c r="F109" s="51"/>
      <c r="G109" s="51"/>
      <c r="H109" s="51"/>
      <c r="I109" s="51"/>
      <c r="J109" s="48">
        <f>L109+O109</f>
        <v>0</v>
      </c>
      <c r="K109" s="51"/>
      <c r="L109" s="51"/>
      <c r="M109" s="51"/>
      <c r="N109" s="51"/>
      <c r="O109" s="51"/>
      <c r="P109" s="48">
        <f>E109+J109</f>
        <v>0</v>
      </c>
      <c r="Q109" s="257"/>
      <c r="R109" s="258"/>
      <c r="S109" s="259"/>
      <c r="T109" s="259"/>
    </row>
    <row r="110" spans="1:20" s="52" customFormat="1" ht="18" customHeight="1" hidden="1">
      <c r="A110" s="55" t="s">
        <v>207</v>
      </c>
      <c r="B110" s="60">
        <v>9770</v>
      </c>
      <c r="C110" s="46" t="s">
        <v>254</v>
      </c>
      <c r="D110" s="61" t="s">
        <v>480</v>
      </c>
      <c r="E110" s="48">
        <f t="shared" si="9"/>
        <v>0</v>
      </c>
      <c r="F110" s="49"/>
      <c r="G110" s="49"/>
      <c r="H110" s="49"/>
      <c r="I110" s="49"/>
      <c r="J110" s="50">
        <f>L110+O110</f>
        <v>0</v>
      </c>
      <c r="K110" s="59"/>
      <c r="L110" s="49"/>
      <c r="M110" s="49"/>
      <c r="N110" s="49"/>
      <c r="O110" s="59"/>
      <c r="P110" s="48">
        <f>E110+J110</f>
        <v>0</v>
      </c>
      <c r="Q110" s="193"/>
      <c r="R110" s="89"/>
      <c r="S110" s="76"/>
      <c r="T110" s="76"/>
    </row>
    <row r="111" spans="1:20" s="75" customFormat="1" ht="69" customHeight="1" hidden="1">
      <c r="A111" s="40"/>
      <c r="B111" s="57"/>
      <c r="C111" s="15"/>
      <c r="D111" s="3" t="s">
        <v>181</v>
      </c>
      <c r="E111" s="19">
        <f t="shared" si="9"/>
        <v>0</v>
      </c>
      <c r="F111" s="20"/>
      <c r="G111" s="20"/>
      <c r="H111" s="20"/>
      <c r="I111" s="20"/>
      <c r="J111" s="21">
        <f>L111+O111</f>
        <v>0</v>
      </c>
      <c r="K111" s="43"/>
      <c r="L111" s="20"/>
      <c r="M111" s="20"/>
      <c r="N111" s="20"/>
      <c r="O111" s="43"/>
      <c r="P111" s="19">
        <f>E111+J111</f>
        <v>0</v>
      </c>
      <c r="Q111" s="198"/>
      <c r="R111" s="14"/>
      <c r="S111" s="74"/>
      <c r="T111" s="74"/>
    </row>
    <row r="112" spans="1:20" s="117" customFormat="1" ht="21.75" customHeight="1">
      <c r="A112" s="110" t="s">
        <v>366</v>
      </c>
      <c r="B112" s="114"/>
      <c r="C112" s="108"/>
      <c r="D112" s="115" t="s">
        <v>367</v>
      </c>
      <c r="E112" s="99">
        <f t="shared" si="9"/>
        <v>109211513</v>
      </c>
      <c r="F112" s="99">
        <f aca="true" t="shared" si="10" ref="F112:O112">F113+F130+F140+F149+F157</f>
        <v>109211513</v>
      </c>
      <c r="G112" s="99">
        <f t="shared" si="10"/>
        <v>57318716</v>
      </c>
      <c r="H112" s="99">
        <f t="shared" si="10"/>
        <v>3997237</v>
      </c>
      <c r="I112" s="99">
        <f t="shared" si="10"/>
        <v>0</v>
      </c>
      <c r="J112" s="99">
        <f t="shared" si="10"/>
        <v>473930</v>
      </c>
      <c r="K112" s="99">
        <f t="shared" si="10"/>
        <v>121900</v>
      </c>
      <c r="L112" s="99">
        <f t="shared" si="10"/>
        <v>352030</v>
      </c>
      <c r="M112" s="99">
        <f t="shared" si="10"/>
        <v>211020</v>
      </c>
      <c r="N112" s="99">
        <f t="shared" si="10"/>
        <v>0</v>
      </c>
      <c r="O112" s="99">
        <f t="shared" si="10"/>
        <v>121900</v>
      </c>
      <c r="P112" s="99">
        <f t="shared" si="6"/>
        <v>109685443</v>
      </c>
      <c r="Q112" s="193"/>
      <c r="R112" s="196"/>
      <c r="S112" s="116"/>
      <c r="T112" s="116"/>
    </row>
    <row r="113" spans="1:20" s="176" customFormat="1" ht="33" customHeight="1">
      <c r="A113" s="169" t="s">
        <v>368</v>
      </c>
      <c r="B113" s="170"/>
      <c r="C113" s="171"/>
      <c r="D113" s="172" t="s">
        <v>0</v>
      </c>
      <c r="E113" s="173">
        <f t="shared" si="9"/>
        <v>75905100</v>
      </c>
      <c r="F113" s="173">
        <f>F114+F116+F123+F124+F115+F117+F118+F119+F120+F121+F122+F125+F127+F128</f>
        <v>75905100</v>
      </c>
      <c r="G113" s="173">
        <f>G114+G116+G123+G124+G115+G117+G118+G119+G120+G121+G122+G125+G127+G128</f>
        <v>36397191</v>
      </c>
      <c r="H113" s="173">
        <f>H114+H116+H123+H124+H115+H117+H118+H119+H120+H121+H122+H125+H127+H128</f>
        <v>1982599</v>
      </c>
      <c r="I113" s="173">
        <f>I114+I116+I123+I124+I115+I117+I118+I119+I120+I121+I122+I125+I127+I128</f>
        <v>0</v>
      </c>
      <c r="J113" s="174">
        <f t="shared" si="7"/>
        <v>121900</v>
      </c>
      <c r="K113" s="173">
        <f>K114+K116+K123+K124+K115+K117+K118+K119+K120+K121+K122+K125+K127+K128</f>
        <v>121900</v>
      </c>
      <c r="L113" s="173">
        <f>L114+L116+L123+L124+L115+L117+L118+L119+L120+L121+L122+L125+L127+L128</f>
        <v>0</v>
      </c>
      <c r="M113" s="173">
        <f>M114+M116+M123+M124+M115+M117+M118+M119+M120+M121+M122+M125+M127+M128</f>
        <v>0</v>
      </c>
      <c r="N113" s="173">
        <f>N114+N116+N123+N124+N115+N117+N118+N119+N120+N121+N122+N125+N127+N128</f>
        <v>0</v>
      </c>
      <c r="O113" s="173">
        <f>O114+O116+O123+O124+O115+O117+O118+O119+O120+O121+O122+O125+O127+O128</f>
        <v>121900</v>
      </c>
      <c r="P113" s="173">
        <f t="shared" si="6"/>
        <v>76027000</v>
      </c>
      <c r="Q113" s="193"/>
      <c r="R113" s="197"/>
      <c r="S113" s="175"/>
      <c r="T113" s="175"/>
    </row>
    <row r="114" spans="1:20" s="52" customFormat="1" ht="42.75" customHeight="1">
      <c r="A114" s="46" t="s">
        <v>369</v>
      </c>
      <c r="B114" s="47" t="s">
        <v>264</v>
      </c>
      <c r="C114" s="46" t="s">
        <v>249</v>
      </c>
      <c r="D114" s="44" t="s">
        <v>265</v>
      </c>
      <c r="E114" s="48">
        <f t="shared" si="9"/>
        <v>41609640</v>
      </c>
      <c r="F114" s="49">
        <v>41609640</v>
      </c>
      <c r="G114" s="49">
        <v>32381191</v>
      </c>
      <c r="H114" s="49">
        <v>1429879</v>
      </c>
      <c r="I114" s="49"/>
      <c r="J114" s="50">
        <f t="shared" si="7"/>
        <v>0</v>
      </c>
      <c r="K114" s="59"/>
      <c r="L114" s="49"/>
      <c r="M114" s="49"/>
      <c r="N114" s="49"/>
      <c r="O114" s="59"/>
      <c r="P114" s="48">
        <f t="shared" si="6"/>
        <v>41609640</v>
      </c>
      <c r="Q114" s="193"/>
      <c r="R114" s="89"/>
      <c r="S114" s="76"/>
      <c r="T114" s="76"/>
    </row>
    <row r="115" spans="1:20" s="52" customFormat="1" ht="41.25" customHeight="1" hidden="1">
      <c r="A115" s="58" t="s">
        <v>199</v>
      </c>
      <c r="B115" s="58" t="s">
        <v>572</v>
      </c>
      <c r="C115" s="58" t="s">
        <v>117</v>
      </c>
      <c r="D115" s="45" t="s">
        <v>118</v>
      </c>
      <c r="E115" s="48">
        <f t="shared" si="9"/>
        <v>0</v>
      </c>
      <c r="F115" s="59"/>
      <c r="G115" s="49"/>
      <c r="H115" s="49"/>
      <c r="I115" s="49"/>
      <c r="J115" s="50">
        <f>L115+O115</f>
        <v>0</v>
      </c>
      <c r="K115" s="59"/>
      <c r="L115" s="49"/>
      <c r="M115" s="49"/>
      <c r="N115" s="49"/>
      <c r="O115" s="59"/>
      <c r="P115" s="48">
        <f t="shared" si="6"/>
        <v>0</v>
      </c>
      <c r="Q115" s="193"/>
      <c r="R115" s="89"/>
      <c r="S115" s="76"/>
      <c r="T115" s="76"/>
    </row>
    <row r="116" spans="1:20" s="52" customFormat="1" ht="27.75" customHeight="1">
      <c r="A116" s="46" t="s">
        <v>370</v>
      </c>
      <c r="B116" s="47" t="s">
        <v>254</v>
      </c>
      <c r="C116" s="46" t="s">
        <v>253</v>
      </c>
      <c r="D116" s="44" t="s">
        <v>255</v>
      </c>
      <c r="E116" s="48">
        <f aca="true" t="shared" si="11" ref="E116:E136">F116+I116</f>
        <v>211000</v>
      </c>
      <c r="F116" s="49">
        <v>211000</v>
      </c>
      <c r="G116" s="49"/>
      <c r="H116" s="49"/>
      <c r="I116" s="49"/>
      <c r="J116" s="50">
        <f t="shared" si="7"/>
        <v>0</v>
      </c>
      <c r="K116" s="59"/>
      <c r="L116" s="49"/>
      <c r="M116" s="49"/>
      <c r="N116" s="49"/>
      <c r="O116" s="59"/>
      <c r="P116" s="48">
        <f t="shared" si="6"/>
        <v>211000</v>
      </c>
      <c r="Q116" s="193"/>
      <c r="R116" s="89"/>
      <c r="S116" s="76"/>
      <c r="T116" s="76"/>
    </row>
    <row r="117" spans="1:20" s="260" customFormat="1" ht="37.5" customHeight="1">
      <c r="A117" s="103" t="s">
        <v>402</v>
      </c>
      <c r="B117" s="104" t="s">
        <v>403</v>
      </c>
      <c r="C117" s="103" t="s">
        <v>376</v>
      </c>
      <c r="D117" s="256" t="s">
        <v>404</v>
      </c>
      <c r="E117" s="48">
        <f t="shared" si="11"/>
        <v>0</v>
      </c>
      <c r="F117" s="51"/>
      <c r="G117" s="51"/>
      <c r="H117" s="51"/>
      <c r="I117" s="51"/>
      <c r="J117" s="48">
        <f t="shared" si="7"/>
        <v>121900</v>
      </c>
      <c r="K117" s="51">
        <v>121900</v>
      </c>
      <c r="L117" s="51"/>
      <c r="M117" s="51"/>
      <c r="N117" s="51"/>
      <c r="O117" s="51">
        <v>121900</v>
      </c>
      <c r="P117" s="50">
        <f t="shared" si="6"/>
        <v>121900</v>
      </c>
      <c r="Q117" s="257"/>
      <c r="R117" s="258"/>
      <c r="S117" s="259"/>
      <c r="T117" s="259"/>
    </row>
    <row r="118" spans="1:20" s="260" customFormat="1" ht="36.75" customHeight="1">
      <c r="A118" s="103" t="s">
        <v>405</v>
      </c>
      <c r="B118" s="104" t="s">
        <v>407</v>
      </c>
      <c r="C118" s="103" t="s">
        <v>406</v>
      </c>
      <c r="D118" s="256" t="s">
        <v>408</v>
      </c>
      <c r="E118" s="48">
        <f t="shared" si="11"/>
        <v>1138400</v>
      </c>
      <c r="F118" s="51">
        <v>1138400</v>
      </c>
      <c r="G118" s="51"/>
      <c r="H118" s="51"/>
      <c r="I118" s="51"/>
      <c r="J118" s="48">
        <f t="shared" si="7"/>
        <v>0</v>
      </c>
      <c r="K118" s="51"/>
      <c r="L118" s="51"/>
      <c r="M118" s="51"/>
      <c r="N118" s="51"/>
      <c r="O118" s="51"/>
      <c r="P118" s="50">
        <f t="shared" si="6"/>
        <v>1138400</v>
      </c>
      <c r="Q118" s="257"/>
      <c r="R118" s="258"/>
      <c r="S118" s="259"/>
      <c r="T118" s="259"/>
    </row>
    <row r="119" spans="1:20" s="260" customFormat="1" ht="35.25" customHeight="1">
      <c r="A119" s="103" t="s">
        <v>409</v>
      </c>
      <c r="B119" s="104" t="s">
        <v>410</v>
      </c>
      <c r="C119" s="103" t="s">
        <v>406</v>
      </c>
      <c r="D119" s="256" t="s">
        <v>411</v>
      </c>
      <c r="E119" s="48">
        <f t="shared" si="11"/>
        <v>987000</v>
      </c>
      <c r="F119" s="51">
        <v>987000</v>
      </c>
      <c r="G119" s="51"/>
      <c r="H119" s="51"/>
      <c r="I119" s="51"/>
      <c r="J119" s="48">
        <f t="shared" si="7"/>
        <v>0</v>
      </c>
      <c r="K119" s="51"/>
      <c r="L119" s="51"/>
      <c r="M119" s="51"/>
      <c r="N119" s="51"/>
      <c r="O119" s="51"/>
      <c r="P119" s="50">
        <f t="shared" si="6"/>
        <v>987000</v>
      </c>
      <c r="Q119" s="257"/>
      <c r="R119" s="258"/>
      <c r="S119" s="259"/>
      <c r="T119" s="259"/>
    </row>
    <row r="120" spans="1:20" s="260" customFormat="1" ht="36.75" customHeight="1">
      <c r="A120" s="103" t="s">
        <v>412</v>
      </c>
      <c r="B120" s="104" t="s">
        <v>413</v>
      </c>
      <c r="C120" s="103" t="s">
        <v>406</v>
      </c>
      <c r="D120" s="256" t="s">
        <v>414</v>
      </c>
      <c r="E120" s="48">
        <f t="shared" si="11"/>
        <v>10615300</v>
      </c>
      <c r="F120" s="51">
        <f>3415300+7200000</f>
        <v>10615300</v>
      </c>
      <c r="G120" s="51"/>
      <c r="H120" s="51"/>
      <c r="I120" s="51"/>
      <c r="J120" s="48">
        <f t="shared" si="7"/>
        <v>0</v>
      </c>
      <c r="K120" s="51"/>
      <c r="L120" s="51"/>
      <c r="M120" s="51"/>
      <c r="N120" s="51"/>
      <c r="O120" s="51"/>
      <c r="P120" s="50">
        <f t="shared" si="6"/>
        <v>10615300</v>
      </c>
      <c r="Q120" s="257"/>
      <c r="R120" s="258"/>
      <c r="S120" s="259"/>
      <c r="T120" s="259"/>
    </row>
    <row r="121" spans="1:20" s="260" customFormat="1" ht="39" customHeight="1">
      <c r="A121" s="103" t="s">
        <v>418</v>
      </c>
      <c r="B121" s="104" t="s">
        <v>419</v>
      </c>
      <c r="C121" s="103" t="s">
        <v>283</v>
      </c>
      <c r="D121" s="256" t="s">
        <v>420</v>
      </c>
      <c r="E121" s="48">
        <f t="shared" si="11"/>
        <v>2823780</v>
      </c>
      <c r="F121" s="51">
        <v>2823780</v>
      </c>
      <c r="G121" s="51">
        <v>2184000</v>
      </c>
      <c r="H121" s="51">
        <v>87820</v>
      </c>
      <c r="I121" s="51"/>
      <c r="J121" s="48">
        <f t="shared" si="7"/>
        <v>0</v>
      </c>
      <c r="K121" s="51"/>
      <c r="L121" s="51"/>
      <c r="M121" s="51"/>
      <c r="N121" s="51"/>
      <c r="O121" s="51"/>
      <c r="P121" s="50">
        <f t="shared" si="6"/>
        <v>2823780</v>
      </c>
      <c r="Q121" s="257"/>
      <c r="R121" s="258"/>
      <c r="S121" s="259"/>
      <c r="T121" s="259"/>
    </row>
    <row r="122" spans="1:20" s="260" customFormat="1" ht="21" customHeight="1">
      <c r="A122" s="103" t="s">
        <v>421</v>
      </c>
      <c r="B122" s="104" t="s">
        <v>422</v>
      </c>
      <c r="C122" s="103" t="s">
        <v>283</v>
      </c>
      <c r="D122" s="256" t="s">
        <v>423</v>
      </c>
      <c r="E122" s="48">
        <f t="shared" si="11"/>
        <v>188200</v>
      </c>
      <c r="F122" s="51">
        <v>188200</v>
      </c>
      <c r="G122" s="51"/>
      <c r="H122" s="51"/>
      <c r="I122" s="51"/>
      <c r="J122" s="48">
        <f t="shared" si="7"/>
        <v>0</v>
      </c>
      <c r="K122" s="51"/>
      <c r="L122" s="51"/>
      <c r="M122" s="51"/>
      <c r="N122" s="51"/>
      <c r="O122" s="51"/>
      <c r="P122" s="50">
        <f t="shared" si="6"/>
        <v>188200</v>
      </c>
      <c r="Q122" s="257"/>
      <c r="R122" s="258"/>
      <c r="S122" s="259"/>
      <c r="T122" s="259"/>
    </row>
    <row r="123" spans="1:20" s="52" customFormat="1" ht="69.75" customHeight="1">
      <c r="A123" s="46" t="s">
        <v>424</v>
      </c>
      <c r="B123" s="47" t="s">
        <v>300</v>
      </c>
      <c r="C123" s="46" t="s">
        <v>283</v>
      </c>
      <c r="D123" s="44" t="s">
        <v>302</v>
      </c>
      <c r="E123" s="48">
        <f t="shared" si="11"/>
        <v>1593820</v>
      </c>
      <c r="F123" s="49">
        <v>1593820</v>
      </c>
      <c r="G123" s="49"/>
      <c r="H123" s="49"/>
      <c r="I123" s="49"/>
      <c r="J123" s="50">
        <f t="shared" si="7"/>
        <v>0</v>
      </c>
      <c r="K123" s="59"/>
      <c r="L123" s="49"/>
      <c r="M123" s="49"/>
      <c r="N123" s="49"/>
      <c r="O123" s="59"/>
      <c r="P123" s="48">
        <f t="shared" si="6"/>
        <v>1593820</v>
      </c>
      <c r="Q123" s="193"/>
      <c r="R123" s="89"/>
      <c r="S123" s="76"/>
      <c r="T123" s="76"/>
    </row>
    <row r="124" spans="1:20" s="52" customFormat="1" ht="72.75" customHeight="1">
      <c r="A124" s="46" t="s">
        <v>429</v>
      </c>
      <c r="B124" s="47" t="s">
        <v>430</v>
      </c>
      <c r="C124" s="46" t="s">
        <v>371</v>
      </c>
      <c r="D124" s="44" t="s">
        <v>428</v>
      </c>
      <c r="E124" s="48">
        <f t="shared" si="11"/>
        <v>14200</v>
      </c>
      <c r="F124" s="49">
        <v>14200</v>
      </c>
      <c r="G124" s="49"/>
      <c r="H124" s="49"/>
      <c r="I124" s="49"/>
      <c r="J124" s="50">
        <f t="shared" si="7"/>
        <v>0</v>
      </c>
      <c r="K124" s="59"/>
      <c r="L124" s="49"/>
      <c r="M124" s="49"/>
      <c r="N124" s="49"/>
      <c r="O124" s="59"/>
      <c r="P124" s="48">
        <f t="shared" si="6"/>
        <v>14200</v>
      </c>
      <c r="Q124" s="193"/>
      <c r="R124" s="89"/>
      <c r="S124" s="76"/>
      <c r="T124" s="76"/>
    </row>
    <row r="125" spans="1:20" s="260" customFormat="1" ht="43.5" customHeight="1">
      <c r="A125" s="105" t="s">
        <v>77</v>
      </c>
      <c r="B125" s="261">
        <v>3192</v>
      </c>
      <c r="C125" s="105">
        <v>1030</v>
      </c>
      <c r="D125" s="106" t="s">
        <v>78</v>
      </c>
      <c r="E125" s="48">
        <f t="shared" si="11"/>
        <v>835300</v>
      </c>
      <c r="F125" s="51">
        <v>835300</v>
      </c>
      <c r="G125" s="51"/>
      <c r="H125" s="51"/>
      <c r="I125" s="51"/>
      <c r="J125" s="50">
        <f t="shared" si="7"/>
        <v>0</v>
      </c>
      <c r="K125" s="51"/>
      <c r="L125" s="51"/>
      <c r="M125" s="51"/>
      <c r="N125" s="51"/>
      <c r="O125" s="51"/>
      <c r="P125" s="50">
        <f aca="true" t="shared" si="12" ref="P125:P142">E125+J125</f>
        <v>835300</v>
      </c>
      <c r="Q125" s="257"/>
      <c r="R125" s="258"/>
      <c r="S125" s="259"/>
      <c r="T125" s="259"/>
    </row>
    <row r="126" spans="1:20" s="75" customFormat="1" ht="32.25" customHeight="1" hidden="1">
      <c r="A126" s="29"/>
      <c r="B126" s="39"/>
      <c r="C126" s="29"/>
      <c r="D126" s="3" t="s">
        <v>601</v>
      </c>
      <c r="E126" s="19">
        <f t="shared" si="11"/>
        <v>0</v>
      </c>
      <c r="F126" s="20"/>
      <c r="G126" s="20"/>
      <c r="H126" s="20"/>
      <c r="I126" s="20"/>
      <c r="J126" s="21">
        <f t="shared" si="7"/>
        <v>0</v>
      </c>
      <c r="K126" s="43"/>
      <c r="L126" s="20"/>
      <c r="M126" s="20"/>
      <c r="N126" s="20"/>
      <c r="O126" s="43"/>
      <c r="P126" s="19">
        <f t="shared" si="12"/>
        <v>0</v>
      </c>
      <c r="Q126" s="198"/>
      <c r="R126" s="232" t="s">
        <v>383</v>
      </c>
      <c r="S126" s="74"/>
      <c r="T126" s="74"/>
    </row>
    <row r="127" spans="1:20" s="260" customFormat="1" ht="39" customHeight="1">
      <c r="A127" s="105" t="s">
        <v>79</v>
      </c>
      <c r="B127" s="261">
        <v>3241</v>
      </c>
      <c r="C127" s="105">
        <v>1090</v>
      </c>
      <c r="D127" s="283" t="s">
        <v>80</v>
      </c>
      <c r="E127" s="48">
        <f t="shared" si="11"/>
        <v>2948260</v>
      </c>
      <c r="F127" s="284">
        <v>2948260</v>
      </c>
      <c r="G127" s="51">
        <v>1832000</v>
      </c>
      <c r="H127" s="51">
        <v>464900</v>
      </c>
      <c r="I127" s="51"/>
      <c r="J127" s="50">
        <f aca="true" t="shared" si="13" ref="J127:J142">L127+O127</f>
        <v>0</v>
      </c>
      <c r="K127" s="51"/>
      <c r="L127" s="51"/>
      <c r="M127" s="51"/>
      <c r="N127" s="51"/>
      <c r="O127" s="51"/>
      <c r="P127" s="50">
        <f t="shared" si="12"/>
        <v>2948260</v>
      </c>
      <c r="Q127" s="257"/>
      <c r="R127" s="258"/>
      <c r="S127" s="259"/>
      <c r="T127" s="259"/>
    </row>
    <row r="128" spans="1:20" s="260" customFormat="1" ht="30" customHeight="1">
      <c r="A128" s="105" t="s">
        <v>81</v>
      </c>
      <c r="B128" s="105" t="s">
        <v>82</v>
      </c>
      <c r="C128" s="103">
        <v>1090</v>
      </c>
      <c r="D128" s="283" t="s">
        <v>75</v>
      </c>
      <c r="E128" s="48">
        <f t="shared" si="11"/>
        <v>12940200</v>
      </c>
      <c r="F128" s="285">
        <v>12940200</v>
      </c>
      <c r="G128" s="51"/>
      <c r="H128" s="51"/>
      <c r="I128" s="51"/>
      <c r="J128" s="50">
        <f t="shared" si="13"/>
        <v>0</v>
      </c>
      <c r="K128" s="51"/>
      <c r="L128" s="51"/>
      <c r="M128" s="51"/>
      <c r="N128" s="51"/>
      <c r="O128" s="51"/>
      <c r="P128" s="50">
        <f t="shared" si="12"/>
        <v>12940200</v>
      </c>
      <c r="Q128" s="257"/>
      <c r="R128" s="258"/>
      <c r="S128" s="259"/>
      <c r="T128" s="259"/>
    </row>
    <row r="129" spans="1:20" s="87" customFormat="1" ht="36.75" customHeight="1" hidden="1">
      <c r="A129" s="40"/>
      <c r="B129" s="40"/>
      <c r="C129" s="41"/>
      <c r="D129" s="3" t="s">
        <v>601</v>
      </c>
      <c r="E129" s="19">
        <f t="shared" si="11"/>
        <v>0</v>
      </c>
      <c r="F129" s="42"/>
      <c r="G129" s="43"/>
      <c r="H129" s="43"/>
      <c r="I129" s="43"/>
      <c r="J129" s="21">
        <f t="shared" si="13"/>
        <v>0</v>
      </c>
      <c r="K129" s="43"/>
      <c r="L129" s="43"/>
      <c r="M129" s="43"/>
      <c r="N129" s="43"/>
      <c r="O129" s="43"/>
      <c r="P129" s="21">
        <f t="shared" si="12"/>
        <v>0</v>
      </c>
      <c r="Q129" s="198"/>
      <c r="R129" s="232" t="s">
        <v>383</v>
      </c>
      <c r="S129" s="86"/>
      <c r="T129" s="86"/>
    </row>
    <row r="130" spans="1:20" s="179" customFormat="1" ht="35.25" customHeight="1">
      <c r="A130" s="169" t="s">
        <v>368</v>
      </c>
      <c r="B130" s="170"/>
      <c r="C130" s="171"/>
      <c r="D130" s="172" t="s">
        <v>1</v>
      </c>
      <c r="E130" s="173">
        <f t="shared" si="11"/>
        <v>11143180</v>
      </c>
      <c r="F130" s="173">
        <f>F131+F132+F135+F136+F133+F134+F137+F138</f>
        <v>11143180</v>
      </c>
      <c r="G130" s="173">
        <f>G131+G132+G135+G136+G133+G134+G137+G138</f>
        <v>6331738</v>
      </c>
      <c r="H130" s="173">
        <f>H131+H132+H135+H136+H133+H134+H137+H138</f>
        <v>1201890</v>
      </c>
      <c r="I130" s="173">
        <f>I131+I132+I135+I136+I133+I134+I137+I138</f>
        <v>0</v>
      </c>
      <c r="J130" s="174">
        <f t="shared" si="13"/>
        <v>150000</v>
      </c>
      <c r="K130" s="173">
        <f>K131+K132+K135+K136+K133+K134+K137+K138</f>
        <v>0</v>
      </c>
      <c r="L130" s="173">
        <f>L131+L132+L135+L136+L133+L134+L137+L138</f>
        <v>150000</v>
      </c>
      <c r="M130" s="173">
        <f>M131+M132+M135+M136+M133+M134+M137+M138</f>
        <v>70000</v>
      </c>
      <c r="N130" s="173">
        <f>N131+N132+N135+N136+N133+N134+N137+N138</f>
        <v>0</v>
      </c>
      <c r="O130" s="173">
        <f>O131+O132+O135+O136+O133+O134+O137+O138</f>
        <v>0</v>
      </c>
      <c r="P130" s="173">
        <f>E130+J130</f>
        <v>11293180</v>
      </c>
      <c r="Q130" s="193"/>
      <c r="R130" s="202"/>
      <c r="S130" s="178"/>
      <c r="T130" s="178"/>
    </row>
    <row r="131" spans="1:20" s="52" customFormat="1" ht="36.75" customHeight="1">
      <c r="A131" s="46" t="s">
        <v>369</v>
      </c>
      <c r="B131" s="47" t="s">
        <v>264</v>
      </c>
      <c r="C131" s="46" t="s">
        <v>249</v>
      </c>
      <c r="D131" s="44" t="s">
        <v>265</v>
      </c>
      <c r="E131" s="48">
        <f t="shared" si="11"/>
        <v>618220</v>
      </c>
      <c r="F131" s="49">
        <v>618220</v>
      </c>
      <c r="G131" s="49">
        <v>506738</v>
      </c>
      <c r="H131" s="49"/>
      <c r="I131" s="49"/>
      <c r="J131" s="50">
        <f t="shared" si="13"/>
        <v>0</v>
      </c>
      <c r="K131" s="59"/>
      <c r="L131" s="49"/>
      <c r="M131" s="49"/>
      <c r="N131" s="49"/>
      <c r="O131" s="59"/>
      <c r="P131" s="48">
        <f t="shared" si="12"/>
        <v>618220</v>
      </c>
      <c r="Q131" s="193"/>
      <c r="R131" s="89"/>
      <c r="S131" s="76"/>
      <c r="T131" s="76"/>
    </row>
    <row r="132" spans="1:20" s="52" customFormat="1" ht="27" customHeight="1" hidden="1">
      <c r="A132" s="46" t="s">
        <v>370</v>
      </c>
      <c r="B132" s="47" t="s">
        <v>254</v>
      </c>
      <c r="C132" s="46" t="s">
        <v>253</v>
      </c>
      <c r="D132" s="44" t="s">
        <v>255</v>
      </c>
      <c r="E132" s="48">
        <f t="shared" si="11"/>
        <v>0</v>
      </c>
      <c r="F132" s="49"/>
      <c r="G132" s="49"/>
      <c r="H132" s="49"/>
      <c r="I132" s="49"/>
      <c r="J132" s="50">
        <f t="shared" si="13"/>
        <v>0</v>
      </c>
      <c r="K132" s="59"/>
      <c r="L132" s="49"/>
      <c r="M132" s="49"/>
      <c r="N132" s="49"/>
      <c r="O132" s="59"/>
      <c r="P132" s="48">
        <f t="shared" si="12"/>
        <v>0</v>
      </c>
      <c r="Q132" s="193"/>
      <c r="R132" s="89"/>
      <c r="S132" s="76"/>
      <c r="T132" s="76"/>
    </row>
    <row r="133" spans="1:20" s="260" customFormat="1" ht="32.25" customHeight="1">
      <c r="A133" s="103" t="s">
        <v>110</v>
      </c>
      <c r="B133" s="104">
        <v>3032</v>
      </c>
      <c r="C133" s="105" t="s">
        <v>406</v>
      </c>
      <c r="D133" s="106" t="s">
        <v>111</v>
      </c>
      <c r="E133" s="48">
        <f t="shared" si="11"/>
        <v>10150</v>
      </c>
      <c r="F133" s="51">
        <v>10150</v>
      </c>
      <c r="G133" s="51"/>
      <c r="H133" s="51"/>
      <c r="I133" s="51"/>
      <c r="J133" s="48">
        <f t="shared" si="13"/>
        <v>0</v>
      </c>
      <c r="K133" s="51"/>
      <c r="L133" s="51"/>
      <c r="M133" s="51"/>
      <c r="N133" s="51"/>
      <c r="O133" s="51"/>
      <c r="P133" s="48">
        <f t="shared" si="12"/>
        <v>10150</v>
      </c>
      <c r="Q133" s="257"/>
      <c r="R133" s="258"/>
      <c r="S133" s="259"/>
      <c r="T133" s="259"/>
    </row>
    <row r="134" spans="1:21" s="106" customFormat="1" ht="52.5" customHeight="1">
      <c r="A134" s="103" t="s">
        <v>416</v>
      </c>
      <c r="B134" s="104" t="s">
        <v>417</v>
      </c>
      <c r="C134" s="103" t="s">
        <v>279</v>
      </c>
      <c r="D134" s="106" t="s">
        <v>94</v>
      </c>
      <c r="E134" s="50">
        <f t="shared" si="11"/>
        <v>9060640</v>
      </c>
      <c r="F134" s="51">
        <v>9060640</v>
      </c>
      <c r="G134" s="51">
        <v>5825000</v>
      </c>
      <c r="H134" s="51">
        <v>1201890</v>
      </c>
      <c r="I134" s="51"/>
      <c r="J134" s="50">
        <f t="shared" si="13"/>
        <v>150000</v>
      </c>
      <c r="K134" s="51"/>
      <c r="L134" s="51">
        <f>100000+50000</f>
        <v>150000</v>
      </c>
      <c r="M134" s="51">
        <f>49000+21000</f>
        <v>70000</v>
      </c>
      <c r="N134" s="51"/>
      <c r="O134" s="51"/>
      <c r="P134" s="50">
        <f t="shared" si="12"/>
        <v>9210640</v>
      </c>
      <c r="Q134" s="257"/>
      <c r="R134" s="258"/>
      <c r="S134" s="259"/>
      <c r="T134" s="259"/>
      <c r="U134" s="286"/>
    </row>
    <row r="135" spans="1:21" s="95" customFormat="1" ht="64.5" customHeight="1">
      <c r="A135" s="103" t="s">
        <v>425</v>
      </c>
      <c r="B135" s="104" t="s">
        <v>426</v>
      </c>
      <c r="C135" s="105" t="s">
        <v>275</v>
      </c>
      <c r="D135" s="106" t="s">
        <v>95</v>
      </c>
      <c r="E135" s="50">
        <f t="shared" si="11"/>
        <v>712610</v>
      </c>
      <c r="F135" s="51">
        <v>712610</v>
      </c>
      <c r="G135" s="51"/>
      <c r="H135" s="51"/>
      <c r="I135" s="51"/>
      <c r="J135" s="50">
        <f t="shared" si="13"/>
        <v>0</v>
      </c>
      <c r="K135" s="59"/>
      <c r="L135" s="51"/>
      <c r="M135" s="51"/>
      <c r="N135" s="51"/>
      <c r="O135" s="59"/>
      <c r="P135" s="50">
        <f t="shared" si="12"/>
        <v>712610</v>
      </c>
      <c r="Q135" s="193"/>
      <c r="R135" s="199"/>
      <c r="S135" s="94"/>
      <c r="T135" s="94"/>
      <c r="U135" s="102"/>
    </row>
    <row r="136" spans="1:21" s="96" customFormat="1" ht="63" customHeight="1">
      <c r="A136" s="46" t="s">
        <v>429</v>
      </c>
      <c r="B136" s="47" t="s">
        <v>430</v>
      </c>
      <c r="C136" s="46" t="s">
        <v>371</v>
      </c>
      <c r="D136" s="96" t="s">
        <v>96</v>
      </c>
      <c r="E136" s="48">
        <f t="shared" si="11"/>
        <v>407160</v>
      </c>
      <c r="F136" s="49">
        <v>407160</v>
      </c>
      <c r="G136" s="49"/>
      <c r="H136" s="49"/>
      <c r="I136" s="49"/>
      <c r="J136" s="50">
        <f t="shared" si="13"/>
        <v>0</v>
      </c>
      <c r="K136" s="59"/>
      <c r="L136" s="49"/>
      <c r="M136" s="49"/>
      <c r="N136" s="49"/>
      <c r="O136" s="59"/>
      <c r="P136" s="48">
        <f t="shared" si="12"/>
        <v>407160</v>
      </c>
      <c r="Q136" s="193"/>
      <c r="R136" s="89"/>
      <c r="S136" s="76"/>
      <c r="T136" s="76"/>
      <c r="U136" s="101"/>
    </row>
    <row r="137" spans="1:20" s="260" customFormat="1" ht="30" customHeight="1">
      <c r="A137" s="103" t="s">
        <v>81</v>
      </c>
      <c r="B137" s="104" t="s">
        <v>82</v>
      </c>
      <c r="C137" s="103" t="s">
        <v>287</v>
      </c>
      <c r="D137" s="260" t="s">
        <v>75</v>
      </c>
      <c r="E137" s="48">
        <f aca="true" t="shared" si="14" ref="E137:E151">F137+I137</f>
        <v>334400</v>
      </c>
      <c r="F137" s="51">
        <v>334400</v>
      </c>
      <c r="G137" s="51"/>
      <c r="H137" s="51"/>
      <c r="I137" s="51"/>
      <c r="J137" s="48">
        <f t="shared" si="13"/>
        <v>0</v>
      </c>
      <c r="K137" s="51"/>
      <c r="L137" s="51"/>
      <c r="M137" s="51"/>
      <c r="N137" s="51"/>
      <c r="O137" s="51"/>
      <c r="P137" s="48">
        <f t="shared" si="12"/>
        <v>334400</v>
      </c>
      <c r="Q137" s="257"/>
      <c r="R137" s="258"/>
      <c r="S137" s="259"/>
      <c r="T137" s="259"/>
    </row>
    <row r="138" spans="1:20" s="98" customFormat="1" ht="60" customHeight="1" hidden="1">
      <c r="A138" s="55" t="s">
        <v>378</v>
      </c>
      <c r="B138" s="60">
        <v>6083</v>
      </c>
      <c r="C138" s="55" t="s">
        <v>460</v>
      </c>
      <c r="D138" s="226" t="s">
        <v>379</v>
      </c>
      <c r="E138" s="48">
        <f t="shared" si="14"/>
        <v>0</v>
      </c>
      <c r="F138" s="59"/>
      <c r="G138" s="59"/>
      <c r="H138" s="59"/>
      <c r="I138" s="59"/>
      <c r="J138" s="48">
        <f t="shared" si="13"/>
        <v>0</v>
      </c>
      <c r="K138" s="59"/>
      <c r="L138" s="59"/>
      <c r="M138" s="59"/>
      <c r="N138" s="59"/>
      <c r="O138" s="59"/>
      <c r="P138" s="50">
        <f t="shared" si="12"/>
        <v>0</v>
      </c>
      <c r="Q138" s="203"/>
      <c r="R138" s="201"/>
      <c r="S138" s="97"/>
      <c r="T138" s="97"/>
    </row>
    <row r="139" spans="1:20" s="85" customFormat="1" ht="115.5" customHeight="1" hidden="1">
      <c r="A139" s="227"/>
      <c r="B139" s="228"/>
      <c r="C139" s="227"/>
      <c r="D139" s="229" t="s">
        <v>380</v>
      </c>
      <c r="E139" s="24">
        <f t="shared" si="14"/>
        <v>0</v>
      </c>
      <c r="F139" s="27"/>
      <c r="G139" s="27"/>
      <c r="H139" s="27"/>
      <c r="I139" s="27"/>
      <c r="J139" s="24">
        <f t="shared" si="13"/>
        <v>0</v>
      </c>
      <c r="K139" s="27"/>
      <c r="L139" s="27"/>
      <c r="M139" s="27"/>
      <c r="N139" s="27"/>
      <c r="O139" s="27"/>
      <c r="P139" s="26">
        <f t="shared" si="12"/>
        <v>0</v>
      </c>
      <c r="Q139" s="198">
        <f>P139</f>
        <v>0</v>
      </c>
      <c r="R139" s="232" t="s">
        <v>203</v>
      </c>
      <c r="S139" s="84"/>
      <c r="T139" s="84"/>
    </row>
    <row r="140" spans="1:20" s="179" customFormat="1" ht="40.5" customHeight="1">
      <c r="A140" s="169" t="s">
        <v>368</v>
      </c>
      <c r="B140" s="170"/>
      <c r="C140" s="171"/>
      <c r="D140" s="172" t="s">
        <v>6</v>
      </c>
      <c r="E140" s="173">
        <f t="shared" si="14"/>
        <v>9855694</v>
      </c>
      <c r="F140" s="173">
        <f>F141+F142+F146+F147+F143+F144+F148</f>
        <v>9855694</v>
      </c>
      <c r="G140" s="173">
        <f>G141+G142+G146+G147+G143+G144+G148</f>
        <v>6248810</v>
      </c>
      <c r="H140" s="173">
        <f>H141+H142+H146+H147+H143+H144+H148</f>
        <v>338260</v>
      </c>
      <c r="I140" s="173">
        <f>I141+I142+I146+I147+I143+I144+I148</f>
        <v>0</v>
      </c>
      <c r="J140" s="174">
        <f t="shared" si="13"/>
        <v>117730</v>
      </c>
      <c r="K140" s="173">
        <f>K141+K142+K146+K147+K143+K144+K148</f>
        <v>0</v>
      </c>
      <c r="L140" s="173">
        <f>L141+L142+L146+L147+L143+L144+L148</f>
        <v>117730</v>
      </c>
      <c r="M140" s="173">
        <f>M141+M142+M146+M147+M143+M144+M148</f>
        <v>85020</v>
      </c>
      <c r="N140" s="173">
        <f>N141+N142+N146+N147+N143+N144+N148</f>
        <v>0</v>
      </c>
      <c r="O140" s="173">
        <f>O141+O142+O146+O147+O143+O144+O148</f>
        <v>0</v>
      </c>
      <c r="P140" s="173">
        <f>E140+J140</f>
        <v>9973424</v>
      </c>
      <c r="Q140" s="193"/>
      <c r="R140" s="202"/>
      <c r="S140" s="178"/>
      <c r="T140" s="178"/>
    </row>
    <row r="141" spans="1:20" s="52" customFormat="1" ht="45" customHeight="1">
      <c r="A141" s="46" t="s">
        <v>369</v>
      </c>
      <c r="B141" s="47" t="s">
        <v>264</v>
      </c>
      <c r="C141" s="46" t="s">
        <v>249</v>
      </c>
      <c r="D141" s="44" t="s">
        <v>265</v>
      </c>
      <c r="E141" s="48">
        <f t="shared" si="14"/>
        <v>837664</v>
      </c>
      <c r="F141" s="49">
        <v>837664</v>
      </c>
      <c r="G141" s="49">
        <v>686610</v>
      </c>
      <c r="H141" s="49"/>
      <c r="I141" s="49"/>
      <c r="J141" s="50">
        <f t="shared" si="13"/>
        <v>0</v>
      </c>
      <c r="K141" s="59"/>
      <c r="L141" s="49"/>
      <c r="M141" s="49"/>
      <c r="N141" s="49"/>
      <c r="O141" s="59"/>
      <c r="P141" s="48">
        <f t="shared" si="12"/>
        <v>837664</v>
      </c>
      <c r="Q141" s="193"/>
      <c r="R141" s="89"/>
      <c r="S141" s="76"/>
      <c r="T141" s="76"/>
    </row>
    <row r="142" spans="1:20" s="52" customFormat="1" ht="27" customHeight="1" hidden="1">
      <c r="A142" s="46" t="s">
        <v>370</v>
      </c>
      <c r="B142" s="47" t="s">
        <v>254</v>
      </c>
      <c r="C142" s="46" t="s">
        <v>253</v>
      </c>
      <c r="D142" s="44" t="s">
        <v>255</v>
      </c>
      <c r="E142" s="48">
        <f t="shared" si="14"/>
        <v>0</v>
      </c>
      <c r="F142" s="49"/>
      <c r="G142" s="49"/>
      <c r="H142" s="49"/>
      <c r="I142" s="49"/>
      <c r="J142" s="50">
        <f t="shared" si="13"/>
        <v>0</v>
      </c>
      <c r="K142" s="59"/>
      <c r="L142" s="49"/>
      <c r="M142" s="49"/>
      <c r="N142" s="49"/>
      <c r="O142" s="59"/>
      <c r="P142" s="48">
        <f t="shared" si="12"/>
        <v>0</v>
      </c>
      <c r="Q142" s="193"/>
      <c r="R142" s="89"/>
      <c r="S142" s="76"/>
      <c r="T142" s="76"/>
    </row>
    <row r="143" spans="1:20" s="260" customFormat="1" ht="62.25" customHeight="1">
      <c r="A143" s="103" t="s">
        <v>110</v>
      </c>
      <c r="B143" s="104">
        <v>3032</v>
      </c>
      <c r="C143" s="105" t="s">
        <v>406</v>
      </c>
      <c r="D143" s="106" t="s">
        <v>111</v>
      </c>
      <c r="E143" s="48">
        <f t="shared" si="14"/>
        <v>12600</v>
      </c>
      <c r="F143" s="51">
        <v>12600</v>
      </c>
      <c r="G143" s="51"/>
      <c r="H143" s="51"/>
      <c r="I143" s="51"/>
      <c r="J143" s="48">
        <f aca="true" t="shared" si="15" ref="J143:J152">L143+O143</f>
        <v>0</v>
      </c>
      <c r="K143" s="51"/>
      <c r="L143" s="51"/>
      <c r="M143" s="51"/>
      <c r="N143" s="51"/>
      <c r="O143" s="51"/>
      <c r="P143" s="48">
        <f aca="true" t="shared" si="16" ref="P143:P151">E143+J143</f>
        <v>12600</v>
      </c>
      <c r="Q143" s="257"/>
      <c r="R143" s="258"/>
      <c r="S143" s="259"/>
      <c r="T143" s="259"/>
    </row>
    <row r="144" spans="1:20" s="260" customFormat="1" ht="56.25" customHeight="1">
      <c r="A144" s="103" t="s">
        <v>416</v>
      </c>
      <c r="B144" s="104" t="s">
        <v>417</v>
      </c>
      <c r="C144" s="103" t="s">
        <v>279</v>
      </c>
      <c r="D144" s="106" t="s">
        <v>94</v>
      </c>
      <c r="E144" s="48">
        <f t="shared" si="14"/>
        <v>7662620</v>
      </c>
      <c r="F144" s="51">
        <v>7662620</v>
      </c>
      <c r="G144" s="51">
        <v>5562200</v>
      </c>
      <c r="H144" s="51">
        <v>338260</v>
      </c>
      <c r="I144" s="51"/>
      <c r="J144" s="48">
        <f t="shared" si="15"/>
        <v>117730</v>
      </c>
      <c r="K144" s="51"/>
      <c r="L144" s="51">
        <v>117730</v>
      </c>
      <c r="M144" s="51">
        <v>85020</v>
      </c>
      <c r="N144" s="51"/>
      <c r="O144" s="51"/>
      <c r="P144" s="48">
        <f t="shared" si="16"/>
        <v>7780350</v>
      </c>
      <c r="Q144" s="257"/>
      <c r="R144" s="258"/>
      <c r="S144" s="259"/>
      <c r="T144" s="259"/>
    </row>
    <row r="145" spans="1:20" s="83" customFormat="1" ht="35.25" customHeight="1" hidden="1">
      <c r="A145" s="22"/>
      <c r="B145" s="23"/>
      <c r="C145" s="22"/>
      <c r="D145" s="28" t="s">
        <v>602</v>
      </c>
      <c r="E145" s="24">
        <f t="shared" si="14"/>
        <v>0</v>
      </c>
      <c r="F145" s="25"/>
      <c r="G145" s="25"/>
      <c r="H145" s="25"/>
      <c r="I145" s="25"/>
      <c r="J145" s="26">
        <f t="shared" si="15"/>
        <v>0</v>
      </c>
      <c r="K145" s="27"/>
      <c r="L145" s="25"/>
      <c r="M145" s="25"/>
      <c r="N145" s="25"/>
      <c r="O145" s="27"/>
      <c r="P145" s="26">
        <f t="shared" si="16"/>
        <v>0</v>
      </c>
      <c r="Q145" s="198"/>
      <c r="R145" s="232" t="s">
        <v>383</v>
      </c>
      <c r="S145" s="82"/>
      <c r="T145" s="82"/>
    </row>
    <row r="146" spans="1:20" s="98" customFormat="1" ht="70.5" customHeight="1">
      <c r="A146" s="62" t="s">
        <v>425</v>
      </c>
      <c r="B146" s="60" t="s">
        <v>426</v>
      </c>
      <c r="C146" s="55" t="s">
        <v>275</v>
      </c>
      <c r="D146" s="98" t="s">
        <v>95</v>
      </c>
      <c r="E146" s="50">
        <f t="shared" si="14"/>
        <v>643180</v>
      </c>
      <c r="F146" s="59">
        <v>643180</v>
      </c>
      <c r="G146" s="59"/>
      <c r="H146" s="59"/>
      <c r="I146" s="59"/>
      <c r="J146" s="50">
        <f t="shared" si="15"/>
        <v>0</v>
      </c>
      <c r="K146" s="59"/>
      <c r="L146" s="59"/>
      <c r="M146" s="59"/>
      <c r="N146" s="59"/>
      <c r="O146" s="59"/>
      <c r="P146" s="50">
        <f t="shared" si="16"/>
        <v>643180</v>
      </c>
      <c r="Q146" s="193"/>
      <c r="R146" s="201"/>
      <c r="S146" s="97"/>
      <c r="T146" s="97"/>
    </row>
    <row r="147" spans="1:20" s="52" customFormat="1" ht="64.5" customHeight="1">
      <c r="A147" s="46" t="s">
        <v>429</v>
      </c>
      <c r="B147" s="47" t="s">
        <v>430</v>
      </c>
      <c r="C147" s="46" t="s">
        <v>371</v>
      </c>
      <c r="D147" s="44" t="s">
        <v>428</v>
      </c>
      <c r="E147" s="48">
        <f t="shared" si="14"/>
        <v>370030</v>
      </c>
      <c r="F147" s="49">
        <v>370030</v>
      </c>
      <c r="G147" s="49"/>
      <c r="H147" s="49"/>
      <c r="I147" s="49"/>
      <c r="J147" s="50">
        <f t="shared" si="15"/>
        <v>0</v>
      </c>
      <c r="K147" s="59"/>
      <c r="L147" s="49"/>
      <c r="M147" s="49"/>
      <c r="N147" s="49"/>
      <c r="O147" s="59"/>
      <c r="P147" s="48">
        <f t="shared" si="16"/>
        <v>370030</v>
      </c>
      <c r="Q147" s="193"/>
      <c r="R147" s="89"/>
      <c r="S147" s="76"/>
      <c r="T147" s="76"/>
    </row>
    <row r="148" spans="1:20" s="260" customFormat="1" ht="33.75" customHeight="1">
      <c r="A148" s="103" t="s">
        <v>81</v>
      </c>
      <c r="B148" s="104" t="s">
        <v>82</v>
      </c>
      <c r="C148" s="103" t="s">
        <v>287</v>
      </c>
      <c r="D148" s="106" t="s">
        <v>75</v>
      </c>
      <c r="E148" s="48">
        <f t="shared" si="14"/>
        <v>329600</v>
      </c>
      <c r="F148" s="51">
        <v>329600</v>
      </c>
      <c r="G148" s="51"/>
      <c r="H148" s="51"/>
      <c r="I148" s="51"/>
      <c r="J148" s="48">
        <f t="shared" si="15"/>
        <v>0</v>
      </c>
      <c r="K148" s="51"/>
      <c r="L148" s="51"/>
      <c r="M148" s="51"/>
      <c r="N148" s="51"/>
      <c r="O148" s="51"/>
      <c r="P148" s="48">
        <f t="shared" si="16"/>
        <v>329600</v>
      </c>
      <c r="Q148" s="257"/>
      <c r="R148" s="258"/>
      <c r="S148" s="259"/>
      <c r="T148" s="259"/>
    </row>
    <row r="149" spans="1:20" s="179" customFormat="1" ht="38.25" customHeight="1">
      <c r="A149" s="169" t="s">
        <v>368</v>
      </c>
      <c r="B149" s="170"/>
      <c r="C149" s="171"/>
      <c r="D149" s="172" t="s">
        <v>7</v>
      </c>
      <c r="E149" s="173">
        <f t="shared" si="14"/>
        <v>10167508</v>
      </c>
      <c r="F149" s="173">
        <f>F150+F151+F154+F155+F153+F156+F152</f>
        <v>10167508</v>
      </c>
      <c r="G149" s="173">
        <f>G150+G151+G154+G155+G153+G156+G152</f>
        <v>6876900</v>
      </c>
      <c r="H149" s="173">
        <f>H150+H151+H154+H155+H153+H156+H152</f>
        <v>389610</v>
      </c>
      <c r="I149" s="173">
        <f>I150+I151+I154+I155+I153+I156+I152</f>
        <v>0</v>
      </c>
      <c r="J149" s="174">
        <f t="shared" si="15"/>
        <v>84300</v>
      </c>
      <c r="K149" s="173">
        <f>K150+K151+K154+K155+K153+K156+K152</f>
        <v>0</v>
      </c>
      <c r="L149" s="173">
        <f>L150+L151+L154+L155+L153+L156+L152</f>
        <v>84300</v>
      </c>
      <c r="M149" s="173">
        <f>M150+M151+M154+M155+M153+M156+M152</f>
        <v>56000</v>
      </c>
      <c r="N149" s="173">
        <f>N150+N151+N154+N155+N153+N156+N152</f>
        <v>0</v>
      </c>
      <c r="O149" s="173">
        <f>O150+O151+O154+O155+O153+O156+O152</f>
        <v>0</v>
      </c>
      <c r="P149" s="173">
        <f t="shared" si="16"/>
        <v>10251808</v>
      </c>
      <c r="Q149" s="193"/>
      <c r="R149" s="202"/>
      <c r="S149" s="178"/>
      <c r="T149" s="178"/>
    </row>
    <row r="150" spans="1:20" s="52" customFormat="1" ht="41.25" customHeight="1">
      <c r="A150" s="46" t="s">
        <v>369</v>
      </c>
      <c r="B150" s="47" t="s">
        <v>264</v>
      </c>
      <c r="C150" s="46" t="s">
        <v>249</v>
      </c>
      <c r="D150" s="44" t="s">
        <v>265</v>
      </c>
      <c r="E150" s="48">
        <f t="shared" si="14"/>
        <v>703818</v>
      </c>
      <c r="F150" s="49">
        <v>703818</v>
      </c>
      <c r="G150" s="49">
        <v>576900</v>
      </c>
      <c r="H150" s="49"/>
      <c r="I150" s="49"/>
      <c r="J150" s="50">
        <f t="shared" si="15"/>
        <v>0</v>
      </c>
      <c r="K150" s="59"/>
      <c r="L150" s="49"/>
      <c r="M150" s="49"/>
      <c r="N150" s="49"/>
      <c r="O150" s="59"/>
      <c r="P150" s="48">
        <f t="shared" si="16"/>
        <v>703818</v>
      </c>
      <c r="Q150" s="193"/>
      <c r="R150" s="89"/>
      <c r="S150" s="76"/>
      <c r="T150" s="76"/>
    </row>
    <row r="151" spans="1:20" s="52" customFormat="1" ht="27" customHeight="1" hidden="1">
      <c r="A151" s="46" t="s">
        <v>370</v>
      </c>
      <c r="B151" s="47" t="s">
        <v>254</v>
      </c>
      <c r="C151" s="46" t="s">
        <v>253</v>
      </c>
      <c r="D151" s="44" t="s">
        <v>255</v>
      </c>
      <c r="E151" s="48">
        <f t="shared" si="14"/>
        <v>0</v>
      </c>
      <c r="F151" s="49"/>
      <c r="G151" s="49"/>
      <c r="H151" s="49"/>
      <c r="I151" s="49"/>
      <c r="J151" s="50">
        <f t="shared" si="15"/>
        <v>0</v>
      </c>
      <c r="K151" s="59"/>
      <c r="L151" s="49"/>
      <c r="M151" s="49"/>
      <c r="N151" s="49"/>
      <c r="O151" s="59"/>
      <c r="P151" s="48">
        <f t="shared" si="16"/>
        <v>0</v>
      </c>
      <c r="Q151" s="193"/>
      <c r="R151" s="89"/>
      <c r="S151" s="76"/>
      <c r="T151" s="76"/>
    </row>
    <row r="152" spans="1:20" s="260" customFormat="1" ht="28.5" customHeight="1">
      <c r="A152" s="103" t="s">
        <v>110</v>
      </c>
      <c r="B152" s="104">
        <v>3032</v>
      </c>
      <c r="C152" s="105" t="s">
        <v>406</v>
      </c>
      <c r="D152" s="106" t="s">
        <v>111</v>
      </c>
      <c r="E152" s="48">
        <f>F152+I152</f>
        <v>1500</v>
      </c>
      <c r="F152" s="51">
        <v>1500</v>
      </c>
      <c r="G152" s="51"/>
      <c r="H152" s="51"/>
      <c r="I152" s="51"/>
      <c r="J152" s="48">
        <f t="shared" si="15"/>
        <v>0</v>
      </c>
      <c r="K152" s="51"/>
      <c r="L152" s="51"/>
      <c r="M152" s="51"/>
      <c r="N152" s="51"/>
      <c r="O152" s="51"/>
      <c r="P152" s="48">
        <f>J152+E152</f>
        <v>1500</v>
      </c>
      <c r="Q152" s="257"/>
      <c r="R152" s="258"/>
      <c r="S152" s="259"/>
      <c r="T152" s="259"/>
    </row>
    <row r="153" spans="1:20" s="260" customFormat="1" ht="60" customHeight="1">
      <c r="A153" s="103" t="s">
        <v>416</v>
      </c>
      <c r="B153" s="104" t="s">
        <v>417</v>
      </c>
      <c r="C153" s="103" t="s">
        <v>279</v>
      </c>
      <c r="D153" s="106" t="s">
        <v>94</v>
      </c>
      <c r="E153" s="48">
        <f aca="true" t="shared" si="17" ref="E153:E199">F153+I153</f>
        <v>8334420</v>
      </c>
      <c r="F153" s="51">
        <v>8334420</v>
      </c>
      <c r="G153" s="51">
        <v>6300000</v>
      </c>
      <c r="H153" s="51">
        <v>389610</v>
      </c>
      <c r="I153" s="51"/>
      <c r="J153" s="48">
        <f aca="true" t="shared" si="18" ref="J153:J199">L153+O153</f>
        <v>84300</v>
      </c>
      <c r="K153" s="51"/>
      <c r="L153" s="51">
        <v>84300</v>
      </c>
      <c r="M153" s="51">
        <v>56000</v>
      </c>
      <c r="N153" s="51"/>
      <c r="O153" s="51"/>
      <c r="P153" s="48">
        <f aca="true" t="shared" si="19" ref="P153:P196">E153+J153</f>
        <v>8418720</v>
      </c>
      <c r="Q153" s="257"/>
      <c r="R153" s="258"/>
      <c r="S153" s="259"/>
      <c r="T153" s="259"/>
    </row>
    <row r="154" spans="1:20" s="98" customFormat="1" ht="66.75" customHeight="1">
      <c r="A154" s="62" t="s">
        <v>425</v>
      </c>
      <c r="B154" s="60" t="s">
        <v>426</v>
      </c>
      <c r="C154" s="55" t="s">
        <v>275</v>
      </c>
      <c r="D154" s="107" t="s">
        <v>95</v>
      </c>
      <c r="E154" s="50">
        <f t="shared" si="17"/>
        <v>446450</v>
      </c>
      <c r="F154" s="59">
        <v>446450</v>
      </c>
      <c r="G154" s="59"/>
      <c r="H154" s="59"/>
      <c r="I154" s="59"/>
      <c r="J154" s="50">
        <f t="shared" si="18"/>
        <v>0</v>
      </c>
      <c r="K154" s="59"/>
      <c r="L154" s="59"/>
      <c r="M154" s="59"/>
      <c r="N154" s="59"/>
      <c r="O154" s="59"/>
      <c r="P154" s="50">
        <f t="shared" si="19"/>
        <v>446450</v>
      </c>
      <c r="Q154" s="193"/>
      <c r="R154" s="201"/>
      <c r="S154" s="97"/>
      <c r="T154" s="97"/>
    </row>
    <row r="155" spans="1:20" s="52" customFormat="1" ht="60.75" customHeight="1">
      <c r="A155" s="46" t="s">
        <v>429</v>
      </c>
      <c r="B155" s="47" t="s">
        <v>430</v>
      </c>
      <c r="C155" s="46" t="s">
        <v>371</v>
      </c>
      <c r="D155" s="44" t="s">
        <v>428</v>
      </c>
      <c r="E155" s="48">
        <f t="shared" si="17"/>
        <v>362800</v>
      </c>
      <c r="F155" s="49">
        <v>362800</v>
      </c>
      <c r="G155" s="49"/>
      <c r="H155" s="49"/>
      <c r="I155" s="49"/>
      <c r="J155" s="50">
        <f t="shared" si="18"/>
        <v>0</v>
      </c>
      <c r="K155" s="59"/>
      <c r="L155" s="49"/>
      <c r="M155" s="49"/>
      <c r="N155" s="49"/>
      <c r="O155" s="59"/>
      <c r="P155" s="48">
        <f t="shared" si="19"/>
        <v>362800</v>
      </c>
      <c r="Q155" s="193"/>
      <c r="R155" s="89"/>
      <c r="S155" s="76"/>
      <c r="T155" s="76"/>
    </row>
    <row r="156" spans="1:20" s="260" customFormat="1" ht="31.5" customHeight="1">
      <c r="A156" s="103" t="s">
        <v>81</v>
      </c>
      <c r="B156" s="104" t="s">
        <v>82</v>
      </c>
      <c r="C156" s="103" t="s">
        <v>287</v>
      </c>
      <c r="D156" s="260" t="s">
        <v>75</v>
      </c>
      <c r="E156" s="48">
        <f t="shared" si="17"/>
        <v>318520</v>
      </c>
      <c r="F156" s="51">
        <v>318520</v>
      </c>
      <c r="G156" s="51"/>
      <c r="H156" s="51"/>
      <c r="I156" s="51"/>
      <c r="J156" s="48">
        <f t="shared" si="18"/>
        <v>0</v>
      </c>
      <c r="K156" s="51"/>
      <c r="L156" s="51"/>
      <c r="M156" s="51"/>
      <c r="N156" s="51"/>
      <c r="O156" s="51"/>
      <c r="P156" s="48">
        <f t="shared" si="19"/>
        <v>318520</v>
      </c>
      <c r="Q156" s="257"/>
      <c r="R156" s="258"/>
      <c r="S156" s="259"/>
      <c r="T156" s="259"/>
    </row>
    <row r="157" spans="1:20" s="176" customFormat="1" ht="33" customHeight="1">
      <c r="A157" s="169" t="s">
        <v>368</v>
      </c>
      <c r="B157" s="170"/>
      <c r="C157" s="171"/>
      <c r="D157" s="172" t="s">
        <v>399</v>
      </c>
      <c r="E157" s="173">
        <f>F157+I157</f>
        <v>2140031</v>
      </c>
      <c r="F157" s="173">
        <f>SUM(F158:F160)</f>
        <v>2140031</v>
      </c>
      <c r="G157" s="173">
        <f aca="true" t="shared" si="20" ref="G157:O157">SUM(G158:G160)</f>
        <v>1464077</v>
      </c>
      <c r="H157" s="173">
        <f t="shared" si="20"/>
        <v>84878</v>
      </c>
      <c r="I157" s="173">
        <f t="shared" si="20"/>
        <v>0</v>
      </c>
      <c r="J157" s="173">
        <f t="shared" si="20"/>
        <v>0</v>
      </c>
      <c r="K157" s="174">
        <f t="shared" si="20"/>
        <v>0</v>
      </c>
      <c r="L157" s="174">
        <f t="shared" si="20"/>
        <v>0</v>
      </c>
      <c r="M157" s="174">
        <f t="shared" si="20"/>
        <v>0</v>
      </c>
      <c r="N157" s="174">
        <f t="shared" si="20"/>
        <v>0</v>
      </c>
      <c r="O157" s="174">
        <f t="shared" si="20"/>
        <v>0</v>
      </c>
      <c r="P157" s="173">
        <f t="shared" si="19"/>
        <v>2140031</v>
      </c>
      <c r="Q157" s="193"/>
      <c r="R157" s="197"/>
      <c r="S157" s="175"/>
      <c r="T157" s="175"/>
    </row>
    <row r="158" spans="1:20" s="52" customFormat="1" ht="48.75" customHeight="1">
      <c r="A158" s="46" t="s">
        <v>369</v>
      </c>
      <c r="B158" s="47" t="s">
        <v>264</v>
      </c>
      <c r="C158" s="46" t="s">
        <v>249</v>
      </c>
      <c r="D158" s="44" t="s">
        <v>265</v>
      </c>
      <c r="E158" s="48">
        <f>F158+I158</f>
        <v>1915031</v>
      </c>
      <c r="F158" s="49">
        <v>1915031</v>
      </c>
      <c r="G158" s="49">
        <v>1464077</v>
      </c>
      <c r="H158" s="49">
        <v>84878</v>
      </c>
      <c r="I158" s="49"/>
      <c r="J158" s="50">
        <f t="shared" si="18"/>
        <v>0</v>
      </c>
      <c r="K158" s="59"/>
      <c r="L158" s="49"/>
      <c r="M158" s="49"/>
      <c r="N158" s="49"/>
      <c r="O158" s="59"/>
      <c r="P158" s="48">
        <f t="shared" si="19"/>
        <v>1915031</v>
      </c>
      <c r="Q158" s="193"/>
      <c r="R158" s="89"/>
      <c r="S158" s="76"/>
      <c r="T158" s="76"/>
    </row>
    <row r="159" spans="1:20" s="52" customFormat="1" ht="34.5" customHeight="1" hidden="1">
      <c r="A159" s="58" t="s">
        <v>199</v>
      </c>
      <c r="B159" s="58" t="s">
        <v>572</v>
      </c>
      <c r="C159" s="58" t="s">
        <v>117</v>
      </c>
      <c r="D159" s="45" t="s">
        <v>118</v>
      </c>
      <c r="E159" s="48">
        <f>F159+I159</f>
        <v>0</v>
      </c>
      <c r="F159" s="59"/>
      <c r="G159" s="49"/>
      <c r="H159" s="49"/>
      <c r="I159" s="49"/>
      <c r="J159" s="50">
        <f>L159+O159</f>
        <v>0</v>
      </c>
      <c r="K159" s="59"/>
      <c r="L159" s="49"/>
      <c r="M159" s="49"/>
      <c r="N159" s="49"/>
      <c r="O159" s="59"/>
      <c r="P159" s="48">
        <f t="shared" si="19"/>
        <v>0</v>
      </c>
      <c r="Q159" s="193"/>
      <c r="R159" s="89"/>
      <c r="S159" s="76"/>
      <c r="T159" s="76"/>
    </row>
    <row r="160" spans="1:20" s="52" customFormat="1" ht="21" customHeight="1">
      <c r="A160" s="46" t="s">
        <v>370</v>
      </c>
      <c r="B160" s="47" t="s">
        <v>254</v>
      </c>
      <c r="C160" s="46" t="s">
        <v>253</v>
      </c>
      <c r="D160" s="44" t="s">
        <v>255</v>
      </c>
      <c r="E160" s="48">
        <f>F160+I160</f>
        <v>225000</v>
      </c>
      <c r="F160" s="49">
        <v>225000</v>
      </c>
      <c r="G160" s="49"/>
      <c r="H160" s="49"/>
      <c r="I160" s="49"/>
      <c r="J160" s="50">
        <f>L160+O160</f>
        <v>0</v>
      </c>
      <c r="K160" s="59"/>
      <c r="L160" s="49"/>
      <c r="M160" s="49"/>
      <c r="N160" s="49"/>
      <c r="O160" s="59"/>
      <c r="P160" s="48">
        <f t="shared" si="19"/>
        <v>225000</v>
      </c>
      <c r="Q160" s="193"/>
      <c r="R160" s="89"/>
      <c r="S160" s="76"/>
      <c r="T160" s="76"/>
    </row>
    <row r="161" spans="1:20" s="52" customFormat="1" ht="30" customHeight="1">
      <c r="A161" s="110" t="s">
        <v>431</v>
      </c>
      <c r="B161" s="114"/>
      <c r="C161" s="108"/>
      <c r="D161" s="115" t="s">
        <v>432</v>
      </c>
      <c r="E161" s="99">
        <f>F161+I161</f>
        <v>10680944</v>
      </c>
      <c r="F161" s="99">
        <f>F162+F168+F172+F176</f>
        <v>10680944</v>
      </c>
      <c r="G161" s="99">
        <f>G162+G168+G172+G176</f>
        <v>6728697</v>
      </c>
      <c r="H161" s="99">
        <f>H162+H168+H172+H176</f>
        <v>647470</v>
      </c>
      <c r="I161" s="99">
        <f>I162+I168+I172+I176</f>
        <v>0</v>
      </c>
      <c r="J161" s="99">
        <f t="shared" si="18"/>
        <v>0</v>
      </c>
      <c r="K161" s="99">
        <f>K162+K168+K172+K176</f>
        <v>0</v>
      </c>
      <c r="L161" s="99">
        <f>L162+L168+L172+L176</f>
        <v>0</v>
      </c>
      <c r="M161" s="99">
        <f>M162+M168+M172+M176</f>
        <v>0</v>
      </c>
      <c r="N161" s="99">
        <f>N162+N168+N172+N176</f>
        <v>0</v>
      </c>
      <c r="O161" s="99">
        <f>O162+O168+O172+O176</f>
        <v>0</v>
      </c>
      <c r="P161" s="99">
        <f t="shared" si="19"/>
        <v>10680944</v>
      </c>
      <c r="Q161" s="193"/>
      <c r="R161" s="89"/>
      <c r="S161" s="76"/>
      <c r="T161" s="76"/>
    </row>
    <row r="162" spans="1:20" s="185" customFormat="1" ht="25.5" customHeight="1">
      <c r="A162" s="180" t="s">
        <v>433</v>
      </c>
      <c r="B162" s="181"/>
      <c r="C162" s="182"/>
      <c r="D162" s="183" t="s">
        <v>8</v>
      </c>
      <c r="E162" s="174">
        <f t="shared" si="17"/>
        <v>9932890</v>
      </c>
      <c r="F162" s="174">
        <f>F163+F164+F165+F166+F167</f>
        <v>9932890</v>
      </c>
      <c r="G162" s="174">
        <f>G163+G164+G165+G166+G167</f>
        <v>6158267</v>
      </c>
      <c r="H162" s="174">
        <f>H163+H164+H165+H166+H167</f>
        <v>647470</v>
      </c>
      <c r="I162" s="174">
        <f>I163+I164+I165+I166+I167</f>
        <v>0</v>
      </c>
      <c r="J162" s="174">
        <f t="shared" si="18"/>
        <v>0</v>
      </c>
      <c r="K162" s="174">
        <f>K163+K164+K165+K166+K167</f>
        <v>0</v>
      </c>
      <c r="L162" s="174">
        <f>L163+L164+L165+L166+L167</f>
        <v>0</v>
      </c>
      <c r="M162" s="174">
        <f>M163+M164+M165+M166+M167</f>
        <v>0</v>
      </c>
      <c r="N162" s="174">
        <f>N163+N164+N165+N166+N167</f>
        <v>0</v>
      </c>
      <c r="O162" s="174">
        <f>O163+O164+O165+O166+O167</f>
        <v>0</v>
      </c>
      <c r="P162" s="174">
        <f t="shared" si="19"/>
        <v>9932890</v>
      </c>
      <c r="Q162" s="204"/>
      <c r="R162" s="205"/>
      <c r="S162" s="184"/>
      <c r="T162" s="184"/>
    </row>
    <row r="163" spans="1:20" s="52" customFormat="1" ht="44.25" customHeight="1">
      <c r="A163" s="46" t="s">
        <v>434</v>
      </c>
      <c r="B163" s="47" t="s">
        <v>264</v>
      </c>
      <c r="C163" s="46" t="s">
        <v>249</v>
      </c>
      <c r="D163" s="44" t="s">
        <v>265</v>
      </c>
      <c r="E163" s="48">
        <f t="shared" si="17"/>
        <v>4135150</v>
      </c>
      <c r="F163" s="49">
        <v>4135150</v>
      </c>
      <c r="G163" s="49">
        <v>3143807</v>
      </c>
      <c r="H163" s="49">
        <v>156450</v>
      </c>
      <c r="I163" s="49"/>
      <c r="J163" s="50">
        <f t="shared" si="18"/>
        <v>0</v>
      </c>
      <c r="K163" s="59"/>
      <c r="L163" s="49"/>
      <c r="M163" s="49"/>
      <c r="N163" s="49"/>
      <c r="O163" s="59"/>
      <c r="P163" s="48">
        <f t="shared" si="19"/>
        <v>4135150</v>
      </c>
      <c r="Q163" s="193"/>
      <c r="R163" s="89"/>
      <c r="S163" s="76"/>
      <c r="T163" s="76"/>
    </row>
    <row r="164" spans="1:20" s="52" customFormat="1" ht="24" customHeight="1">
      <c r="A164" s="46" t="s">
        <v>435</v>
      </c>
      <c r="B164" s="47" t="s">
        <v>254</v>
      </c>
      <c r="C164" s="46" t="s">
        <v>253</v>
      </c>
      <c r="D164" s="44" t="s">
        <v>255</v>
      </c>
      <c r="E164" s="48">
        <f t="shared" si="17"/>
        <v>211000</v>
      </c>
      <c r="F164" s="49">
        <v>211000</v>
      </c>
      <c r="G164" s="49"/>
      <c r="H164" s="49"/>
      <c r="I164" s="49"/>
      <c r="J164" s="50">
        <f t="shared" si="18"/>
        <v>0</v>
      </c>
      <c r="K164" s="59"/>
      <c r="L164" s="49"/>
      <c r="M164" s="49"/>
      <c r="N164" s="49"/>
      <c r="O164" s="59"/>
      <c r="P164" s="48">
        <f t="shared" si="19"/>
        <v>211000</v>
      </c>
      <c r="Q164" s="193"/>
      <c r="R164" s="89"/>
      <c r="S164" s="76"/>
      <c r="T164" s="76"/>
    </row>
    <row r="165" spans="1:20" s="260" customFormat="1" ht="56.25" customHeight="1">
      <c r="A165" s="103" t="s">
        <v>436</v>
      </c>
      <c r="B165" s="104" t="s">
        <v>437</v>
      </c>
      <c r="C165" s="103" t="s">
        <v>283</v>
      </c>
      <c r="D165" s="256" t="s">
        <v>206</v>
      </c>
      <c r="E165" s="48">
        <f t="shared" si="17"/>
        <v>5208010</v>
      </c>
      <c r="F165" s="51">
        <v>5208010</v>
      </c>
      <c r="G165" s="51">
        <v>3014460</v>
      </c>
      <c r="H165" s="51">
        <v>491020</v>
      </c>
      <c r="I165" s="51"/>
      <c r="J165" s="48">
        <f t="shared" si="18"/>
        <v>0</v>
      </c>
      <c r="K165" s="51"/>
      <c r="L165" s="51"/>
      <c r="M165" s="51"/>
      <c r="N165" s="51"/>
      <c r="O165" s="51"/>
      <c r="P165" s="48">
        <f t="shared" si="19"/>
        <v>5208010</v>
      </c>
      <c r="Q165" s="257"/>
      <c r="R165" s="258"/>
      <c r="S165" s="259"/>
      <c r="T165" s="259"/>
    </row>
    <row r="166" spans="1:20" s="260" customFormat="1" ht="33" customHeight="1">
      <c r="A166" s="103" t="s">
        <v>438</v>
      </c>
      <c r="B166" s="104" t="s">
        <v>439</v>
      </c>
      <c r="C166" s="103" t="s">
        <v>283</v>
      </c>
      <c r="D166" s="256" t="s">
        <v>440</v>
      </c>
      <c r="E166" s="48">
        <f t="shared" si="17"/>
        <v>304530</v>
      </c>
      <c r="F166" s="51">
        <v>304530</v>
      </c>
      <c r="G166" s="51"/>
      <c r="H166" s="51"/>
      <c r="I166" s="51"/>
      <c r="J166" s="48">
        <f t="shared" si="18"/>
        <v>0</v>
      </c>
      <c r="K166" s="51"/>
      <c r="L166" s="51"/>
      <c r="M166" s="51"/>
      <c r="N166" s="51"/>
      <c r="O166" s="51"/>
      <c r="P166" s="48">
        <f t="shared" si="19"/>
        <v>304530</v>
      </c>
      <c r="Q166" s="257"/>
      <c r="R166" s="258"/>
      <c r="S166" s="259"/>
      <c r="T166" s="259"/>
    </row>
    <row r="167" spans="1:20" s="260" customFormat="1" ht="30" customHeight="1">
      <c r="A167" s="103" t="s">
        <v>76</v>
      </c>
      <c r="B167" s="104">
        <v>3242</v>
      </c>
      <c r="C167" s="103" t="s">
        <v>287</v>
      </c>
      <c r="D167" s="256" t="s">
        <v>75</v>
      </c>
      <c r="E167" s="48">
        <f t="shared" si="17"/>
        <v>74200</v>
      </c>
      <c r="F167" s="51">
        <v>74200</v>
      </c>
      <c r="G167" s="51"/>
      <c r="H167" s="51"/>
      <c r="I167" s="51"/>
      <c r="J167" s="48">
        <f t="shared" si="18"/>
        <v>0</v>
      </c>
      <c r="K167" s="51"/>
      <c r="L167" s="51"/>
      <c r="M167" s="51"/>
      <c r="N167" s="51"/>
      <c r="O167" s="51"/>
      <c r="P167" s="48">
        <f t="shared" si="19"/>
        <v>74200</v>
      </c>
      <c r="Q167" s="257"/>
      <c r="R167" s="258"/>
      <c r="S167" s="259"/>
      <c r="T167" s="259"/>
    </row>
    <row r="168" spans="1:20" s="176" customFormat="1" ht="31.5" customHeight="1">
      <c r="A168" s="169" t="s">
        <v>433</v>
      </c>
      <c r="B168" s="170"/>
      <c r="C168" s="171"/>
      <c r="D168" s="172" t="s">
        <v>9</v>
      </c>
      <c r="E168" s="173">
        <f t="shared" si="17"/>
        <v>280604</v>
      </c>
      <c r="F168" s="173">
        <f>F169+F170+F171</f>
        <v>280604</v>
      </c>
      <c r="G168" s="173">
        <f>G169+G170+G171</f>
        <v>212274</v>
      </c>
      <c r="H168" s="173">
        <f>H169+H170+H171</f>
        <v>0</v>
      </c>
      <c r="I168" s="173">
        <f>I169+I170+I171</f>
        <v>0</v>
      </c>
      <c r="J168" s="174">
        <f t="shared" si="18"/>
        <v>0</v>
      </c>
      <c r="K168" s="173">
        <f>K169+K170+K171</f>
        <v>0</v>
      </c>
      <c r="L168" s="173">
        <f>L169+L170+L171</f>
        <v>0</v>
      </c>
      <c r="M168" s="173">
        <f>M169+M170+M171</f>
        <v>0</v>
      </c>
      <c r="N168" s="173">
        <f>N169+N170+N171</f>
        <v>0</v>
      </c>
      <c r="O168" s="173">
        <f>O169+O170+O171</f>
        <v>0</v>
      </c>
      <c r="P168" s="173">
        <f t="shared" si="19"/>
        <v>280604</v>
      </c>
      <c r="Q168" s="206"/>
      <c r="R168" s="197"/>
      <c r="S168" s="175"/>
      <c r="T168" s="175"/>
    </row>
    <row r="169" spans="1:20" s="52" customFormat="1" ht="40.5" customHeight="1">
      <c r="A169" s="46" t="s">
        <v>434</v>
      </c>
      <c r="B169" s="47" t="s">
        <v>264</v>
      </c>
      <c r="C169" s="46" t="s">
        <v>249</v>
      </c>
      <c r="D169" s="44" t="s">
        <v>265</v>
      </c>
      <c r="E169" s="48">
        <f t="shared" si="17"/>
        <v>258974</v>
      </c>
      <c r="F169" s="49">
        <v>258974</v>
      </c>
      <c r="G169" s="49">
        <v>212274</v>
      </c>
      <c r="H169" s="49"/>
      <c r="I169" s="49"/>
      <c r="J169" s="50">
        <f t="shared" si="18"/>
        <v>0</v>
      </c>
      <c r="K169" s="59"/>
      <c r="L169" s="49"/>
      <c r="M169" s="49"/>
      <c r="N169" s="49"/>
      <c r="O169" s="59"/>
      <c r="P169" s="48">
        <f t="shared" si="19"/>
        <v>258974</v>
      </c>
      <c r="Q169" s="193"/>
      <c r="R169" s="89"/>
      <c r="S169" s="76"/>
      <c r="T169" s="76"/>
    </row>
    <row r="170" spans="1:20" s="52" customFormat="1" ht="25.5" customHeight="1" hidden="1">
      <c r="A170" s="46" t="s">
        <v>435</v>
      </c>
      <c r="B170" s="47" t="s">
        <v>254</v>
      </c>
      <c r="C170" s="46" t="s">
        <v>253</v>
      </c>
      <c r="D170" s="44" t="s">
        <v>255</v>
      </c>
      <c r="E170" s="48">
        <f t="shared" si="17"/>
        <v>0</v>
      </c>
      <c r="F170" s="49"/>
      <c r="G170" s="49"/>
      <c r="H170" s="49"/>
      <c r="I170" s="49"/>
      <c r="J170" s="50">
        <f t="shared" si="18"/>
        <v>0</v>
      </c>
      <c r="K170" s="59"/>
      <c r="L170" s="49"/>
      <c r="M170" s="49"/>
      <c r="N170" s="49"/>
      <c r="O170" s="59"/>
      <c r="P170" s="48">
        <f t="shared" si="19"/>
        <v>0</v>
      </c>
      <c r="Q170" s="193"/>
      <c r="R170" s="89"/>
      <c r="S170" s="76"/>
      <c r="T170" s="76"/>
    </row>
    <row r="171" spans="1:20" s="260" customFormat="1" ht="35.25" customHeight="1">
      <c r="A171" s="103" t="s">
        <v>438</v>
      </c>
      <c r="B171" s="104" t="s">
        <v>439</v>
      </c>
      <c r="C171" s="103" t="s">
        <v>283</v>
      </c>
      <c r="D171" s="256" t="s">
        <v>440</v>
      </c>
      <c r="E171" s="48">
        <f t="shared" si="17"/>
        <v>21630</v>
      </c>
      <c r="F171" s="51">
        <v>21630</v>
      </c>
      <c r="G171" s="51"/>
      <c r="H171" s="51"/>
      <c r="I171" s="51"/>
      <c r="J171" s="48">
        <f t="shared" si="18"/>
        <v>0</v>
      </c>
      <c r="K171" s="51"/>
      <c r="L171" s="51"/>
      <c r="M171" s="51"/>
      <c r="N171" s="51"/>
      <c r="O171" s="51"/>
      <c r="P171" s="48">
        <f t="shared" si="19"/>
        <v>21630</v>
      </c>
      <c r="Q171" s="257"/>
      <c r="R171" s="258"/>
      <c r="S171" s="259"/>
      <c r="T171" s="259"/>
    </row>
    <row r="172" spans="1:20" s="176" customFormat="1" ht="41.25" customHeight="1">
      <c r="A172" s="169" t="s">
        <v>433</v>
      </c>
      <c r="B172" s="170"/>
      <c r="C172" s="171"/>
      <c r="D172" s="172" t="s">
        <v>10</v>
      </c>
      <c r="E172" s="173">
        <f t="shared" si="17"/>
        <v>251483</v>
      </c>
      <c r="F172" s="173">
        <f>F173+F174+F175</f>
        <v>251483</v>
      </c>
      <c r="G172" s="173">
        <f>G173+G174+G175</f>
        <v>196134</v>
      </c>
      <c r="H172" s="173">
        <f>H173+H174+H175</f>
        <v>0</v>
      </c>
      <c r="I172" s="173">
        <f>I173+I174+I175</f>
        <v>0</v>
      </c>
      <c r="J172" s="174">
        <f t="shared" si="18"/>
        <v>0</v>
      </c>
      <c r="K172" s="173">
        <f>K173+K174+K175</f>
        <v>0</v>
      </c>
      <c r="L172" s="173">
        <f>L173+L174+L175</f>
        <v>0</v>
      </c>
      <c r="M172" s="173">
        <f>M173+M174+M175</f>
        <v>0</v>
      </c>
      <c r="N172" s="173">
        <f>N173+N174+N175</f>
        <v>0</v>
      </c>
      <c r="O172" s="173">
        <f>O173+O174+O175</f>
        <v>0</v>
      </c>
      <c r="P172" s="173">
        <f t="shared" si="19"/>
        <v>251483</v>
      </c>
      <c r="Q172" s="206"/>
      <c r="R172" s="197"/>
      <c r="S172" s="175"/>
      <c r="T172" s="175"/>
    </row>
    <row r="173" spans="1:20" s="52" customFormat="1" ht="33.75" customHeight="1">
      <c r="A173" s="46" t="s">
        <v>434</v>
      </c>
      <c r="B173" s="47" t="s">
        <v>264</v>
      </c>
      <c r="C173" s="46" t="s">
        <v>249</v>
      </c>
      <c r="D173" s="44" t="s">
        <v>265</v>
      </c>
      <c r="E173" s="48">
        <f t="shared" si="17"/>
        <v>239283</v>
      </c>
      <c r="F173" s="49">
        <v>239283</v>
      </c>
      <c r="G173" s="49">
        <v>196134</v>
      </c>
      <c r="H173" s="49"/>
      <c r="I173" s="49"/>
      <c r="J173" s="50">
        <f t="shared" si="18"/>
        <v>0</v>
      </c>
      <c r="K173" s="59"/>
      <c r="L173" s="49"/>
      <c r="M173" s="49"/>
      <c r="N173" s="49"/>
      <c r="O173" s="59"/>
      <c r="P173" s="48">
        <f t="shared" si="19"/>
        <v>239283</v>
      </c>
      <c r="Q173" s="193"/>
      <c r="R173" s="89"/>
      <c r="S173" s="76"/>
      <c r="T173" s="76"/>
    </row>
    <row r="174" spans="1:20" s="52" customFormat="1" ht="20.25" customHeight="1" hidden="1">
      <c r="A174" s="46" t="s">
        <v>435</v>
      </c>
      <c r="B174" s="47" t="s">
        <v>254</v>
      </c>
      <c r="C174" s="46" t="s">
        <v>253</v>
      </c>
      <c r="D174" s="44" t="s">
        <v>255</v>
      </c>
      <c r="E174" s="48">
        <f t="shared" si="17"/>
        <v>0</v>
      </c>
      <c r="F174" s="49"/>
      <c r="G174" s="49"/>
      <c r="H174" s="49"/>
      <c r="I174" s="49"/>
      <c r="J174" s="50">
        <f t="shared" si="18"/>
        <v>0</v>
      </c>
      <c r="K174" s="59"/>
      <c r="L174" s="49"/>
      <c r="M174" s="49"/>
      <c r="N174" s="49"/>
      <c r="O174" s="59"/>
      <c r="P174" s="48">
        <f t="shared" si="19"/>
        <v>0</v>
      </c>
      <c r="Q174" s="193"/>
      <c r="R174" s="89"/>
      <c r="S174" s="76"/>
      <c r="T174" s="76"/>
    </row>
    <row r="175" spans="1:20" s="260" customFormat="1" ht="28.5" customHeight="1">
      <c r="A175" s="103" t="s">
        <v>438</v>
      </c>
      <c r="B175" s="104" t="s">
        <v>439</v>
      </c>
      <c r="C175" s="103" t="s">
        <v>283</v>
      </c>
      <c r="D175" s="256" t="s">
        <v>440</v>
      </c>
      <c r="E175" s="48">
        <f t="shared" si="17"/>
        <v>12200</v>
      </c>
      <c r="F175" s="51">
        <v>12200</v>
      </c>
      <c r="G175" s="51"/>
      <c r="H175" s="51"/>
      <c r="I175" s="51"/>
      <c r="J175" s="48">
        <f t="shared" si="18"/>
        <v>0</v>
      </c>
      <c r="K175" s="51"/>
      <c r="L175" s="51"/>
      <c r="M175" s="51"/>
      <c r="N175" s="51"/>
      <c r="O175" s="51"/>
      <c r="P175" s="48">
        <f t="shared" si="19"/>
        <v>12200</v>
      </c>
      <c r="Q175" s="257"/>
      <c r="R175" s="258"/>
      <c r="S175" s="259"/>
      <c r="T175" s="259"/>
    </row>
    <row r="176" spans="1:20" s="176" customFormat="1" ht="35.25" customHeight="1">
      <c r="A176" s="169" t="s">
        <v>433</v>
      </c>
      <c r="B176" s="170"/>
      <c r="C176" s="171"/>
      <c r="D176" s="172" t="s">
        <v>11</v>
      </c>
      <c r="E176" s="173">
        <f t="shared" si="17"/>
        <v>215967</v>
      </c>
      <c r="F176" s="173">
        <f>F177+F178+F179</f>
        <v>215967</v>
      </c>
      <c r="G176" s="173">
        <f>G177+G178+G179</f>
        <v>162022</v>
      </c>
      <c r="H176" s="173">
        <f>H177+H178+H179</f>
        <v>0</v>
      </c>
      <c r="I176" s="173">
        <f>I177+I178+I179</f>
        <v>0</v>
      </c>
      <c r="J176" s="174">
        <f t="shared" si="18"/>
        <v>0</v>
      </c>
      <c r="K176" s="173">
        <f>K177+K178+K179</f>
        <v>0</v>
      </c>
      <c r="L176" s="173">
        <f>L177+L178+L179</f>
        <v>0</v>
      </c>
      <c r="M176" s="173">
        <f>M177+M178+M179</f>
        <v>0</v>
      </c>
      <c r="N176" s="173">
        <f>N177+N178+N179</f>
        <v>0</v>
      </c>
      <c r="O176" s="173">
        <f>O177+O178+O179</f>
        <v>0</v>
      </c>
      <c r="P176" s="173">
        <f t="shared" si="19"/>
        <v>215967</v>
      </c>
      <c r="Q176" s="206"/>
      <c r="R176" s="197"/>
      <c r="S176" s="175"/>
      <c r="T176" s="175"/>
    </row>
    <row r="177" spans="1:20" s="52" customFormat="1" ht="36" customHeight="1">
      <c r="A177" s="46" t="s">
        <v>434</v>
      </c>
      <c r="B177" s="47" t="s">
        <v>264</v>
      </c>
      <c r="C177" s="46" t="s">
        <v>249</v>
      </c>
      <c r="D177" s="44" t="s">
        <v>265</v>
      </c>
      <c r="E177" s="48">
        <f t="shared" si="17"/>
        <v>197667</v>
      </c>
      <c r="F177" s="49">
        <v>197667</v>
      </c>
      <c r="G177" s="49">
        <v>162022</v>
      </c>
      <c r="H177" s="49"/>
      <c r="I177" s="49"/>
      <c r="J177" s="50">
        <f t="shared" si="18"/>
        <v>0</v>
      </c>
      <c r="K177" s="59"/>
      <c r="L177" s="49"/>
      <c r="M177" s="49"/>
      <c r="N177" s="49"/>
      <c r="O177" s="59"/>
      <c r="P177" s="48">
        <f t="shared" si="19"/>
        <v>197667</v>
      </c>
      <c r="Q177" s="193"/>
      <c r="R177" s="89"/>
      <c r="S177" s="76"/>
      <c r="T177" s="76"/>
    </row>
    <row r="178" spans="1:20" s="52" customFormat="1" ht="21.75" customHeight="1" hidden="1">
      <c r="A178" s="46" t="s">
        <v>435</v>
      </c>
      <c r="B178" s="47" t="s">
        <v>254</v>
      </c>
      <c r="C178" s="46" t="s">
        <v>253</v>
      </c>
      <c r="D178" s="44" t="s">
        <v>255</v>
      </c>
      <c r="E178" s="48">
        <f t="shared" si="17"/>
        <v>0</v>
      </c>
      <c r="F178" s="49"/>
      <c r="G178" s="49"/>
      <c r="H178" s="49"/>
      <c r="I178" s="49"/>
      <c r="J178" s="50">
        <f t="shared" si="18"/>
        <v>0</v>
      </c>
      <c r="K178" s="59"/>
      <c r="L178" s="49"/>
      <c r="M178" s="49"/>
      <c r="N178" s="49"/>
      <c r="O178" s="59"/>
      <c r="P178" s="48">
        <f t="shared" si="19"/>
        <v>0</v>
      </c>
      <c r="Q178" s="193"/>
      <c r="R178" s="89"/>
      <c r="S178" s="76"/>
      <c r="T178" s="76"/>
    </row>
    <row r="179" spans="1:20" s="260" customFormat="1" ht="28.5" customHeight="1">
      <c r="A179" s="103" t="s">
        <v>438</v>
      </c>
      <c r="B179" s="104" t="s">
        <v>439</v>
      </c>
      <c r="C179" s="103" t="s">
        <v>283</v>
      </c>
      <c r="D179" s="256" t="s">
        <v>440</v>
      </c>
      <c r="E179" s="48">
        <f t="shared" si="17"/>
        <v>18300</v>
      </c>
      <c r="F179" s="51">
        <v>18300</v>
      </c>
      <c r="G179" s="51"/>
      <c r="H179" s="51"/>
      <c r="I179" s="51"/>
      <c r="J179" s="48">
        <f t="shared" si="18"/>
        <v>0</v>
      </c>
      <c r="K179" s="51"/>
      <c r="L179" s="51"/>
      <c r="M179" s="51"/>
      <c r="N179" s="51"/>
      <c r="O179" s="51"/>
      <c r="P179" s="48">
        <f t="shared" si="19"/>
        <v>18300</v>
      </c>
      <c r="Q179" s="257"/>
      <c r="R179" s="258"/>
      <c r="S179" s="259"/>
      <c r="T179" s="259"/>
    </row>
    <row r="180" spans="1:20" s="113" customFormat="1" ht="21.75" customHeight="1">
      <c r="A180" s="108" t="s">
        <v>152</v>
      </c>
      <c r="B180" s="109"/>
      <c r="C180" s="110"/>
      <c r="D180" s="111" t="s">
        <v>201</v>
      </c>
      <c r="E180" s="99">
        <f t="shared" si="17"/>
        <v>38199508</v>
      </c>
      <c r="F180" s="99">
        <f>F181</f>
        <v>38199508</v>
      </c>
      <c r="G180" s="99">
        <f>G181</f>
        <v>20035171.18</v>
      </c>
      <c r="H180" s="99">
        <f>H181</f>
        <v>2504810</v>
      </c>
      <c r="I180" s="99">
        <f>I181</f>
        <v>0</v>
      </c>
      <c r="J180" s="99">
        <f t="shared" si="18"/>
        <v>2476100</v>
      </c>
      <c r="K180" s="99">
        <f>K181</f>
        <v>2437000</v>
      </c>
      <c r="L180" s="99">
        <f>L181</f>
        <v>39100</v>
      </c>
      <c r="M180" s="99">
        <f>M181</f>
        <v>0</v>
      </c>
      <c r="N180" s="99">
        <f>N181</f>
        <v>0</v>
      </c>
      <c r="O180" s="99">
        <f>O181</f>
        <v>2437000</v>
      </c>
      <c r="P180" s="99">
        <f t="shared" si="19"/>
        <v>40675608</v>
      </c>
      <c r="Q180" s="207"/>
      <c r="R180" s="208"/>
      <c r="S180" s="112"/>
      <c r="T180" s="112"/>
    </row>
    <row r="181" spans="1:20" s="176" customFormat="1" ht="29.25" customHeight="1">
      <c r="A181" s="171" t="s">
        <v>153</v>
      </c>
      <c r="B181" s="186"/>
      <c r="C181" s="169"/>
      <c r="D181" s="172" t="s">
        <v>415</v>
      </c>
      <c r="E181" s="173">
        <f>F181+I181</f>
        <v>38199508</v>
      </c>
      <c r="F181" s="173">
        <f>F182+F183+F184+F185+F186+F187+F188+F189+F190+F191+F192+F193</f>
        <v>38199508</v>
      </c>
      <c r="G181" s="173">
        <f>G182+G183+G184+G185+G186+G187+G188+G189+G190+G191+G192+G193</f>
        <v>20035171.18</v>
      </c>
      <c r="H181" s="173">
        <f>H182+H183+H184+H185+H186+H187+H188+H189+H190+H191+H192+H193</f>
        <v>2504810</v>
      </c>
      <c r="I181" s="173">
        <f>I182+I183+I184+I185+I186+I187+I188+I189+I190+I191+I192+I193</f>
        <v>0</v>
      </c>
      <c r="J181" s="174">
        <f t="shared" si="18"/>
        <v>2476100</v>
      </c>
      <c r="K181" s="173">
        <f>K182+K183+K184+K185+K186+K187+K188+K189+K190+K191+K192+K193</f>
        <v>2437000</v>
      </c>
      <c r="L181" s="173">
        <f>L182+L183+L184+L185+L186+L187+L188+L189+L190+L191+L192+L193</f>
        <v>39100</v>
      </c>
      <c r="M181" s="173">
        <f>M182+M183+M184+M185+M186+M187+M188+M189+M190+M191+M192+M193</f>
        <v>0</v>
      </c>
      <c r="N181" s="173">
        <f>N182+N183+N184+N185+N186+N187+N188+N189+N190+N191+N192+N193</f>
        <v>0</v>
      </c>
      <c r="O181" s="173">
        <f>O182+O183+O184+O185+O186+O187+O188+O189+O190+O191+O192+O193</f>
        <v>2437000</v>
      </c>
      <c r="P181" s="173">
        <f t="shared" si="19"/>
        <v>40675608</v>
      </c>
      <c r="Q181" s="209"/>
      <c r="R181" s="197"/>
      <c r="S181" s="175"/>
      <c r="T181" s="175"/>
    </row>
    <row r="182" spans="1:20" s="52" customFormat="1" ht="33" customHeight="1">
      <c r="A182" s="46" t="s">
        <v>227</v>
      </c>
      <c r="B182" s="47" t="s">
        <v>264</v>
      </c>
      <c r="C182" s="46" t="s">
        <v>249</v>
      </c>
      <c r="D182" s="44" t="s">
        <v>265</v>
      </c>
      <c r="E182" s="48">
        <f t="shared" si="17"/>
        <v>2134688</v>
      </c>
      <c r="F182" s="49">
        <v>2134688</v>
      </c>
      <c r="G182" s="49">
        <v>1539536</v>
      </c>
      <c r="H182" s="49">
        <v>126010</v>
      </c>
      <c r="I182" s="49"/>
      <c r="J182" s="50">
        <f t="shared" si="18"/>
        <v>500</v>
      </c>
      <c r="K182" s="59"/>
      <c r="L182" s="49">
        <v>500</v>
      </c>
      <c r="M182" s="49"/>
      <c r="N182" s="49"/>
      <c r="O182" s="59"/>
      <c r="P182" s="48">
        <f t="shared" si="19"/>
        <v>2135188</v>
      </c>
      <c r="Q182" s="193"/>
      <c r="R182" s="89"/>
      <c r="S182" s="76"/>
      <c r="T182" s="76"/>
    </row>
    <row r="183" spans="1:20" s="52" customFormat="1" ht="30.75" customHeight="1">
      <c r="A183" s="46" t="s">
        <v>301</v>
      </c>
      <c r="B183" s="47" t="s">
        <v>254</v>
      </c>
      <c r="C183" s="46" t="s">
        <v>253</v>
      </c>
      <c r="D183" s="44" t="s">
        <v>255</v>
      </c>
      <c r="E183" s="48">
        <f>F183+I183</f>
        <v>240000</v>
      </c>
      <c r="F183" s="49">
        <v>240000</v>
      </c>
      <c r="G183" s="49"/>
      <c r="H183" s="49"/>
      <c r="I183" s="49"/>
      <c r="J183" s="50">
        <f>L183+O183</f>
        <v>0</v>
      </c>
      <c r="K183" s="59"/>
      <c r="L183" s="49"/>
      <c r="M183" s="49"/>
      <c r="N183" s="49"/>
      <c r="O183" s="59"/>
      <c r="P183" s="48">
        <f>E183+J183</f>
        <v>240000</v>
      </c>
      <c r="Q183" s="193"/>
      <c r="R183" s="89"/>
      <c r="S183" s="76"/>
      <c r="T183" s="76"/>
    </row>
    <row r="184" spans="1:20" s="52" customFormat="1" ht="33.75" customHeight="1">
      <c r="A184" s="46" t="s">
        <v>148</v>
      </c>
      <c r="B184" s="47" t="s">
        <v>297</v>
      </c>
      <c r="C184" s="46" t="s">
        <v>283</v>
      </c>
      <c r="D184" s="44" t="s">
        <v>298</v>
      </c>
      <c r="E184" s="48">
        <f aca="true" t="shared" si="21" ref="E184:E193">F184+I184</f>
        <v>2311640</v>
      </c>
      <c r="F184" s="49">
        <v>2311640</v>
      </c>
      <c r="G184" s="49">
        <v>52000</v>
      </c>
      <c r="H184" s="49"/>
      <c r="I184" s="59"/>
      <c r="J184" s="50">
        <f t="shared" si="18"/>
        <v>0</v>
      </c>
      <c r="K184" s="59"/>
      <c r="L184" s="49"/>
      <c r="M184" s="49"/>
      <c r="N184" s="49"/>
      <c r="O184" s="59"/>
      <c r="P184" s="48">
        <f t="shared" si="19"/>
        <v>2311640</v>
      </c>
      <c r="Q184" s="193"/>
      <c r="R184" s="89"/>
      <c r="S184" s="76"/>
      <c r="T184" s="76"/>
    </row>
    <row r="185" spans="1:20" s="52" customFormat="1" ht="28.5" customHeight="1">
      <c r="A185" s="46" t="s">
        <v>149</v>
      </c>
      <c r="B185" s="47">
        <v>3242</v>
      </c>
      <c r="C185" s="46" t="s">
        <v>287</v>
      </c>
      <c r="D185" s="52" t="s">
        <v>75</v>
      </c>
      <c r="E185" s="48">
        <f t="shared" si="21"/>
        <v>313480</v>
      </c>
      <c r="F185" s="49">
        <v>313480</v>
      </c>
      <c r="G185" s="49"/>
      <c r="H185" s="49"/>
      <c r="I185" s="49"/>
      <c r="J185" s="50">
        <f t="shared" si="18"/>
        <v>0</v>
      </c>
      <c r="K185" s="59"/>
      <c r="L185" s="49"/>
      <c r="M185" s="49"/>
      <c r="N185" s="49"/>
      <c r="O185" s="59"/>
      <c r="P185" s="48">
        <f t="shared" si="19"/>
        <v>313480</v>
      </c>
      <c r="Q185" s="193"/>
      <c r="R185" s="89"/>
      <c r="S185" s="76"/>
      <c r="T185" s="76"/>
    </row>
    <row r="186" spans="1:20" s="52" customFormat="1" ht="28.5" customHeight="1">
      <c r="A186" s="58" t="s">
        <v>611</v>
      </c>
      <c r="B186" s="47">
        <v>5011</v>
      </c>
      <c r="C186" s="58" t="s">
        <v>314</v>
      </c>
      <c r="D186" s="96" t="s">
        <v>315</v>
      </c>
      <c r="E186" s="48">
        <f t="shared" si="21"/>
        <v>45790</v>
      </c>
      <c r="F186" s="49">
        <v>45790</v>
      </c>
      <c r="G186" s="49"/>
      <c r="H186" s="49"/>
      <c r="I186" s="49"/>
      <c r="J186" s="50">
        <f t="shared" si="18"/>
        <v>0</v>
      </c>
      <c r="K186" s="59"/>
      <c r="L186" s="49"/>
      <c r="M186" s="49"/>
      <c r="N186" s="49"/>
      <c r="O186" s="59"/>
      <c r="P186" s="48">
        <f t="shared" si="19"/>
        <v>45790</v>
      </c>
      <c r="Q186" s="193">
        <f>P186+P187+P188+P189+P190+P191+P192+P193+P200</f>
        <v>42675300</v>
      </c>
      <c r="R186" s="89"/>
      <c r="S186" s="76"/>
      <c r="T186" s="76"/>
    </row>
    <row r="187" spans="1:20" s="52" customFormat="1" ht="30.75" customHeight="1">
      <c r="A187" s="58" t="s">
        <v>612</v>
      </c>
      <c r="B187" s="47">
        <v>5012</v>
      </c>
      <c r="C187" s="58" t="s">
        <v>314</v>
      </c>
      <c r="D187" s="96" t="s">
        <v>316</v>
      </c>
      <c r="E187" s="48">
        <f t="shared" si="21"/>
        <v>8900</v>
      </c>
      <c r="F187" s="49">
        <v>8900</v>
      </c>
      <c r="G187" s="49"/>
      <c r="H187" s="49"/>
      <c r="I187" s="49"/>
      <c r="J187" s="50">
        <f t="shared" si="18"/>
        <v>0</v>
      </c>
      <c r="K187" s="59"/>
      <c r="L187" s="49"/>
      <c r="M187" s="49"/>
      <c r="N187" s="49"/>
      <c r="O187" s="59"/>
      <c r="P187" s="48">
        <f t="shared" si="19"/>
        <v>8900</v>
      </c>
      <c r="Q187" s="193"/>
      <c r="R187" s="89"/>
      <c r="S187" s="76"/>
      <c r="T187" s="76"/>
    </row>
    <row r="188" spans="1:20" s="52" customFormat="1" ht="38.25" customHeight="1">
      <c r="A188" s="46" t="s">
        <v>154</v>
      </c>
      <c r="B188" s="47" t="s">
        <v>317</v>
      </c>
      <c r="C188" s="46" t="s">
        <v>314</v>
      </c>
      <c r="D188" s="44" t="s">
        <v>67</v>
      </c>
      <c r="E188" s="48">
        <f t="shared" si="21"/>
        <v>569068</v>
      </c>
      <c r="F188" s="49">
        <v>569068</v>
      </c>
      <c r="G188" s="49">
        <v>444763</v>
      </c>
      <c r="H188" s="49">
        <v>10810</v>
      </c>
      <c r="I188" s="49"/>
      <c r="J188" s="50">
        <f t="shared" si="18"/>
        <v>0</v>
      </c>
      <c r="K188" s="59"/>
      <c r="L188" s="51"/>
      <c r="M188" s="49"/>
      <c r="N188" s="49"/>
      <c r="O188" s="59"/>
      <c r="P188" s="48">
        <f t="shared" si="19"/>
        <v>569068</v>
      </c>
      <c r="Q188" s="193"/>
      <c r="R188" s="89"/>
      <c r="S188" s="76"/>
      <c r="T188" s="76"/>
    </row>
    <row r="189" spans="1:20" s="52" customFormat="1" ht="33.75" customHeight="1">
      <c r="A189" s="46" t="s">
        <v>155</v>
      </c>
      <c r="B189" s="47" t="s">
        <v>318</v>
      </c>
      <c r="C189" s="46" t="s">
        <v>314</v>
      </c>
      <c r="D189" s="44" t="s">
        <v>68</v>
      </c>
      <c r="E189" s="48">
        <f t="shared" si="21"/>
        <v>58610</v>
      </c>
      <c r="F189" s="49">
        <v>58610</v>
      </c>
      <c r="G189" s="49"/>
      <c r="H189" s="49"/>
      <c r="I189" s="49"/>
      <c r="J189" s="50">
        <f t="shared" si="18"/>
        <v>0</v>
      </c>
      <c r="K189" s="59"/>
      <c r="L189" s="49"/>
      <c r="M189" s="49"/>
      <c r="N189" s="49"/>
      <c r="O189" s="59"/>
      <c r="P189" s="48">
        <f t="shared" si="19"/>
        <v>58610</v>
      </c>
      <c r="Q189" s="193"/>
      <c r="R189" s="89"/>
      <c r="S189" s="76"/>
      <c r="T189" s="76"/>
    </row>
    <row r="190" spans="1:20" s="52" customFormat="1" ht="33.75" customHeight="1">
      <c r="A190" s="46" t="s">
        <v>156</v>
      </c>
      <c r="B190" s="47" t="s">
        <v>319</v>
      </c>
      <c r="C190" s="46" t="s">
        <v>314</v>
      </c>
      <c r="D190" s="44" t="s">
        <v>320</v>
      </c>
      <c r="E190" s="48">
        <f t="shared" si="21"/>
        <v>24473569</v>
      </c>
      <c r="F190" s="49">
        <f>24473599-30</f>
        <v>24473569</v>
      </c>
      <c r="G190" s="49">
        <v>17499470</v>
      </c>
      <c r="H190" s="49">
        <v>2336830</v>
      </c>
      <c r="I190" s="49"/>
      <c r="J190" s="50">
        <f t="shared" si="18"/>
        <v>2475600</v>
      </c>
      <c r="K190" s="59">
        <v>2437000</v>
      </c>
      <c r="L190" s="49">
        <v>38600</v>
      </c>
      <c r="M190" s="49"/>
      <c r="N190" s="49"/>
      <c r="O190" s="59">
        <v>2437000</v>
      </c>
      <c r="P190" s="48">
        <f t="shared" si="19"/>
        <v>26949169</v>
      </c>
      <c r="Q190" s="193"/>
      <c r="R190" s="89"/>
      <c r="S190" s="76"/>
      <c r="T190" s="76"/>
    </row>
    <row r="191" spans="1:20" s="52" customFormat="1" ht="40.5" customHeight="1">
      <c r="A191" s="46" t="s">
        <v>157</v>
      </c>
      <c r="B191" s="47" t="s">
        <v>321</v>
      </c>
      <c r="C191" s="46" t="s">
        <v>314</v>
      </c>
      <c r="D191" s="44" t="s">
        <v>322</v>
      </c>
      <c r="E191" s="48">
        <f t="shared" si="21"/>
        <v>4577420</v>
      </c>
      <c r="F191" s="49">
        <v>4577420</v>
      </c>
      <c r="G191" s="49"/>
      <c r="H191" s="49"/>
      <c r="I191" s="49"/>
      <c r="J191" s="50">
        <f t="shared" si="18"/>
        <v>0</v>
      </c>
      <c r="K191" s="59"/>
      <c r="L191" s="49"/>
      <c r="M191" s="49"/>
      <c r="N191" s="49"/>
      <c r="O191" s="59"/>
      <c r="P191" s="48">
        <f t="shared" si="19"/>
        <v>4577420</v>
      </c>
      <c r="Q191" s="193"/>
      <c r="R191" s="89"/>
      <c r="S191" s="76"/>
      <c r="T191" s="76"/>
    </row>
    <row r="192" spans="1:20" s="52" customFormat="1" ht="49.5" customHeight="1">
      <c r="A192" s="46" t="s">
        <v>158</v>
      </c>
      <c r="B192" s="47" t="s">
        <v>324</v>
      </c>
      <c r="C192" s="46" t="s">
        <v>314</v>
      </c>
      <c r="D192" s="44" t="s">
        <v>325</v>
      </c>
      <c r="E192" s="48">
        <f t="shared" si="21"/>
        <v>2260743</v>
      </c>
      <c r="F192" s="49">
        <v>2260743</v>
      </c>
      <c r="G192" s="49">
        <v>499402.18</v>
      </c>
      <c r="H192" s="49">
        <v>31160</v>
      </c>
      <c r="I192" s="49"/>
      <c r="J192" s="50">
        <f t="shared" si="18"/>
        <v>0</v>
      </c>
      <c r="K192" s="59"/>
      <c r="L192" s="49"/>
      <c r="M192" s="49"/>
      <c r="N192" s="49"/>
      <c r="O192" s="59"/>
      <c r="P192" s="48">
        <f t="shared" si="19"/>
        <v>2260743</v>
      </c>
      <c r="Q192" s="193"/>
      <c r="R192" s="89"/>
      <c r="S192" s="76"/>
      <c r="T192" s="76"/>
    </row>
    <row r="193" spans="1:20" s="52" customFormat="1" ht="36.75" customHeight="1">
      <c r="A193" s="46" t="s">
        <v>159</v>
      </c>
      <c r="B193" s="47" t="s">
        <v>326</v>
      </c>
      <c r="C193" s="46" t="s">
        <v>314</v>
      </c>
      <c r="D193" s="44" t="s">
        <v>327</v>
      </c>
      <c r="E193" s="48">
        <f t="shared" si="21"/>
        <v>1205600</v>
      </c>
      <c r="F193" s="49">
        <v>1205600</v>
      </c>
      <c r="G193" s="49"/>
      <c r="H193" s="49"/>
      <c r="I193" s="49"/>
      <c r="J193" s="50">
        <f t="shared" si="18"/>
        <v>0</v>
      </c>
      <c r="K193" s="59"/>
      <c r="L193" s="49"/>
      <c r="M193" s="49"/>
      <c r="N193" s="49"/>
      <c r="O193" s="59"/>
      <c r="P193" s="48">
        <f t="shared" si="19"/>
        <v>1205600</v>
      </c>
      <c r="Q193" s="193"/>
      <c r="R193" s="89"/>
      <c r="S193" s="76"/>
      <c r="T193" s="76"/>
    </row>
    <row r="194" spans="1:20" s="117" customFormat="1" ht="22.5" customHeight="1">
      <c r="A194" s="110" t="s">
        <v>441</v>
      </c>
      <c r="B194" s="114"/>
      <c r="C194" s="108"/>
      <c r="D194" s="115" t="s">
        <v>442</v>
      </c>
      <c r="E194" s="99">
        <f t="shared" si="17"/>
        <v>336140753</v>
      </c>
      <c r="F194" s="99">
        <f>F195</f>
        <v>326568153</v>
      </c>
      <c r="G194" s="99">
        <f>G195</f>
        <v>6942775</v>
      </c>
      <c r="H194" s="99">
        <f>H195</f>
        <v>18311656</v>
      </c>
      <c r="I194" s="99">
        <f>I195</f>
        <v>9572600</v>
      </c>
      <c r="J194" s="99">
        <f t="shared" si="18"/>
        <v>118875013</v>
      </c>
      <c r="K194" s="99">
        <f>K195</f>
        <v>113873613</v>
      </c>
      <c r="L194" s="99">
        <f>L195</f>
        <v>1400</v>
      </c>
      <c r="M194" s="99">
        <f>M195</f>
        <v>0</v>
      </c>
      <c r="N194" s="99">
        <f>N195</f>
        <v>0</v>
      </c>
      <c r="O194" s="99">
        <f>O195</f>
        <v>118873613</v>
      </c>
      <c r="P194" s="99">
        <f t="shared" si="19"/>
        <v>455015766</v>
      </c>
      <c r="Q194" s="193"/>
      <c r="R194" s="196"/>
      <c r="S194" s="116"/>
      <c r="T194" s="116"/>
    </row>
    <row r="195" spans="1:20" s="176" customFormat="1" ht="37.5" customHeight="1">
      <c r="A195" s="169" t="s">
        <v>443</v>
      </c>
      <c r="B195" s="170"/>
      <c r="C195" s="171"/>
      <c r="D195" s="177" t="s">
        <v>444</v>
      </c>
      <c r="E195" s="173">
        <f>F195+I195</f>
        <v>336140753</v>
      </c>
      <c r="F195" s="173">
        <f>F196+F197+F198+F199+F200+F201+F203+F205+F207+F209+F211+F214+F215+F217+F218+F219+F220+F221+F222+F223+F224+F225+F226+F228+F230+F232+F233+F235+F236+F238+F239+F240+F241+F242</f>
        <v>326568153</v>
      </c>
      <c r="G195" s="173">
        <f>G196+G197+G198+G199+G200+G201+G203+G205+G207+G209+G211+G214+G215+G217+G218+G219+G220+G221+G222+G223+G224+G225+G226+G228+G230+G232+G233+G235+G236+G238+G239+G240+G241+G242</f>
        <v>6942775</v>
      </c>
      <c r="H195" s="173">
        <f>H196+H197+H198+H199+H200+H201+H203+H205+H207+H209+H211+H214+H215+H217+H218+H219+H220+H221+H222+H223+H224+H225+H226+H228+H230+H232+H233+H235+H236+H238+H239+H240+H241+H242</f>
        <v>18311656</v>
      </c>
      <c r="I195" s="173">
        <f>I196+I197+I198+I199+I200+I201+I203+I205+I207+I209+I211+I214+I215+I217+I218+I219+I220+I221+I222+I223+I224+I225+I226+I228+I230+I232+I233+I235+I236+I238+I239+I240+I241+I242</f>
        <v>9572600</v>
      </c>
      <c r="J195" s="174">
        <f>L195+O195</f>
        <v>118875013</v>
      </c>
      <c r="K195" s="173">
        <f>K196+K197+K198+K199+K200+K201+K203+K205+K207+K209+K211+K214+K215+K217+K218+K219+K220+K221+K222+K223+K224+K225+K226+K228+K230+K232+K233+K235+K236+K238+K239+K240+K241+K242</f>
        <v>113873613</v>
      </c>
      <c r="L195" s="173">
        <f>L196+L197+L198+L199+L200+L201+L203+L205+L207+L209+L211+L214+L215+L217+L218+L219+L220+L221+L222+L223+L224+L225+L226+L228+L230+L232+L233+L235+L236+L238+L239+L240+L241+L242</f>
        <v>1400</v>
      </c>
      <c r="M195" s="173">
        <f>M196+M197+M198+M199+M200+M201+M203+M205+M207+M209+M211+M214+M215+M217+M218+M219+M220+M221+M222+M223+M224+M225+M226+M228+M230+M232+M233+M235+M236+M238+M239+M240+M241+M242</f>
        <v>0</v>
      </c>
      <c r="N195" s="173">
        <f>N196+N197+N198+N199+N200+N201+N203+N205+N207+N209+N211+N214+N215+N217+N218+N219+N220+N221+N222+N223+N224+N225+N226+N228+N230+N232+N233+N235+N236+N238+N239+N240+N241+N242</f>
        <v>0</v>
      </c>
      <c r="O195" s="173">
        <f>O196+O197+O198+O199+O200+O201+O203+O205+O207+O209+O211+O214+O215+O217+O218+O219+O220+O221+O222+O223+O224+O225+O226+O228+O230+O232+O233+O235+O236+O238+O239+O240+O241+O242</f>
        <v>118873613</v>
      </c>
      <c r="P195" s="173">
        <f>E195+J195</f>
        <v>455015766</v>
      </c>
      <c r="Q195" s="193"/>
      <c r="R195" s="197"/>
      <c r="S195" s="175"/>
      <c r="T195" s="175"/>
    </row>
    <row r="196" spans="1:20" s="52" customFormat="1" ht="36" customHeight="1">
      <c r="A196" s="46" t="s">
        <v>445</v>
      </c>
      <c r="B196" s="47" t="s">
        <v>264</v>
      </c>
      <c r="C196" s="46" t="s">
        <v>249</v>
      </c>
      <c r="D196" s="44" t="s">
        <v>265</v>
      </c>
      <c r="E196" s="48">
        <f>F196+I196</f>
        <v>12104654</v>
      </c>
      <c r="F196" s="49">
        <v>12104654</v>
      </c>
      <c r="G196" s="49">
        <v>6942775</v>
      </c>
      <c r="H196" s="49">
        <v>546357</v>
      </c>
      <c r="I196" s="49"/>
      <c r="J196" s="50">
        <f t="shared" si="18"/>
        <v>1400</v>
      </c>
      <c r="K196" s="59"/>
      <c r="L196" s="49">
        <v>1400</v>
      </c>
      <c r="M196" s="49"/>
      <c r="N196" s="49"/>
      <c r="O196" s="59"/>
      <c r="P196" s="48">
        <f t="shared" si="19"/>
        <v>12106054</v>
      </c>
      <c r="Q196" s="193">
        <f>P195-P196-P198-P200</f>
        <v>435661712</v>
      </c>
      <c r="R196" s="89"/>
      <c r="S196" s="76"/>
      <c r="T196" s="76"/>
    </row>
    <row r="197" spans="1:20" s="52" customFormat="1" ht="39" customHeight="1" hidden="1">
      <c r="A197" s="58" t="s">
        <v>219</v>
      </c>
      <c r="B197" s="58" t="s">
        <v>572</v>
      </c>
      <c r="C197" s="58" t="s">
        <v>117</v>
      </c>
      <c r="D197" s="45" t="s">
        <v>118</v>
      </c>
      <c r="E197" s="48">
        <f t="shared" si="17"/>
        <v>0</v>
      </c>
      <c r="F197" s="59"/>
      <c r="G197" s="49"/>
      <c r="H197" s="49"/>
      <c r="I197" s="49"/>
      <c r="J197" s="50">
        <f t="shared" si="18"/>
        <v>0</v>
      </c>
      <c r="K197" s="59"/>
      <c r="L197" s="49"/>
      <c r="M197" s="49"/>
      <c r="N197" s="49"/>
      <c r="O197" s="59"/>
      <c r="P197" s="48">
        <f aca="true" t="shared" si="22" ref="P197:P260">E197+J197</f>
        <v>0</v>
      </c>
      <c r="Q197" s="193"/>
      <c r="R197" s="89"/>
      <c r="S197" s="76"/>
      <c r="T197" s="76"/>
    </row>
    <row r="198" spans="1:20" s="52" customFormat="1" ht="24" customHeight="1">
      <c r="A198" s="46" t="s">
        <v>446</v>
      </c>
      <c r="B198" s="47" t="s">
        <v>254</v>
      </c>
      <c r="C198" s="46" t="s">
        <v>253</v>
      </c>
      <c r="D198" s="44" t="s">
        <v>255</v>
      </c>
      <c r="E198" s="48">
        <f t="shared" si="17"/>
        <v>248000</v>
      </c>
      <c r="F198" s="49">
        <v>248000</v>
      </c>
      <c r="G198" s="49"/>
      <c r="H198" s="49"/>
      <c r="I198" s="49"/>
      <c r="J198" s="50">
        <f t="shared" si="18"/>
        <v>0</v>
      </c>
      <c r="K198" s="59"/>
      <c r="L198" s="49"/>
      <c r="M198" s="49"/>
      <c r="N198" s="49"/>
      <c r="O198" s="59"/>
      <c r="P198" s="48">
        <f t="shared" si="22"/>
        <v>248000</v>
      </c>
      <c r="Q198" s="193"/>
      <c r="R198" s="89"/>
      <c r="S198" s="76"/>
      <c r="T198" s="76"/>
    </row>
    <row r="199" spans="1:20" s="78" customFormat="1" ht="24" customHeight="1">
      <c r="A199" s="58" t="s">
        <v>69</v>
      </c>
      <c r="B199" s="47">
        <v>3210</v>
      </c>
      <c r="C199" s="46" t="s">
        <v>447</v>
      </c>
      <c r="D199" s="44" t="s">
        <v>448</v>
      </c>
      <c r="E199" s="48">
        <f t="shared" si="17"/>
        <v>249000</v>
      </c>
      <c r="F199" s="49">
        <v>249000</v>
      </c>
      <c r="G199" s="49"/>
      <c r="H199" s="49"/>
      <c r="I199" s="49"/>
      <c r="J199" s="50">
        <f t="shared" si="18"/>
        <v>0</v>
      </c>
      <c r="K199" s="59"/>
      <c r="L199" s="49"/>
      <c r="M199" s="49"/>
      <c r="N199" s="49"/>
      <c r="O199" s="59"/>
      <c r="P199" s="48">
        <f t="shared" si="22"/>
        <v>249000</v>
      </c>
      <c r="Q199" s="193"/>
      <c r="R199" s="194"/>
      <c r="S199" s="77"/>
      <c r="T199" s="77"/>
    </row>
    <row r="200" spans="1:20" s="52" customFormat="1" ht="24" customHeight="1">
      <c r="A200" s="58" t="s">
        <v>2</v>
      </c>
      <c r="B200" s="47">
        <v>5041</v>
      </c>
      <c r="C200" s="58" t="s">
        <v>314</v>
      </c>
      <c r="D200" s="44" t="s">
        <v>323</v>
      </c>
      <c r="E200" s="48">
        <f>F200+I200</f>
        <v>7000000</v>
      </c>
      <c r="F200" s="49">
        <v>7000000</v>
      </c>
      <c r="G200" s="49"/>
      <c r="H200" s="49"/>
      <c r="I200" s="49"/>
      <c r="J200" s="50">
        <f>L200+O200</f>
        <v>0</v>
      </c>
      <c r="K200" s="59"/>
      <c r="L200" s="49"/>
      <c r="M200" s="49"/>
      <c r="N200" s="49"/>
      <c r="O200" s="59"/>
      <c r="P200" s="48">
        <f t="shared" si="22"/>
        <v>7000000</v>
      </c>
      <c r="Q200" s="193"/>
      <c r="R200" s="89"/>
      <c r="S200" s="76"/>
      <c r="T200" s="76"/>
    </row>
    <row r="201" spans="1:20" s="52" customFormat="1" ht="49.5" customHeight="1">
      <c r="A201" s="103" t="s">
        <v>83</v>
      </c>
      <c r="B201" s="47">
        <v>5043</v>
      </c>
      <c r="C201" s="58" t="s">
        <v>314</v>
      </c>
      <c r="D201" s="44" t="s">
        <v>84</v>
      </c>
      <c r="E201" s="48">
        <f>F201+I201</f>
        <v>0</v>
      </c>
      <c r="F201" s="49"/>
      <c r="G201" s="49"/>
      <c r="H201" s="49"/>
      <c r="I201" s="49"/>
      <c r="J201" s="50">
        <f>L201+O201</f>
        <v>50000</v>
      </c>
      <c r="K201" s="59">
        <v>50000</v>
      </c>
      <c r="L201" s="51"/>
      <c r="M201" s="51"/>
      <c r="N201" s="51"/>
      <c r="O201" s="59">
        <v>50000</v>
      </c>
      <c r="P201" s="48">
        <f>E201+J201</f>
        <v>50000</v>
      </c>
      <c r="Q201" s="193"/>
      <c r="R201" s="89"/>
      <c r="S201" s="76"/>
      <c r="T201" s="76"/>
    </row>
    <row r="202" spans="1:20" s="75" customFormat="1" ht="69" customHeight="1" hidden="1">
      <c r="A202" s="15"/>
      <c r="B202" s="16"/>
      <c r="C202" s="15"/>
      <c r="D202" s="3" t="s">
        <v>85</v>
      </c>
      <c r="E202" s="19">
        <f>F202+I202</f>
        <v>0</v>
      </c>
      <c r="F202" s="20"/>
      <c r="G202" s="20"/>
      <c r="H202" s="20"/>
      <c r="I202" s="20"/>
      <c r="J202" s="21">
        <f>L202+O202</f>
        <v>0</v>
      </c>
      <c r="K202" s="43"/>
      <c r="L202" s="20"/>
      <c r="M202" s="20"/>
      <c r="N202" s="20"/>
      <c r="O202" s="43"/>
      <c r="P202" s="19">
        <f>E202+J202</f>
        <v>0</v>
      </c>
      <c r="Q202" s="198">
        <f>P202</f>
        <v>0</v>
      </c>
      <c r="R202" s="232" t="s">
        <v>382</v>
      </c>
      <c r="S202" s="74"/>
      <c r="T202" s="74"/>
    </row>
    <row r="203" spans="1:20" s="52" customFormat="1" ht="44.25" customHeight="1">
      <c r="A203" s="46" t="s">
        <v>373</v>
      </c>
      <c r="B203" s="47">
        <v>5045</v>
      </c>
      <c r="C203" s="58" t="s">
        <v>314</v>
      </c>
      <c r="D203" s="44" t="s">
        <v>374</v>
      </c>
      <c r="E203" s="48">
        <f>F203+I203</f>
        <v>0</v>
      </c>
      <c r="F203" s="49"/>
      <c r="G203" s="49"/>
      <c r="H203" s="49"/>
      <c r="I203" s="49"/>
      <c r="J203" s="50">
        <f>L203+O203</f>
        <v>315840</v>
      </c>
      <c r="K203" s="59">
        <v>315840</v>
      </c>
      <c r="L203" s="51"/>
      <c r="M203" s="51"/>
      <c r="N203" s="51"/>
      <c r="O203" s="59">
        <v>315840</v>
      </c>
      <c r="P203" s="48">
        <f>E203+J203</f>
        <v>315840</v>
      </c>
      <c r="Q203" s="193"/>
      <c r="R203" s="89"/>
      <c r="S203" s="76"/>
      <c r="T203" s="76"/>
    </row>
    <row r="204" spans="1:20" s="75" customFormat="1" ht="66.75" customHeight="1" hidden="1">
      <c r="A204" s="15"/>
      <c r="B204" s="16"/>
      <c r="C204" s="15"/>
      <c r="D204" s="3" t="s">
        <v>375</v>
      </c>
      <c r="E204" s="19">
        <f>F204+I204</f>
        <v>0</v>
      </c>
      <c r="F204" s="20"/>
      <c r="G204" s="20"/>
      <c r="H204" s="20"/>
      <c r="I204" s="20"/>
      <c r="J204" s="21">
        <f>L204+O204</f>
        <v>0</v>
      </c>
      <c r="K204" s="43"/>
      <c r="L204" s="20"/>
      <c r="M204" s="20"/>
      <c r="N204" s="20"/>
      <c r="O204" s="43"/>
      <c r="P204" s="19">
        <f>E204+J204</f>
        <v>0</v>
      </c>
      <c r="Q204" s="198">
        <f>P204</f>
        <v>0</v>
      </c>
      <c r="R204" s="246" t="s">
        <v>230</v>
      </c>
      <c r="S204" s="74"/>
      <c r="T204" s="74"/>
    </row>
    <row r="205" spans="1:20" s="78" customFormat="1" ht="24" customHeight="1">
      <c r="A205" s="46" t="s">
        <v>449</v>
      </c>
      <c r="B205" s="47" t="s">
        <v>451</v>
      </c>
      <c r="C205" s="58" t="s">
        <v>460</v>
      </c>
      <c r="D205" s="44" t="s">
        <v>452</v>
      </c>
      <c r="E205" s="48">
        <f aca="true" t="shared" si="23" ref="E205:E215">F205+I205</f>
        <v>0</v>
      </c>
      <c r="F205" s="49"/>
      <c r="G205" s="49"/>
      <c r="H205" s="49"/>
      <c r="I205" s="49"/>
      <c r="J205" s="50">
        <f aca="true" t="shared" si="24" ref="J205:J265">L205+O205</f>
        <v>21000000</v>
      </c>
      <c r="K205" s="59">
        <v>21000000</v>
      </c>
      <c r="L205" s="49"/>
      <c r="M205" s="49"/>
      <c r="N205" s="49"/>
      <c r="O205" s="59">
        <v>21000000</v>
      </c>
      <c r="P205" s="48">
        <f t="shared" si="22"/>
        <v>21000000</v>
      </c>
      <c r="Q205" s="193"/>
      <c r="R205" s="194"/>
      <c r="S205" s="77"/>
      <c r="T205" s="77"/>
    </row>
    <row r="206" spans="1:20" s="80" customFormat="1" ht="32.25" customHeight="1" hidden="1">
      <c r="A206" s="15"/>
      <c r="B206" s="16"/>
      <c r="C206" s="15"/>
      <c r="D206" s="3" t="s">
        <v>182</v>
      </c>
      <c r="E206" s="19">
        <f t="shared" si="23"/>
        <v>0</v>
      </c>
      <c r="F206" s="20"/>
      <c r="G206" s="20"/>
      <c r="H206" s="20"/>
      <c r="I206" s="20"/>
      <c r="J206" s="21">
        <f t="shared" si="24"/>
        <v>0</v>
      </c>
      <c r="K206" s="43"/>
      <c r="L206" s="20"/>
      <c r="M206" s="20"/>
      <c r="N206" s="20"/>
      <c r="O206" s="43"/>
      <c r="P206" s="19">
        <f t="shared" si="22"/>
        <v>0</v>
      </c>
      <c r="Q206" s="198">
        <f>P206+P208+P210+P213</f>
        <v>0</v>
      </c>
      <c r="R206" s="232" t="s">
        <v>383</v>
      </c>
      <c r="S206" s="79"/>
      <c r="T206" s="79"/>
    </row>
    <row r="207" spans="1:20" s="78" customFormat="1" ht="34.5" customHeight="1" hidden="1">
      <c r="A207" s="58" t="s">
        <v>33</v>
      </c>
      <c r="B207" s="47">
        <v>6012</v>
      </c>
      <c r="C207" s="58" t="s">
        <v>450</v>
      </c>
      <c r="D207" s="45" t="s">
        <v>34</v>
      </c>
      <c r="E207" s="48">
        <f t="shared" si="23"/>
        <v>0</v>
      </c>
      <c r="F207" s="49"/>
      <c r="G207" s="49"/>
      <c r="H207" s="49"/>
      <c r="I207" s="49"/>
      <c r="J207" s="50">
        <f t="shared" si="24"/>
        <v>0</v>
      </c>
      <c r="K207" s="27"/>
      <c r="L207" s="25"/>
      <c r="M207" s="25"/>
      <c r="N207" s="25"/>
      <c r="O207" s="27"/>
      <c r="P207" s="48">
        <f t="shared" si="22"/>
        <v>0</v>
      </c>
      <c r="Q207" s="193"/>
      <c r="R207" s="194"/>
      <c r="S207" s="77"/>
      <c r="T207" s="77"/>
    </row>
    <row r="208" spans="1:20" s="80" customFormat="1" ht="28.5" customHeight="1" hidden="1">
      <c r="A208" s="15"/>
      <c r="B208" s="16"/>
      <c r="C208" s="29"/>
      <c r="D208" s="18" t="s">
        <v>182</v>
      </c>
      <c r="E208" s="19">
        <f>F208+I208</f>
        <v>0</v>
      </c>
      <c r="F208" s="20"/>
      <c r="G208" s="20"/>
      <c r="H208" s="20"/>
      <c r="I208" s="20"/>
      <c r="J208" s="21">
        <f>L208+O208</f>
        <v>0</v>
      </c>
      <c r="K208" s="43"/>
      <c r="L208" s="20"/>
      <c r="M208" s="20"/>
      <c r="N208" s="20"/>
      <c r="O208" s="43"/>
      <c r="P208" s="19">
        <f>E208+J208</f>
        <v>0</v>
      </c>
      <c r="Q208" s="198"/>
      <c r="R208" s="232" t="s">
        <v>383</v>
      </c>
      <c r="S208" s="79"/>
      <c r="T208" s="79"/>
    </row>
    <row r="209" spans="1:20" s="78" customFormat="1" ht="26.25" customHeight="1" hidden="1">
      <c r="A209" s="58" t="s">
        <v>194</v>
      </c>
      <c r="B209" s="47">
        <v>6015</v>
      </c>
      <c r="C209" s="58" t="s">
        <v>450</v>
      </c>
      <c r="D209" s="45" t="s">
        <v>195</v>
      </c>
      <c r="E209" s="48">
        <f t="shared" si="23"/>
        <v>0</v>
      </c>
      <c r="F209" s="49"/>
      <c r="G209" s="49"/>
      <c r="H209" s="49"/>
      <c r="I209" s="49"/>
      <c r="J209" s="50">
        <f t="shared" si="24"/>
        <v>0</v>
      </c>
      <c r="K209" s="59"/>
      <c r="L209" s="49"/>
      <c r="M209" s="49"/>
      <c r="N209" s="49"/>
      <c r="O209" s="59"/>
      <c r="P209" s="48">
        <f t="shared" si="22"/>
        <v>0</v>
      </c>
      <c r="Q209" s="193"/>
      <c r="R209" s="194"/>
      <c r="S209" s="77"/>
      <c r="T209" s="77"/>
    </row>
    <row r="210" spans="1:20" s="80" customFormat="1" ht="32.25" customHeight="1" hidden="1">
      <c r="A210" s="15"/>
      <c r="B210" s="16"/>
      <c r="C210" s="15"/>
      <c r="D210" s="3" t="s">
        <v>182</v>
      </c>
      <c r="E210" s="19">
        <f t="shared" si="23"/>
        <v>0</v>
      </c>
      <c r="F210" s="20"/>
      <c r="G210" s="20"/>
      <c r="H210" s="20"/>
      <c r="I210" s="20"/>
      <c r="J210" s="21">
        <f t="shared" si="24"/>
        <v>0</v>
      </c>
      <c r="K210" s="43"/>
      <c r="L210" s="20"/>
      <c r="M210" s="20"/>
      <c r="N210" s="20"/>
      <c r="O210" s="43"/>
      <c r="P210" s="19">
        <f>E210+J210</f>
        <v>0</v>
      </c>
      <c r="Q210" s="198"/>
      <c r="R210" s="232" t="s">
        <v>383</v>
      </c>
      <c r="S210" s="79"/>
      <c r="T210" s="79"/>
    </row>
    <row r="211" spans="1:20" s="78" customFormat="1" ht="34.5" customHeight="1">
      <c r="A211" s="46" t="s">
        <v>47</v>
      </c>
      <c r="B211" s="47">
        <v>6017</v>
      </c>
      <c r="C211" s="58" t="s">
        <v>450</v>
      </c>
      <c r="D211" s="45" t="s">
        <v>48</v>
      </c>
      <c r="E211" s="48">
        <f t="shared" si="23"/>
        <v>91572600</v>
      </c>
      <c r="F211" s="49">
        <v>83500000</v>
      </c>
      <c r="G211" s="49"/>
      <c r="H211" s="49"/>
      <c r="I211" s="49">
        <v>8072600</v>
      </c>
      <c r="J211" s="50">
        <f t="shared" si="24"/>
        <v>5000000</v>
      </c>
      <c r="K211" s="59">
        <v>5000000</v>
      </c>
      <c r="L211" s="49"/>
      <c r="M211" s="49"/>
      <c r="N211" s="49"/>
      <c r="O211" s="59">
        <v>5000000</v>
      </c>
      <c r="P211" s="48">
        <f>E211+J211</f>
        <v>96572600</v>
      </c>
      <c r="Q211" s="193"/>
      <c r="R211" s="194"/>
      <c r="S211" s="77"/>
      <c r="T211" s="77"/>
    </row>
    <row r="212" spans="1:20" s="80" customFormat="1" ht="35.25" customHeight="1" hidden="1">
      <c r="A212" s="15"/>
      <c r="B212" s="16"/>
      <c r="C212" s="29"/>
      <c r="D212" s="3" t="s">
        <v>601</v>
      </c>
      <c r="E212" s="19">
        <f t="shared" si="23"/>
        <v>0</v>
      </c>
      <c r="F212" s="20"/>
      <c r="G212" s="20"/>
      <c r="H212" s="20"/>
      <c r="I212" s="20"/>
      <c r="J212" s="21">
        <f t="shared" si="24"/>
        <v>0</v>
      </c>
      <c r="K212" s="43"/>
      <c r="L212" s="20"/>
      <c r="M212" s="20"/>
      <c r="N212" s="20"/>
      <c r="O212" s="43"/>
      <c r="P212" s="19">
        <f>E212+J212</f>
        <v>0</v>
      </c>
      <c r="Q212" s="198"/>
      <c r="R212" s="232" t="s">
        <v>383</v>
      </c>
      <c r="S212" s="79"/>
      <c r="T212" s="79"/>
    </row>
    <row r="213" spans="1:20" s="80" customFormat="1" ht="30" customHeight="1" hidden="1">
      <c r="A213" s="15"/>
      <c r="B213" s="16"/>
      <c r="C213" s="29"/>
      <c r="D213" s="18" t="s">
        <v>182</v>
      </c>
      <c r="E213" s="19">
        <f t="shared" si="23"/>
        <v>0</v>
      </c>
      <c r="F213" s="20"/>
      <c r="G213" s="20"/>
      <c r="H213" s="20"/>
      <c r="I213" s="20"/>
      <c r="J213" s="21">
        <f t="shared" si="24"/>
        <v>0</v>
      </c>
      <c r="K213" s="43"/>
      <c r="L213" s="20"/>
      <c r="M213" s="20"/>
      <c r="N213" s="20"/>
      <c r="O213" s="43"/>
      <c r="P213" s="19">
        <f>E213+J213</f>
        <v>0</v>
      </c>
      <c r="Q213" s="198"/>
      <c r="R213" s="232" t="s">
        <v>383</v>
      </c>
      <c r="S213" s="79"/>
      <c r="T213" s="79"/>
    </row>
    <row r="214" spans="1:20" s="78" customFormat="1" ht="48" customHeight="1">
      <c r="A214" s="46" t="s">
        <v>453</v>
      </c>
      <c r="B214" s="47" t="s">
        <v>454</v>
      </c>
      <c r="C214" s="46" t="s">
        <v>450</v>
      </c>
      <c r="D214" s="44" t="s">
        <v>455</v>
      </c>
      <c r="E214" s="48">
        <f t="shared" si="23"/>
        <v>6800000</v>
      </c>
      <c r="F214" s="49">
        <v>6800000</v>
      </c>
      <c r="G214" s="49"/>
      <c r="H214" s="49"/>
      <c r="I214" s="49"/>
      <c r="J214" s="50">
        <f t="shared" si="24"/>
        <v>0</v>
      </c>
      <c r="K214" s="59"/>
      <c r="L214" s="49"/>
      <c r="M214" s="49"/>
      <c r="N214" s="49"/>
      <c r="O214" s="59"/>
      <c r="P214" s="48">
        <f t="shared" si="22"/>
        <v>6800000</v>
      </c>
      <c r="Q214" s="193"/>
      <c r="R214" s="194"/>
      <c r="S214" s="77"/>
      <c r="T214" s="77"/>
    </row>
    <row r="215" spans="1:20" s="78" customFormat="1" ht="27" customHeight="1">
      <c r="A215" s="46" t="s">
        <v>456</v>
      </c>
      <c r="B215" s="47" t="s">
        <v>457</v>
      </c>
      <c r="C215" s="46" t="s">
        <v>450</v>
      </c>
      <c r="D215" s="44" t="s">
        <v>458</v>
      </c>
      <c r="E215" s="48">
        <f t="shared" si="23"/>
        <v>165675699</v>
      </c>
      <c r="F215" s="49">
        <f>165382839+292860</f>
        <v>165675699</v>
      </c>
      <c r="G215" s="49"/>
      <c r="H215" s="49">
        <f>17472439+292860</f>
        <v>17765299</v>
      </c>
      <c r="I215" s="49"/>
      <c r="J215" s="50">
        <f t="shared" si="24"/>
        <v>8650000</v>
      </c>
      <c r="K215" s="59">
        <v>8650000</v>
      </c>
      <c r="L215" s="49"/>
      <c r="M215" s="49"/>
      <c r="N215" s="49"/>
      <c r="O215" s="59">
        <v>8650000</v>
      </c>
      <c r="P215" s="48">
        <f t="shared" si="22"/>
        <v>174325699</v>
      </c>
      <c r="Q215" s="193"/>
      <c r="R215" s="194"/>
      <c r="S215" s="77"/>
      <c r="T215" s="77"/>
    </row>
    <row r="216" spans="1:20" s="80" customFormat="1" ht="31.5" customHeight="1" hidden="1">
      <c r="A216" s="15"/>
      <c r="B216" s="16"/>
      <c r="C216" s="29"/>
      <c r="D216" s="3" t="s">
        <v>601</v>
      </c>
      <c r="E216" s="19">
        <f>F216+I216</f>
        <v>0</v>
      </c>
      <c r="F216" s="20"/>
      <c r="G216" s="20"/>
      <c r="H216" s="20"/>
      <c r="I216" s="20"/>
      <c r="J216" s="21">
        <f>L216+O216</f>
        <v>0</v>
      </c>
      <c r="K216" s="43"/>
      <c r="L216" s="20"/>
      <c r="M216" s="20"/>
      <c r="N216" s="20"/>
      <c r="O216" s="43"/>
      <c r="P216" s="19">
        <f>E216+J216</f>
        <v>0</v>
      </c>
      <c r="Q216" s="198"/>
      <c r="R216" s="232" t="s">
        <v>383</v>
      </c>
      <c r="S216" s="79"/>
      <c r="T216" s="79"/>
    </row>
    <row r="217" spans="1:20" s="78" customFormat="1" ht="29.25" customHeight="1">
      <c r="A217" s="46" t="s">
        <v>459</v>
      </c>
      <c r="B217" s="47" t="s">
        <v>461</v>
      </c>
      <c r="C217" s="46" t="s">
        <v>460</v>
      </c>
      <c r="D217" s="44" t="s">
        <v>462</v>
      </c>
      <c r="E217" s="48">
        <f aca="true" t="shared" si="25" ref="E217:E242">F217+I217</f>
        <v>1500000</v>
      </c>
      <c r="F217" s="49"/>
      <c r="G217" s="49"/>
      <c r="H217" s="49"/>
      <c r="I217" s="49">
        <v>1500000</v>
      </c>
      <c r="J217" s="50">
        <f t="shared" si="24"/>
        <v>0</v>
      </c>
      <c r="K217" s="59"/>
      <c r="L217" s="49"/>
      <c r="M217" s="49"/>
      <c r="N217" s="49"/>
      <c r="O217" s="59"/>
      <c r="P217" s="48">
        <f t="shared" si="22"/>
        <v>1500000</v>
      </c>
      <c r="Q217" s="193"/>
      <c r="R217" s="194"/>
      <c r="S217" s="77"/>
      <c r="T217" s="77"/>
    </row>
    <row r="218" spans="1:20" s="78" customFormat="1" ht="23.25" customHeight="1">
      <c r="A218" s="46" t="s">
        <v>463</v>
      </c>
      <c r="B218" s="47" t="s">
        <v>465</v>
      </c>
      <c r="C218" s="46" t="s">
        <v>464</v>
      </c>
      <c r="D218" s="44" t="s">
        <v>466</v>
      </c>
      <c r="E218" s="48">
        <f t="shared" si="25"/>
        <v>70000</v>
      </c>
      <c r="F218" s="51">
        <v>70000</v>
      </c>
      <c r="G218" s="49"/>
      <c r="H218" s="49"/>
      <c r="I218" s="49"/>
      <c r="J218" s="50">
        <f t="shared" si="24"/>
        <v>0</v>
      </c>
      <c r="K218" s="59"/>
      <c r="L218" s="49"/>
      <c r="M218" s="49"/>
      <c r="N218" s="49"/>
      <c r="O218" s="59"/>
      <c r="P218" s="48">
        <f t="shared" si="22"/>
        <v>70000</v>
      </c>
      <c r="Q218" s="193"/>
      <c r="R218" s="194"/>
      <c r="S218" s="77"/>
      <c r="T218" s="77"/>
    </row>
    <row r="219" spans="1:20" s="78" customFormat="1" ht="26.25" customHeight="1" hidden="1">
      <c r="A219" s="58" t="s">
        <v>86</v>
      </c>
      <c r="B219" s="47">
        <v>7130</v>
      </c>
      <c r="C219" s="58" t="s">
        <v>543</v>
      </c>
      <c r="D219" s="44" t="s">
        <v>87</v>
      </c>
      <c r="E219" s="48">
        <f t="shared" si="25"/>
        <v>0</v>
      </c>
      <c r="F219" s="49"/>
      <c r="G219" s="49"/>
      <c r="H219" s="49"/>
      <c r="I219" s="49"/>
      <c r="J219" s="50">
        <f t="shared" si="24"/>
        <v>0</v>
      </c>
      <c r="K219" s="59"/>
      <c r="L219" s="49"/>
      <c r="M219" s="49"/>
      <c r="N219" s="49"/>
      <c r="O219" s="59"/>
      <c r="P219" s="48">
        <f t="shared" si="22"/>
        <v>0</v>
      </c>
      <c r="Q219" s="193"/>
      <c r="R219" s="194"/>
      <c r="S219" s="77"/>
      <c r="T219" s="77"/>
    </row>
    <row r="220" spans="1:20" s="78" customFormat="1" ht="27" customHeight="1">
      <c r="A220" s="46" t="s">
        <v>467</v>
      </c>
      <c r="B220" s="47" t="s">
        <v>468</v>
      </c>
      <c r="C220" s="46" t="s">
        <v>328</v>
      </c>
      <c r="D220" s="44" t="s">
        <v>469</v>
      </c>
      <c r="E220" s="48">
        <f t="shared" si="25"/>
        <v>0</v>
      </c>
      <c r="F220" s="49"/>
      <c r="G220" s="49"/>
      <c r="H220" s="49"/>
      <c r="I220" s="49"/>
      <c r="J220" s="50">
        <f t="shared" si="24"/>
        <v>2249000</v>
      </c>
      <c r="K220" s="59">
        <v>2249000</v>
      </c>
      <c r="L220" s="49"/>
      <c r="M220" s="49"/>
      <c r="N220" s="49"/>
      <c r="O220" s="59">
        <v>2249000</v>
      </c>
      <c r="P220" s="48">
        <f t="shared" si="22"/>
        <v>2249000</v>
      </c>
      <c r="Q220" s="193"/>
      <c r="R220" s="194"/>
      <c r="S220" s="77"/>
      <c r="T220" s="77"/>
    </row>
    <row r="221" spans="1:20" s="78" customFormat="1" ht="21" customHeight="1">
      <c r="A221" s="62" t="s">
        <v>121</v>
      </c>
      <c r="B221" s="47" t="s">
        <v>330</v>
      </c>
      <c r="C221" s="46" t="s">
        <v>328</v>
      </c>
      <c r="D221" s="44" t="s">
        <v>331</v>
      </c>
      <c r="E221" s="48">
        <f t="shared" si="25"/>
        <v>0</v>
      </c>
      <c r="F221" s="49"/>
      <c r="G221" s="49"/>
      <c r="H221" s="49"/>
      <c r="I221" s="49"/>
      <c r="J221" s="50">
        <f t="shared" si="24"/>
        <v>150000</v>
      </c>
      <c r="K221" s="59">
        <v>150000</v>
      </c>
      <c r="L221" s="49"/>
      <c r="M221" s="49"/>
      <c r="N221" s="49"/>
      <c r="O221" s="59">
        <v>150000</v>
      </c>
      <c r="P221" s="48">
        <f>E221+J221</f>
        <v>150000</v>
      </c>
      <c r="Q221" s="193"/>
      <c r="R221" s="194"/>
      <c r="S221" s="77"/>
      <c r="T221" s="77"/>
    </row>
    <row r="222" spans="1:20" s="78" customFormat="1" ht="26.25" customHeight="1">
      <c r="A222" s="46" t="s">
        <v>470</v>
      </c>
      <c r="B222" s="47" t="s">
        <v>364</v>
      </c>
      <c r="C222" s="46" t="s">
        <v>328</v>
      </c>
      <c r="D222" s="44" t="s">
        <v>365</v>
      </c>
      <c r="E222" s="48">
        <f t="shared" si="25"/>
        <v>0</v>
      </c>
      <c r="F222" s="49"/>
      <c r="G222" s="49"/>
      <c r="H222" s="49"/>
      <c r="I222" s="49"/>
      <c r="J222" s="50">
        <f t="shared" si="24"/>
        <v>180000</v>
      </c>
      <c r="K222" s="59">
        <v>180000</v>
      </c>
      <c r="L222" s="49"/>
      <c r="M222" s="49"/>
      <c r="N222" s="49"/>
      <c r="O222" s="59">
        <v>180000</v>
      </c>
      <c r="P222" s="48">
        <f t="shared" si="22"/>
        <v>180000</v>
      </c>
      <c r="Q222" s="193"/>
      <c r="R222" s="194"/>
      <c r="S222" s="77"/>
      <c r="T222" s="77"/>
    </row>
    <row r="223" spans="1:20" s="78" customFormat="1" ht="29.25" customHeight="1" hidden="1">
      <c r="A223" s="46" t="s">
        <v>471</v>
      </c>
      <c r="B223" s="47" t="s">
        <v>472</v>
      </c>
      <c r="C223" s="46" t="s">
        <v>328</v>
      </c>
      <c r="D223" s="44" t="s">
        <v>473</v>
      </c>
      <c r="E223" s="48">
        <f t="shared" si="25"/>
        <v>0</v>
      </c>
      <c r="F223" s="49"/>
      <c r="G223" s="49"/>
      <c r="H223" s="49"/>
      <c r="I223" s="49"/>
      <c r="J223" s="50">
        <f t="shared" si="24"/>
        <v>0</v>
      </c>
      <c r="K223" s="59"/>
      <c r="L223" s="49"/>
      <c r="M223" s="49"/>
      <c r="N223" s="49"/>
      <c r="O223" s="59"/>
      <c r="P223" s="48">
        <f t="shared" si="22"/>
        <v>0</v>
      </c>
      <c r="Q223" s="193"/>
      <c r="R223" s="194"/>
      <c r="S223" s="77"/>
      <c r="T223" s="77"/>
    </row>
    <row r="224" spans="1:20" s="52" customFormat="1" ht="29.25" customHeight="1" hidden="1">
      <c r="A224" s="46" t="s">
        <v>88</v>
      </c>
      <c r="B224" s="47" t="s">
        <v>89</v>
      </c>
      <c r="C224" s="46" t="s">
        <v>328</v>
      </c>
      <c r="D224" s="45" t="s">
        <v>90</v>
      </c>
      <c r="E224" s="48">
        <f>F224+I224</f>
        <v>0</v>
      </c>
      <c r="F224" s="49"/>
      <c r="G224" s="49"/>
      <c r="H224" s="49"/>
      <c r="I224" s="49"/>
      <c r="J224" s="50">
        <f>L224+O224</f>
        <v>0</v>
      </c>
      <c r="K224" s="59"/>
      <c r="L224" s="49"/>
      <c r="M224" s="49"/>
      <c r="N224" s="49"/>
      <c r="O224" s="59"/>
      <c r="P224" s="48">
        <f>E224+J224</f>
        <v>0</v>
      </c>
      <c r="Q224" s="193"/>
      <c r="R224" s="89"/>
      <c r="S224" s="76"/>
      <c r="T224" s="76"/>
    </row>
    <row r="225" spans="1:20" s="78" customFormat="1" ht="33" customHeight="1" hidden="1">
      <c r="A225" s="46" t="s">
        <v>474</v>
      </c>
      <c r="B225" s="47" t="s">
        <v>475</v>
      </c>
      <c r="C225" s="46" t="s">
        <v>328</v>
      </c>
      <c r="D225" s="44" t="s">
        <v>476</v>
      </c>
      <c r="E225" s="48">
        <f t="shared" si="25"/>
        <v>0</v>
      </c>
      <c r="F225" s="49"/>
      <c r="G225" s="49"/>
      <c r="H225" s="49"/>
      <c r="I225" s="49"/>
      <c r="J225" s="50">
        <f t="shared" si="24"/>
        <v>0</v>
      </c>
      <c r="K225" s="59"/>
      <c r="L225" s="49"/>
      <c r="M225" s="49"/>
      <c r="N225" s="49"/>
      <c r="O225" s="59"/>
      <c r="P225" s="48">
        <f t="shared" si="22"/>
        <v>0</v>
      </c>
      <c r="Q225" s="193"/>
      <c r="R225" s="194"/>
      <c r="S225" s="77"/>
      <c r="T225" s="77"/>
    </row>
    <row r="226" spans="1:20" s="78" customFormat="1" ht="51" customHeight="1" hidden="1">
      <c r="A226" s="55" t="s">
        <v>114</v>
      </c>
      <c r="B226" s="56">
        <v>7363</v>
      </c>
      <c r="C226" s="55" t="s">
        <v>336</v>
      </c>
      <c r="D226" s="1" t="s">
        <v>112</v>
      </c>
      <c r="E226" s="48">
        <f t="shared" si="25"/>
        <v>0</v>
      </c>
      <c r="F226" s="49"/>
      <c r="G226" s="49"/>
      <c r="H226" s="49"/>
      <c r="I226" s="49"/>
      <c r="J226" s="50">
        <f t="shared" si="24"/>
        <v>0</v>
      </c>
      <c r="K226" s="59"/>
      <c r="L226" s="49"/>
      <c r="M226" s="49"/>
      <c r="N226" s="49"/>
      <c r="O226" s="59"/>
      <c r="P226" s="48">
        <f t="shared" si="22"/>
        <v>0</v>
      </c>
      <c r="Q226" s="193"/>
      <c r="R226" s="194"/>
      <c r="S226" s="77"/>
      <c r="T226" s="77"/>
    </row>
    <row r="227" spans="1:20" s="80" customFormat="1" ht="51" customHeight="1" hidden="1">
      <c r="A227" s="15"/>
      <c r="B227" s="16"/>
      <c r="C227" s="17"/>
      <c r="D227" s="18" t="s">
        <v>177</v>
      </c>
      <c r="E227" s="19">
        <f t="shared" si="25"/>
        <v>0</v>
      </c>
      <c r="F227" s="20"/>
      <c r="G227" s="20"/>
      <c r="H227" s="20"/>
      <c r="I227" s="20"/>
      <c r="J227" s="21">
        <f t="shared" si="24"/>
        <v>0</v>
      </c>
      <c r="K227" s="43"/>
      <c r="L227" s="20"/>
      <c r="M227" s="20"/>
      <c r="N227" s="20"/>
      <c r="O227" s="43"/>
      <c r="P227" s="19">
        <f t="shared" si="22"/>
        <v>0</v>
      </c>
      <c r="Q227" s="198"/>
      <c r="R227" s="232" t="s">
        <v>398</v>
      </c>
      <c r="S227" s="79"/>
      <c r="T227" s="79"/>
    </row>
    <row r="228" spans="1:20" s="78" customFormat="1" ht="39.75" customHeight="1">
      <c r="A228" s="62" t="s">
        <v>37</v>
      </c>
      <c r="B228" s="60">
        <v>7366</v>
      </c>
      <c r="C228" s="46" t="s">
        <v>336</v>
      </c>
      <c r="D228" s="61" t="s">
        <v>38</v>
      </c>
      <c r="E228" s="48">
        <f t="shared" si="25"/>
        <v>0</v>
      </c>
      <c r="F228" s="25"/>
      <c r="G228" s="25"/>
      <c r="H228" s="25"/>
      <c r="I228" s="25"/>
      <c r="J228" s="50">
        <f t="shared" si="24"/>
        <v>31537180</v>
      </c>
      <c r="K228" s="59">
        <v>31537180</v>
      </c>
      <c r="L228" s="25"/>
      <c r="M228" s="25"/>
      <c r="N228" s="25"/>
      <c r="O228" s="59">
        <v>31537180</v>
      </c>
      <c r="P228" s="48">
        <f t="shared" si="22"/>
        <v>31537180</v>
      </c>
      <c r="Q228" s="193"/>
      <c r="R228" s="194"/>
      <c r="S228" s="77"/>
      <c r="T228" s="77"/>
    </row>
    <row r="229" spans="1:20" s="78" customFormat="1" ht="45" customHeight="1" hidden="1">
      <c r="A229" s="22"/>
      <c r="B229" s="23"/>
      <c r="C229" s="118"/>
      <c r="D229" s="18" t="s">
        <v>39</v>
      </c>
      <c r="E229" s="19">
        <f t="shared" si="25"/>
        <v>0</v>
      </c>
      <c r="F229" s="25"/>
      <c r="G229" s="25"/>
      <c r="H229" s="25"/>
      <c r="I229" s="25"/>
      <c r="J229" s="21">
        <f t="shared" si="24"/>
        <v>0</v>
      </c>
      <c r="K229" s="43"/>
      <c r="L229" s="25"/>
      <c r="M229" s="25"/>
      <c r="N229" s="25"/>
      <c r="O229" s="43"/>
      <c r="P229" s="19">
        <f t="shared" si="22"/>
        <v>0</v>
      </c>
      <c r="Q229" s="198">
        <f>P229</f>
        <v>0</v>
      </c>
      <c r="R229" s="220" t="s">
        <v>377</v>
      </c>
      <c r="S229" s="77"/>
      <c r="T229" s="77"/>
    </row>
    <row r="230" spans="1:20" s="120" customFormat="1" ht="35.25" customHeight="1" hidden="1">
      <c r="A230" s="62" t="s">
        <v>147</v>
      </c>
      <c r="B230" s="60">
        <v>7368</v>
      </c>
      <c r="C230" s="46" t="s">
        <v>336</v>
      </c>
      <c r="D230" s="61" t="s">
        <v>146</v>
      </c>
      <c r="E230" s="48">
        <f t="shared" si="25"/>
        <v>0</v>
      </c>
      <c r="F230" s="59"/>
      <c r="G230" s="59"/>
      <c r="H230" s="59"/>
      <c r="I230" s="59"/>
      <c r="J230" s="50">
        <f t="shared" si="24"/>
        <v>0</v>
      </c>
      <c r="K230" s="59"/>
      <c r="L230" s="51"/>
      <c r="M230" s="51"/>
      <c r="N230" s="51"/>
      <c r="O230" s="59"/>
      <c r="P230" s="48">
        <f t="shared" si="22"/>
        <v>0</v>
      </c>
      <c r="Q230" s="193"/>
      <c r="R230" s="210"/>
      <c r="S230" s="119"/>
      <c r="T230" s="119"/>
    </row>
    <row r="231" spans="1:20" s="80" customFormat="1" ht="73.5" customHeight="1" hidden="1">
      <c r="A231" s="15"/>
      <c r="B231" s="16"/>
      <c r="C231" s="17"/>
      <c r="D231" s="18" t="s">
        <v>183</v>
      </c>
      <c r="E231" s="19">
        <f t="shared" si="25"/>
        <v>0</v>
      </c>
      <c r="F231" s="20"/>
      <c r="G231" s="20"/>
      <c r="H231" s="20"/>
      <c r="I231" s="20"/>
      <c r="J231" s="21">
        <f t="shared" si="24"/>
        <v>0</v>
      </c>
      <c r="K231" s="43"/>
      <c r="L231" s="20"/>
      <c r="M231" s="20"/>
      <c r="N231" s="20"/>
      <c r="O231" s="43"/>
      <c r="P231" s="19">
        <f t="shared" si="22"/>
        <v>0</v>
      </c>
      <c r="Q231" s="198">
        <f>P231</f>
        <v>0</v>
      </c>
      <c r="R231" s="232" t="s">
        <v>388</v>
      </c>
      <c r="S231" s="79"/>
      <c r="T231" s="79"/>
    </row>
    <row r="232" spans="1:20" s="120" customFormat="1" ht="39" customHeight="1">
      <c r="A232" s="62">
        <v>1517461</v>
      </c>
      <c r="B232" s="60">
        <v>7461</v>
      </c>
      <c r="C232" s="46" t="s">
        <v>477</v>
      </c>
      <c r="D232" s="121" t="s">
        <v>115</v>
      </c>
      <c r="E232" s="48">
        <f t="shared" si="25"/>
        <v>42000000</v>
      </c>
      <c r="F232" s="59">
        <v>42000000</v>
      </c>
      <c r="G232" s="59"/>
      <c r="H232" s="59"/>
      <c r="I232" s="59"/>
      <c r="J232" s="50">
        <f t="shared" si="24"/>
        <v>0</v>
      </c>
      <c r="K232" s="59"/>
      <c r="L232" s="59"/>
      <c r="M232" s="59"/>
      <c r="N232" s="59"/>
      <c r="O232" s="59"/>
      <c r="P232" s="48">
        <f>E232+J232</f>
        <v>42000000</v>
      </c>
      <c r="Q232" s="193"/>
      <c r="R232" s="210"/>
      <c r="S232" s="119"/>
      <c r="T232" s="119"/>
    </row>
    <row r="233" spans="1:20" s="98" customFormat="1" ht="40.5" customHeight="1" hidden="1">
      <c r="A233" s="55" t="s">
        <v>225</v>
      </c>
      <c r="B233" s="60">
        <v>7463</v>
      </c>
      <c r="C233" s="46" t="s">
        <v>477</v>
      </c>
      <c r="D233" s="121" t="s">
        <v>226</v>
      </c>
      <c r="E233" s="48">
        <f>F233+I233</f>
        <v>0</v>
      </c>
      <c r="F233" s="59"/>
      <c r="G233" s="59"/>
      <c r="H233" s="59"/>
      <c r="I233" s="59"/>
      <c r="J233" s="50">
        <f>L233+O233</f>
        <v>0</v>
      </c>
      <c r="K233" s="59"/>
      <c r="L233" s="59"/>
      <c r="M233" s="59"/>
      <c r="N233" s="59"/>
      <c r="O233" s="59"/>
      <c r="P233" s="48">
        <f>E233+J233</f>
        <v>0</v>
      </c>
      <c r="Q233" s="193"/>
      <c r="R233" s="201"/>
      <c r="S233" s="97"/>
      <c r="T233" s="97"/>
    </row>
    <row r="234" spans="1:20" s="75" customFormat="1" ht="63.75" customHeight="1" hidden="1">
      <c r="A234" s="15"/>
      <c r="B234" s="16"/>
      <c r="C234" s="17"/>
      <c r="D234" s="18" t="s">
        <v>41</v>
      </c>
      <c r="E234" s="19">
        <f>F234+I234</f>
        <v>0</v>
      </c>
      <c r="F234" s="20"/>
      <c r="G234" s="20"/>
      <c r="H234" s="20"/>
      <c r="I234" s="20"/>
      <c r="J234" s="21">
        <f>L234+O234</f>
        <v>0</v>
      </c>
      <c r="K234" s="43"/>
      <c r="L234" s="20"/>
      <c r="M234" s="20"/>
      <c r="N234" s="20"/>
      <c r="O234" s="43"/>
      <c r="P234" s="19">
        <f>E234+J234</f>
        <v>0</v>
      </c>
      <c r="Q234" s="198">
        <f>P234</f>
        <v>0</v>
      </c>
      <c r="R234" s="232" t="s">
        <v>395</v>
      </c>
      <c r="S234" s="74"/>
      <c r="T234" s="74"/>
    </row>
    <row r="235" spans="1:20" s="78" customFormat="1" ht="24" customHeight="1">
      <c r="A235" s="46" t="s">
        <v>132</v>
      </c>
      <c r="B235" s="47" t="s">
        <v>133</v>
      </c>
      <c r="C235" s="46" t="s">
        <v>135</v>
      </c>
      <c r="D235" s="44" t="s">
        <v>134</v>
      </c>
      <c r="E235" s="48">
        <f t="shared" si="25"/>
        <v>6800000</v>
      </c>
      <c r="F235" s="49">
        <v>6800000</v>
      </c>
      <c r="G235" s="49"/>
      <c r="H235" s="49"/>
      <c r="I235" s="49"/>
      <c r="J235" s="50">
        <f t="shared" si="24"/>
        <v>0</v>
      </c>
      <c r="K235" s="59"/>
      <c r="L235" s="49"/>
      <c r="M235" s="49"/>
      <c r="N235" s="49"/>
      <c r="O235" s="59"/>
      <c r="P235" s="48">
        <f t="shared" si="22"/>
        <v>6800000</v>
      </c>
      <c r="Q235" s="193"/>
      <c r="R235" s="194"/>
      <c r="S235" s="77"/>
      <c r="T235" s="77"/>
    </row>
    <row r="236" spans="1:20" s="78" customFormat="1" ht="20.25" customHeight="1">
      <c r="A236" s="46" t="s">
        <v>122</v>
      </c>
      <c r="B236" s="47" t="s">
        <v>333</v>
      </c>
      <c r="C236" s="46" t="s">
        <v>332</v>
      </c>
      <c r="D236" s="44" t="s">
        <v>334</v>
      </c>
      <c r="E236" s="48">
        <f t="shared" si="25"/>
        <v>199100</v>
      </c>
      <c r="F236" s="49">
        <f>199100</f>
        <v>199100</v>
      </c>
      <c r="G236" s="49"/>
      <c r="H236" s="49"/>
      <c r="I236" s="49"/>
      <c r="J236" s="50">
        <f t="shared" si="24"/>
        <v>9741593</v>
      </c>
      <c r="K236" s="59">
        <f>8260000+1481593</f>
        <v>9741593</v>
      </c>
      <c r="L236" s="49"/>
      <c r="M236" s="49"/>
      <c r="N236" s="49"/>
      <c r="O236" s="59">
        <f>8260000+1481593</f>
        <v>9741593</v>
      </c>
      <c r="P236" s="48">
        <f t="shared" si="22"/>
        <v>9940693</v>
      </c>
      <c r="Q236" s="193"/>
      <c r="R236" s="194"/>
      <c r="S236" s="77"/>
      <c r="T236" s="77"/>
    </row>
    <row r="237" spans="1:20" s="80" customFormat="1" ht="43.5" customHeight="1">
      <c r="A237" s="15"/>
      <c r="B237" s="16"/>
      <c r="C237" s="15"/>
      <c r="D237" s="3" t="s">
        <v>184</v>
      </c>
      <c r="E237" s="19">
        <f t="shared" si="25"/>
        <v>0</v>
      </c>
      <c r="F237" s="20"/>
      <c r="G237" s="20"/>
      <c r="H237" s="20"/>
      <c r="I237" s="20"/>
      <c r="J237" s="21">
        <f t="shared" si="24"/>
        <v>8260000</v>
      </c>
      <c r="K237" s="43">
        <f>8260000</f>
        <v>8260000</v>
      </c>
      <c r="L237" s="20"/>
      <c r="M237" s="20"/>
      <c r="N237" s="20"/>
      <c r="O237" s="43">
        <f>8260000</f>
        <v>8260000</v>
      </c>
      <c r="P237" s="19">
        <f t="shared" si="22"/>
        <v>8260000</v>
      </c>
      <c r="Q237" s="198"/>
      <c r="R237" s="232" t="s">
        <v>5</v>
      </c>
      <c r="S237" s="79"/>
      <c r="T237" s="79"/>
    </row>
    <row r="238" spans="1:20" s="78" customFormat="1" ht="26.25" customHeight="1">
      <c r="A238" s="46" t="s">
        <v>478</v>
      </c>
      <c r="B238" s="47" t="s">
        <v>337</v>
      </c>
      <c r="C238" s="46" t="s">
        <v>336</v>
      </c>
      <c r="D238" s="44" t="s">
        <v>338</v>
      </c>
      <c r="E238" s="48">
        <f t="shared" si="25"/>
        <v>0</v>
      </c>
      <c r="F238" s="49"/>
      <c r="G238" s="49"/>
      <c r="H238" s="49"/>
      <c r="I238" s="49"/>
      <c r="J238" s="50">
        <f t="shared" si="24"/>
        <v>35000000</v>
      </c>
      <c r="K238" s="59">
        <f>67000000-32000000-15000000+15000000</f>
        <v>35000000</v>
      </c>
      <c r="L238" s="49"/>
      <c r="M238" s="49"/>
      <c r="N238" s="49"/>
      <c r="O238" s="59">
        <f>67000000-32000000-15000000+15000000</f>
        <v>35000000</v>
      </c>
      <c r="P238" s="48">
        <f t="shared" si="22"/>
        <v>35000000</v>
      </c>
      <c r="Q238" s="193"/>
      <c r="R238" s="194"/>
      <c r="S238" s="77"/>
      <c r="T238" s="77"/>
    </row>
    <row r="239" spans="1:20" s="98" customFormat="1" ht="94.5" customHeight="1" hidden="1">
      <c r="A239" s="62" t="s">
        <v>150</v>
      </c>
      <c r="B239" s="60">
        <v>7691</v>
      </c>
      <c r="C239" s="46" t="s">
        <v>336</v>
      </c>
      <c r="D239" s="61" t="s">
        <v>151</v>
      </c>
      <c r="E239" s="48">
        <f t="shared" si="25"/>
        <v>0</v>
      </c>
      <c r="F239" s="59"/>
      <c r="G239" s="59"/>
      <c r="H239" s="59"/>
      <c r="I239" s="122"/>
      <c r="J239" s="50">
        <f t="shared" si="24"/>
        <v>0</v>
      </c>
      <c r="K239" s="59"/>
      <c r="L239" s="59"/>
      <c r="M239" s="59"/>
      <c r="N239" s="59"/>
      <c r="O239" s="59"/>
      <c r="P239" s="48">
        <f t="shared" si="22"/>
        <v>0</v>
      </c>
      <c r="Q239" s="193"/>
      <c r="R239" s="201"/>
      <c r="S239" s="97"/>
      <c r="T239" s="97"/>
    </row>
    <row r="240" spans="1:20" s="120" customFormat="1" ht="27.75" customHeight="1" hidden="1">
      <c r="A240" s="62" t="s">
        <v>224</v>
      </c>
      <c r="B240" s="60">
        <v>7693</v>
      </c>
      <c r="C240" s="46" t="s">
        <v>336</v>
      </c>
      <c r="D240" s="61" t="s">
        <v>228</v>
      </c>
      <c r="E240" s="48">
        <f t="shared" si="25"/>
        <v>0</v>
      </c>
      <c r="F240" s="59"/>
      <c r="G240" s="59"/>
      <c r="H240" s="59"/>
      <c r="I240" s="59"/>
      <c r="J240" s="50">
        <f t="shared" si="24"/>
        <v>0</v>
      </c>
      <c r="K240" s="59"/>
      <c r="L240" s="59"/>
      <c r="M240" s="59"/>
      <c r="N240" s="59"/>
      <c r="O240" s="59"/>
      <c r="P240" s="48">
        <f t="shared" si="22"/>
        <v>0</v>
      </c>
      <c r="Q240" s="193"/>
      <c r="R240" s="210"/>
      <c r="S240" s="119"/>
      <c r="T240" s="119"/>
    </row>
    <row r="241" spans="1:20" s="78" customFormat="1" ht="24" customHeight="1">
      <c r="A241" s="46" t="s">
        <v>136</v>
      </c>
      <c r="B241" s="47" t="s">
        <v>137</v>
      </c>
      <c r="C241" s="46" t="s">
        <v>139</v>
      </c>
      <c r="D241" s="44" t="s">
        <v>138</v>
      </c>
      <c r="E241" s="48">
        <f t="shared" si="25"/>
        <v>1921700</v>
      </c>
      <c r="F241" s="49">
        <v>1921700</v>
      </c>
      <c r="G241" s="49"/>
      <c r="H241" s="49"/>
      <c r="I241" s="49"/>
      <c r="J241" s="50">
        <f t="shared" si="24"/>
        <v>0</v>
      </c>
      <c r="K241" s="59"/>
      <c r="L241" s="49"/>
      <c r="M241" s="49"/>
      <c r="N241" s="49"/>
      <c r="O241" s="59"/>
      <c r="P241" s="48">
        <f t="shared" si="22"/>
        <v>1921700</v>
      </c>
      <c r="Q241" s="193"/>
      <c r="R241" s="194"/>
      <c r="S241" s="77"/>
      <c r="T241" s="77"/>
    </row>
    <row r="242" spans="1:20" s="52" customFormat="1" ht="23.25" customHeight="1">
      <c r="A242" s="58" t="s">
        <v>191</v>
      </c>
      <c r="B242" s="47">
        <v>8340</v>
      </c>
      <c r="C242" s="58" t="s">
        <v>523</v>
      </c>
      <c r="D242" s="44" t="s">
        <v>525</v>
      </c>
      <c r="E242" s="48">
        <f t="shared" si="25"/>
        <v>0</v>
      </c>
      <c r="F242" s="49"/>
      <c r="G242" s="49"/>
      <c r="H242" s="49"/>
      <c r="I242" s="49"/>
      <c r="J242" s="50">
        <f t="shared" si="24"/>
        <v>5000000</v>
      </c>
      <c r="K242" s="59"/>
      <c r="L242" s="49"/>
      <c r="M242" s="49"/>
      <c r="N242" s="49"/>
      <c r="O242" s="59">
        <f>5000000</f>
        <v>5000000</v>
      </c>
      <c r="P242" s="48">
        <f t="shared" si="22"/>
        <v>5000000</v>
      </c>
      <c r="Q242" s="193"/>
      <c r="R242" s="89"/>
      <c r="S242" s="100">
        <f>P242+P278</f>
        <v>9200000</v>
      </c>
      <c r="T242" s="76"/>
    </row>
    <row r="243" spans="1:20" s="117" customFormat="1" ht="33" customHeight="1">
      <c r="A243" s="110" t="s">
        <v>481</v>
      </c>
      <c r="B243" s="114"/>
      <c r="C243" s="108"/>
      <c r="D243" s="115" t="s">
        <v>482</v>
      </c>
      <c r="E243" s="99">
        <f aca="true" t="shared" si="26" ref="E243:E307">F243+I243</f>
        <v>3937967</v>
      </c>
      <c r="F243" s="99">
        <f>F244</f>
        <v>3937967</v>
      </c>
      <c r="G243" s="99">
        <f aca="true" t="shared" si="27" ref="G243:O243">G244</f>
        <v>2484208</v>
      </c>
      <c r="H243" s="99">
        <f t="shared" si="27"/>
        <v>464900</v>
      </c>
      <c r="I243" s="99">
        <f t="shared" si="27"/>
        <v>0</v>
      </c>
      <c r="J243" s="99">
        <f t="shared" si="24"/>
        <v>0</v>
      </c>
      <c r="K243" s="99">
        <f t="shared" si="27"/>
        <v>0</v>
      </c>
      <c r="L243" s="99">
        <f t="shared" si="27"/>
        <v>0</v>
      </c>
      <c r="M243" s="99">
        <f t="shared" si="27"/>
        <v>0</v>
      </c>
      <c r="N243" s="99">
        <f t="shared" si="27"/>
        <v>0</v>
      </c>
      <c r="O243" s="99">
        <f t="shared" si="27"/>
        <v>0</v>
      </c>
      <c r="P243" s="99">
        <f>P244</f>
        <v>3937967</v>
      </c>
      <c r="Q243" s="193"/>
      <c r="R243" s="196"/>
      <c r="S243" s="116"/>
      <c r="T243" s="116"/>
    </row>
    <row r="244" spans="1:20" s="176" customFormat="1" ht="36" customHeight="1">
      <c r="A244" s="169" t="s">
        <v>483</v>
      </c>
      <c r="B244" s="170"/>
      <c r="C244" s="171"/>
      <c r="D244" s="172" t="s">
        <v>23</v>
      </c>
      <c r="E244" s="173">
        <f>E245+E247+E248+E249+E246</f>
        <v>3937967</v>
      </c>
      <c r="F244" s="173">
        <f>F245+F247+F248+F249+F246</f>
        <v>3937967</v>
      </c>
      <c r="G244" s="173">
        <f>G245+G247+G248+G249</f>
        <v>2484208</v>
      </c>
      <c r="H244" s="173">
        <f>H245+H247+H248+H249</f>
        <v>464900</v>
      </c>
      <c r="I244" s="173">
        <f>I245+I247+I248+I249</f>
        <v>0</v>
      </c>
      <c r="J244" s="174">
        <f t="shared" si="24"/>
        <v>0</v>
      </c>
      <c r="K244" s="174">
        <f>K245+K247+K248+K249+K246</f>
        <v>0</v>
      </c>
      <c r="L244" s="174">
        <f>L245+L247+L248+L249+L246</f>
        <v>0</v>
      </c>
      <c r="M244" s="174">
        <f>M245+M247+M248+M249+M246</f>
        <v>0</v>
      </c>
      <c r="N244" s="174">
        <f>N245+N247+N248+N249+N246</f>
        <v>0</v>
      </c>
      <c r="O244" s="174">
        <f>O245+O247+O248+O249+O246</f>
        <v>0</v>
      </c>
      <c r="P244" s="173">
        <f>E244+J244</f>
        <v>3937967</v>
      </c>
      <c r="Q244" s="193"/>
      <c r="R244" s="197"/>
      <c r="S244" s="175"/>
      <c r="T244" s="175"/>
    </row>
    <row r="245" spans="1:20" s="52" customFormat="1" ht="35.25" customHeight="1">
      <c r="A245" s="46" t="s">
        <v>484</v>
      </c>
      <c r="B245" s="47" t="s">
        <v>264</v>
      </c>
      <c r="C245" s="46" t="s">
        <v>249</v>
      </c>
      <c r="D245" s="44" t="s">
        <v>265</v>
      </c>
      <c r="E245" s="48">
        <f t="shared" si="26"/>
        <v>3837967</v>
      </c>
      <c r="F245" s="49">
        <v>3837967</v>
      </c>
      <c r="G245" s="49">
        <v>2484208</v>
      </c>
      <c r="H245" s="49">
        <v>464900</v>
      </c>
      <c r="I245" s="49"/>
      <c r="J245" s="50">
        <f t="shared" si="24"/>
        <v>0</v>
      </c>
      <c r="K245" s="59"/>
      <c r="L245" s="49"/>
      <c r="M245" s="49"/>
      <c r="N245" s="49"/>
      <c r="O245" s="59"/>
      <c r="P245" s="48">
        <f t="shared" si="22"/>
        <v>3837967</v>
      </c>
      <c r="Q245" s="193"/>
      <c r="R245" s="89"/>
      <c r="S245" s="76"/>
      <c r="T245" s="76"/>
    </row>
    <row r="246" spans="1:20" s="52" customFormat="1" ht="35.25" customHeight="1" hidden="1">
      <c r="A246" s="58" t="s">
        <v>220</v>
      </c>
      <c r="B246" s="58" t="s">
        <v>572</v>
      </c>
      <c r="C246" s="58" t="s">
        <v>117</v>
      </c>
      <c r="D246" s="45" t="s">
        <v>118</v>
      </c>
      <c r="E246" s="48">
        <f t="shared" si="26"/>
        <v>0</v>
      </c>
      <c r="F246" s="59"/>
      <c r="G246" s="49"/>
      <c r="H246" s="49"/>
      <c r="I246" s="49"/>
      <c r="J246" s="50">
        <f>L246+O246</f>
        <v>0</v>
      </c>
      <c r="K246" s="59"/>
      <c r="L246" s="49"/>
      <c r="M246" s="49"/>
      <c r="N246" s="49"/>
      <c r="O246" s="59"/>
      <c r="P246" s="48">
        <f t="shared" si="22"/>
        <v>0</v>
      </c>
      <c r="Q246" s="193"/>
      <c r="R246" s="89"/>
      <c r="S246" s="76"/>
      <c r="T246" s="76"/>
    </row>
    <row r="247" spans="1:20" s="52" customFormat="1" ht="21.75" customHeight="1">
      <c r="A247" s="46" t="s">
        <v>485</v>
      </c>
      <c r="B247" s="47" t="s">
        <v>254</v>
      </c>
      <c r="C247" s="46" t="s">
        <v>253</v>
      </c>
      <c r="D247" s="44" t="s">
        <v>255</v>
      </c>
      <c r="E247" s="48">
        <f t="shared" si="26"/>
        <v>100000</v>
      </c>
      <c r="F247" s="49">
        <v>100000</v>
      </c>
      <c r="G247" s="49"/>
      <c r="H247" s="49"/>
      <c r="I247" s="49"/>
      <c r="J247" s="50">
        <f t="shared" si="24"/>
        <v>0</v>
      </c>
      <c r="K247" s="59"/>
      <c r="L247" s="49"/>
      <c r="M247" s="49"/>
      <c r="N247" s="49"/>
      <c r="O247" s="59"/>
      <c r="P247" s="48">
        <f t="shared" si="22"/>
        <v>100000</v>
      </c>
      <c r="Q247" s="193"/>
      <c r="R247" s="89"/>
      <c r="S247" s="76"/>
      <c r="T247" s="76"/>
    </row>
    <row r="248" spans="1:20" s="52" customFormat="1" ht="33.75" customHeight="1" hidden="1">
      <c r="A248" s="46" t="s">
        <v>126</v>
      </c>
      <c r="B248" s="47" t="s">
        <v>127</v>
      </c>
      <c r="C248" s="46" t="s">
        <v>328</v>
      </c>
      <c r="D248" s="45" t="s">
        <v>128</v>
      </c>
      <c r="E248" s="48">
        <f>F248+I248</f>
        <v>0</v>
      </c>
      <c r="F248" s="59"/>
      <c r="G248" s="49"/>
      <c r="H248" s="49"/>
      <c r="I248" s="49"/>
      <c r="J248" s="50">
        <f t="shared" si="24"/>
        <v>0</v>
      </c>
      <c r="K248" s="59"/>
      <c r="L248" s="49"/>
      <c r="M248" s="49"/>
      <c r="N248" s="49"/>
      <c r="O248" s="59"/>
      <c r="P248" s="48">
        <f>E248+J248</f>
        <v>0</v>
      </c>
      <c r="Q248" s="193"/>
      <c r="R248" s="89"/>
      <c r="S248" s="76"/>
      <c r="T248" s="76"/>
    </row>
    <row r="249" spans="1:20" s="52" customFormat="1" ht="18.75" customHeight="1" hidden="1">
      <c r="A249" s="46" t="s">
        <v>486</v>
      </c>
      <c r="B249" s="47" t="s">
        <v>479</v>
      </c>
      <c r="C249" s="46" t="s">
        <v>254</v>
      </c>
      <c r="D249" s="44" t="s">
        <v>480</v>
      </c>
      <c r="E249" s="48">
        <f t="shared" si="26"/>
        <v>0</v>
      </c>
      <c r="F249" s="59"/>
      <c r="G249" s="49"/>
      <c r="H249" s="49"/>
      <c r="I249" s="49"/>
      <c r="J249" s="50">
        <f t="shared" si="24"/>
        <v>0</v>
      </c>
      <c r="K249" s="59"/>
      <c r="L249" s="49"/>
      <c r="M249" s="49"/>
      <c r="N249" s="49"/>
      <c r="O249" s="59"/>
      <c r="P249" s="48">
        <f t="shared" si="22"/>
        <v>0</v>
      </c>
      <c r="Q249" s="193"/>
      <c r="R249" s="89"/>
      <c r="S249" s="76"/>
      <c r="T249" s="76"/>
    </row>
    <row r="250" spans="1:20" s="83" customFormat="1" ht="39" customHeight="1" hidden="1">
      <c r="A250" s="22"/>
      <c r="B250" s="23"/>
      <c r="C250" s="22"/>
      <c r="D250" s="28" t="s">
        <v>54</v>
      </c>
      <c r="E250" s="24">
        <f t="shared" si="26"/>
        <v>0</v>
      </c>
      <c r="F250" s="25"/>
      <c r="G250" s="25"/>
      <c r="H250" s="25"/>
      <c r="I250" s="25"/>
      <c r="J250" s="50">
        <f t="shared" si="24"/>
        <v>0</v>
      </c>
      <c r="K250" s="27"/>
      <c r="L250" s="25"/>
      <c r="M250" s="25"/>
      <c r="N250" s="25"/>
      <c r="O250" s="27"/>
      <c r="P250" s="24">
        <f t="shared" si="22"/>
        <v>0</v>
      </c>
      <c r="Q250" s="193"/>
      <c r="R250" s="14"/>
      <c r="S250" s="82"/>
      <c r="T250" s="82"/>
    </row>
    <row r="251" spans="1:20" s="117" customFormat="1" ht="36.75" customHeight="1">
      <c r="A251" s="110" t="s">
        <v>487</v>
      </c>
      <c r="B251" s="114"/>
      <c r="C251" s="108"/>
      <c r="D251" s="115" t="s">
        <v>488</v>
      </c>
      <c r="E251" s="99">
        <f>F251+I251</f>
        <v>2178789</v>
      </c>
      <c r="F251" s="99">
        <f>F252</f>
        <v>2178789</v>
      </c>
      <c r="G251" s="99">
        <f>G252</f>
        <v>1537009</v>
      </c>
      <c r="H251" s="99">
        <f>H252</f>
        <v>87950</v>
      </c>
      <c r="I251" s="99">
        <f>I252</f>
        <v>0</v>
      </c>
      <c r="J251" s="99">
        <f t="shared" si="24"/>
        <v>0</v>
      </c>
      <c r="K251" s="99">
        <f>K252</f>
        <v>0</v>
      </c>
      <c r="L251" s="99">
        <f>L252</f>
        <v>0</v>
      </c>
      <c r="M251" s="99">
        <f>M252</f>
        <v>0</v>
      </c>
      <c r="N251" s="99">
        <f>N252</f>
        <v>0</v>
      </c>
      <c r="O251" s="99">
        <f>O252</f>
        <v>0</v>
      </c>
      <c r="P251" s="99">
        <f>E251+J251</f>
        <v>2178789</v>
      </c>
      <c r="Q251" s="193"/>
      <c r="R251" s="196"/>
      <c r="S251" s="116"/>
      <c r="T251" s="116"/>
    </row>
    <row r="252" spans="1:20" s="176" customFormat="1" ht="36.75" customHeight="1">
      <c r="A252" s="169" t="s">
        <v>489</v>
      </c>
      <c r="B252" s="170"/>
      <c r="C252" s="171"/>
      <c r="D252" s="172" t="s">
        <v>22</v>
      </c>
      <c r="E252" s="173">
        <f>F252+I252</f>
        <v>2178789</v>
      </c>
      <c r="F252" s="173">
        <f>F253+F254</f>
        <v>2178789</v>
      </c>
      <c r="G252" s="173">
        <f>G253+G254</f>
        <v>1537009</v>
      </c>
      <c r="H252" s="173">
        <f>H253+H254</f>
        <v>87950</v>
      </c>
      <c r="I252" s="173">
        <f>I253+I254</f>
        <v>0</v>
      </c>
      <c r="J252" s="174">
        <f t="shared" si="24"/>
        <v>0</v>
      </c>
      <c r="K252" s="174">
        <f>K253+K254</f>
        <v>0</v>
      </c>
      <c r="L252" s="174">
        <f>L253+L254</f>
        <v>0</v>
      </c>
      <c r="M252" s="174">
        <f>M253+M254</f>
        <v>0</v>
      </c>
      <c r="N252" s="174">
        <f>N253+N254</f>
        <v>0</v>
      </c>
      <c r="O252" s="174">
        <f>O253+O254</f>
        <v>0</v>
      </c>
      <c r="P252" s="173">
        <f>E252+J252</f>
        <v>2178789</v>
      </c>
      <c r="Q252" s="193"/>
      <c r="R252" s="197"/>
      <c r="S252" s="175"/>
      <c r="T252" s="175"/>
    </row>
    <row r="253" spans="1:20" s="52" customFormat="1" ht="34.5" customHeight="1">
      <c r="A253" s="46" t="s">
        <v>490</v>
      </c>
      <c r="B253" s="47" t="s">
        <v>264</v>
      </c>
      <c r="C253" s="46" t="s">
        <v>249</v>
      </c>
      <c r="D253" s="44" t="s">
        <v>265</v>
      </c>
      <c r="E253" s="48">
        <f t="shared" si="26"/>
        <v>2116789</v>
      </c>
      <c r="F253" s="49">
        <v>2116789</v>
      </c>
      <c r="G253" s="49">
        <v>1537009</v>
      </c>
      <c r="H253" s="49">
        <v>87950</v>
      </c>
      <c r="I253" s="49"/>
      <c r="J253" s="50">
        <f t="shared" si="24"/>
        <v>0</v>
      </c>
      <c r="K253" s="59"/>
      <c r="L253" s="49"/>
      <c r="M253" s="49"/>
      <c r="N253" s="49"/>
      <c r="O253" s="59"/>
      <c r="P253" s="48">
        <f t="shared" si="22"/>
        <v>2116789</v>
      </c>
      <c r="Q253" s="193"/>
      <c r="R253" s="89"/>
      <c r="S253" s="76"/>
      <c r="T253" s="76"/>
    </row>
    <row r="254" spans="1:20" s="52" customFormat="1" ht="24.75" customHeight="1">
      <c r="A254" s="46" t="s">
        <v>491</v>
      </c>
      <c r="B254" s="47" t="s">
        <v>254</v>
      </c>
      <c r="C254" s="46" t="s">
        <v>253</v>
      </c>
      <c r="D254" s="44" t="s">
        <v>255</v>
      </c>
      <c r="E254" s="48">
        <f t="shared" si="26"/>
        <v>62000</v>
      </c>
      <c r="F254" s="49">
        <v>62000</v>
      </c>
      <c r="G254" s="49"/>
      <c r="H254" s="49"/>
      <c r="I254" s="49"/>
      <c r="J254" s="50">
        <f t="shared" si="24"/>
        <v>0</v>
      </c>
      <c r="K254" s="59"/>
      <c r="L254" s="49"/>
      <c r="M254" s="49"/>
      <c r="N254" s="49"/>
      <c r="O254" s="59"/>
      <c r="P254" s="48">
        <f t="shared" si="22"/>
        <v>62000</v>
      </c>
      <c r="Q254" s="193"/>
      <c r="R254" s="89"/>
      <c r="S254" s="76"/>
      <c r="T254" s="76"/>
    </row>
    <row r="255" spans="1:20" s="117" customFormat="1" ht="40.5" customHeight="1">
      <c r="A255" s="110" t="s">
        <v>492</v>
      </c>
      <c r="B255" s="114"/>
      <c r="C255" s="108"/>
      <c r="D255" s="115" t="s">
        <v>212</v>
      </c>
      <c r="E255" s="99">
        <f>F255+I255</f>
        <v>71039938</v>
      </c>
      <c r="F255" s="99">
        <f>F256</f>
        <v>2639938</v>
      </c>
      <c r="G255" s="99">
        <f>G256</f>
        <v>1311666</v>
      </c>
      <c r="H255" s="99">
        <f>H256</f>
        <v>85200</v>
      </c>
      <c r="I255" s="99">
        <f>I256</f>
        <v>68400000</v>
      </c>
      <c r="J255" s="99">
        <f t="shared" si="24"/>
        <v>2005500</v>
      </c>
      <c r="K255" s="99">
        <f>K256</f>
        <v>2000000</v>
      </c>
      <c r="L255" s="99">
        <f>L256</f>
        <v>5500</v>
      </c>
      <c r="M255" s="99">
        <f>M256</f>
        <v>0</v>
      </c>
      <c r="N255" s="99">
        <f>N256</f>
        <v>0</v>
      </c>
      <c r="O255" s="99">
        <f>O256</f>
        <v>2000000</v>
      </c>
      <c r="P255" s="99">
        <f>E255+J255</f>
        <v>73045438</v>
      </c>
      <c r="Q255" s="193"/>
      <c r="R255" s="196"/>
      <c r="S255" s="116"/>
      <c r="T255" s="116"/>
    </row>
    <row r="256" spans="1:20" s="176" customFormat="1" ht="33.75" customHeight="1">
      <c r="A256" s="169" t="s">
        <v>493</v>
      </c>
      <c r="B256" s="170"/>
      <c r="C256" s="171"/>
      <c r="D256" s="172" t="s">
        <v>21</v>
      </c>
      <c r="E256" s="173">
        <f t="shared" si="26"/>
        <v>71039938</v>
      </c>
      <c r="F256" s="173">
        <f>F257+F258+F259+F260+F261+F262</f>
        <v>2639938</v>
      </c>
      <c r="G256" s="173">
        <f>G257+G258+G259+G260+G261+G262</f>
        <v>1311666</v>
      </c>
      <c r="H256" s="173">
        <f>H257+H258+H259+H260+H261+H262</f>
        <v>85200</v>
      </c>
      <c r="I256" s="173">
        <f>I257+I258+I259+I260+I261+I262</f>
        <v>68400000</v>
      </c>
      <c r="J256" s="174">
        <f>L256+O256</f>
        <v>2005500</v>
      </c>
      <c r="K256" s="174">
        <f>K257+K258+K259+K260+K261+K262</f>
        <v>2000000</v>
      </c>
      <c r="L256" s="174">
        <f>L257+L258+L259+L260+L261+L262</f>
        <v>5500</v>
      </c>
      <c r="M256" s="174">
        <f>M257+M258+M259+M260+M261+M262</f>
        <v>0</v>
      </c>
      <c r="N256" s="174">
        <f>N257+N258+N259+N260+N261+N262</f>
        <v>0</v>
      </c>
      <c r="O256" s="174">
        <f>O257+O258+O259+O260+O261+O262</f>
        <v>2000000</v>
      </c>
      <c r="P256" s="173">
        <f>E256+J256</f>
        <v>73045438</v>
      </c>
      <c r="Q256" s="193"/>
      <c r="R256" s="197"/>
      <c r="S256" s="175"/>
      <c r="T256" s="175"/>
    </row>
    <row r="257" spans="1:20" s="52" customFormat="1" ht="39" customHeight="1">
      <c r="A257" s="46" t="s">
        <v>494</v>
      </c>
      <c r="B257" s="47" t="s">
        <v>264</v>
      </c>
      <c r="C257" s="46" t="s">
        <v>249</v>
      </c>
      <c r="D257" s="44" t="s">
        <v>265</v>
      </c>
      <c r="E257" s="48">
        <f t="shared" si="26"/>
        <v>1917938</v>
      </c>
      <c r="F257" s="49">
        <v>1917938</v>
      </c>
      <c r="G257" s="49">
        <v>1311666</v>
      </c>
      <c r="H257" s="49">
        <v>85200</v>
      </c>
      <c r="I257" s="49"/>
      <c r="J257" s="50">
        <f>L257+O257</f>
        <v>0</v>
      </c>
      <c r="K257" s="59"/>
      <c r="L257" s="49"/>
      <c r="M257" s="49"/>
      <c r="N257" s="49"/>
      <c r="O257" s="59"/>
      <c r="P257" s="48">
        <f t="shared" si="22"/>
        <v>1917938</v>
      </c>
      <c r="Q257" s="193">
        <f>P256-P257-P258</f>
        <v>70905500</v>
      </c>
      <c r="R257" s="89"/>
      <c r="S257" s="76"/>
      <c r="T257" s="76"/>
    </row>
    <row r="258" spans="1:20" s="52" customFormat="1" ht="21.75" customHeight="1">
      <c r="A258" s="46" t="s">
        <v>495</v>
      </c>
      <c r="B258" s="47" t="s">
        <v>254</v>
      </c>
      <c r="C258" s="46" t="s">
        <v>253</v>
      </c>
      <c r="D258" s="44" t="s">
        <v>255</v>
      </c>
      <c r="E258" s="48">
        <f t="shared" si="26"/>
        <v>222000</v>
      </c>
      <c r="F258" s="49">
        <v>222000</v>
      </c>
      <c r="G258" s="49"/>
      <c r="H258" s="49"/>
      <c r="I258" s="49"/>
      <c r="J258" s="50">
        <f t="shared" si="24"/>
        <v>0</v>
      </c>
      <c r="K258" s="59"/>
      <c r="L258" s="49"/>
      <c r="M258" s="49"/>
      <c r="N258" s="49"/>
      <c r="O258" s="59"/>
      <c r="P258" s="48">
        <f t="shared" si="22"/>
        <v>222000</v>
      </c>
      <c r="Q258" s="193"/>
      <c r="R258" s="89"/>
      <c r="S258" s="76"/>
      <c r="T258" s="76"/>
    </row>
    <row r="259" spans="1:20" s="52" customFormat="1" ht="21.75" customHeight="1">
      <c r="A259" s="46" t="s">
        <v>496</v>
      </c>
      <c r="B259" s="47" t="s">
        <v>498</v>
      </c>
      <c r="C259" s="46" t="s">
        <v>497</v>
      </c>
      <c r="D259" s="44" t="s">
        <v>499</v>
      </c>
      <c r="E259" s="48">
        <f t="shared" si="26"/>
        <v>500000</v>
      </c>
      <c r="F259" s="49">
        <v>500000</v>
      </c>
      <c r="G259" s="49"/>
      <c r="H259" s="49"/>
      <c r="I259" s="49"/>
      <c r="J259" s="50">
        <f t="shared" si="24"/>
        <v>5500</v>
      </c>
      <c r="K259" s="59"/>
      <c r="L259" s="49">
        <v>5500</v>
      </c>
      <c r="M259" s="49"/>
      <c r="N259" s="49"/>
      <c r="O259" s="59"/>
      <c r="P259" s="48">
        <f t="shared" si="22"/>
        <v>505500</v>
      </c>
      <c r="Q259" s="193"/>
      <c r="R259" s="89"/>
      <c r="S259" s="76"/>
      <c r="T259" s="76"/>
    </row>
    <row r="260" spans="1:20" s="52" customFormat="1" ht="21.75" customHeight="1">
      <c r="A260" s="46" t="s">
        <v>500</v>
      </c>
      <c r="B260" s="47" t="s">
        <v>502</v>
      </c>
      <c r="C260" s="46" t="s">
        <v>501</v>
      </c>
      <c r="D260" s="44" t="s">
        <v>503</v>
      </c>
      <c r="E260" s="48">
        <f t="shared" si="26"/>
        <v>68400000</v>
      </c>
      <c r="F260" s="49"/>
      <c r="G260" s="49"/>
      <c r="H260" s="49"/>
      <c r="I260" s="49">
        <v>68400000</v>
      </c>
      <c r="J260" s="50">
        <f t="shared" si="24"/>
        <v>0</v>
      </c>
      <c r="K260" s="59"/>
      <c r="L260" s="49"/>
      <c r="M260" s="49"/>
      <c r="N260" s="49"/>
      <c r="O260" s="59"/>
      <c r="P260" s="48">
        <f t="shared" si="22"/>
        <v>68400000</v>
      </c>
      <c r="Q260" s="193"/>
      <c r="R260" s="89"/>
      <c r="S260" s="76"/>
      <c r="T260" s="76"/>
    </row>
    <row r="261" spans="1:20" s="52" customFormat="1" ht="19.5" customHeight="1" hidden="1">
      <c r="A261" s="46" t="s">
        <v>12</v>
      </c>
      <c r="B261" s="47">
        <v>7450</v>
      </c>
      <c r="C261" s="46" t="s">
        <v>477</v>
      </c>
      <c r="D261" s="44" t="s">
        <v>13</v>
      </c>
      <c r="E261" s="48">
        <f t="shared" si="26"/>
        <v>0</v>
      </c>
      <c r="F261" s="49"/>
      <c r="G261" s="49"/>
      <c r="H261" s="49"/>
      <c r="I261" s="49"/>
      <c r="J261" s="50">
        <f t="shared" si="24"/>
        <v>0</v>
      </c>
      <c r="K261" s="59"/>
      <c r="L261" s="49"/>
      <c r="M261" s="49"/>
      <c r="N261" s="49"/>
      <c r="O261" s="59"/>
      <c r="P261" s="48">
        <f aca="true" t="shared" si="28" ref="P261:P318">E261+J261</f>
        <v>0</v>
      </c>
      <c r="Q261" s="193"/>
      <c r="R261" s="89"/>
      <c r="S261" s="76"/>
      <c r="T261" s="76"/>
    </row>
    <row r="262" spans="1:20" s="52" customFormat="1" ht="24" customHeight="1">
      <c r="A262" s="46" t="s">
        <v>504</v>
      </c>
      <c r="B262" s="47" t="s">
        <v>337</v>
      </c>
      <c r="C262" s="46" t="s">
        <v>336</v>
      </c>
      <c r="D262" s="44" t="s">
        <v>338</v>
      </c>
      <c r="E262" s="48">
        <f t="shared" si="26"/>
        <v>0</v>
      </c>
      <c r="F262" s="49"/>
      <c r="G262" s="49"/>
      <c r="H262" s="49"/>
      <c r="I262" s="49"/>
      <c r="J262" s="50">
        <f t="shared" si="24"/>
        <v>2000000</v>
      </c>
      <c r="K262" s="59">
        <v>2000000</v>
      </c>
      <c r="L262" s="49"/>
      <c r="M262" s="49"/>
      <c r="N262" s="49"/>
      <c r="O262" s="59">
        <v>2000000</v>
      </c>
      <c r="P262" s="48">
        <f t="shared" si="28"/>
        <v>2000000</v>
      </c>
      <c r="Q262" s="193"/>
      <c r="R262" s="89"/>
      <c r="S262" s="76"/>
      <c r="T262" s="76"/>
    </row>
    <row r="263" spans="1:20" s="117" customFormat="1" ht="33" customHeight="1">
      <c r="A263" s="110" t="s">
        <v>505</v>
      </c>
      <c r="B263" s="114"/>
      <c r="C263" s="108"/>
      <c r="D263" s="115" t="s">
        <v>506</v>
      </c>
      <c r="E263" s="99">
        <f t="shared" si="26"/>
        <v>9439696</v>
      </c>
      <c r="F263" s="99">
        <f>F264</f>
        <v>9439696</v>
      </c>
      <c r="G263" s="99">
        <f>G264</f>
        <v>3853009</v>
      </c>
      <c r="H263" s="99">
        <f>H264</f>
        <v>145981</v>
      </c>
      <c r="I263" s="99">
        <f>I264</f>
        <v>0</v>
      </c>
      <c r="J263" s="99">
        <f t="shared" si="24"/>
        <v>0</v>
      </c>
      <c r="K263" s="99">
        <f>K264</f>
        <v>0</v>
      </c>
      <c r="L263" s="99">
        <f>L264</f>
        <v>0</v>
      </c>
      <c r="M263" s="99">
        <f>M264</f>
        <v>0</v>
      </c>
      <c r="N263" s="99">
        <f>N264</f>
        <v>0</v>
      </c>
      <c r="O263" s="99">
        <f>O264</f>
        <v>0</v>
      </c>
      <c r="P263" s="99">
        <f>E263+J263</f>
        <v>9439696</v>
      </c>
      <c r="Q263" s="193"/>
      <c r="R263" s="196"/>
      <c r="S263" s="116"/>
      <c r="T263" s="116"/>
    </row>
    <row r="264" spans="1:20" s="176" customFormat="1" ht="34.5" customHeight="1">
      <c r="A264" s="169" t="s">
        <v>507</v>
      </c>
      <c r="B264" s="170"/>
      <c r="C264" s="171"/>
      <c r="D264" s="172" t="s">
        <v>17</v>
      </c>
      <c r="E264" s="173">
        <f t="shared" si="26"/>
        <v>9439696</v>
      </c>
      <c r="F264" s="173">
        <f>F265+F266+F267+F268+F269+F270</f>
        <v>9439696</v>
      </c>
      <c r="G264" s="173">
        <f>G265+G266+G267+G268+G269+G270</f>
        <v>3853009</v>
      </c>
      <c r="H264" s="173">
        <f>H265+H266+H267+H268+H269+H270</f>
        <v>145981</v>
      </c>
      <c r="I264" s="173">
        <f>I265+I266+I267+I268+I269+I270</f>
        <v>0</v>
      </c>
      <c r="J264" s="174">
        <f t="shared" si="24"/>
        <v>0</v>
      </c>
      <c r="K264" s="174">
        <f>K265+K266+K267+K268+K269+K270</f>
        <v>0</v>
      </c>
      <c r="L264" s="174">
        <f>L265+L266+L267+L268+L269+L270</f>
        <v>0</v>
      </c>
      <c r="M264" s="174">
        <f>M265+M266+M267+M268+M269+M270</f>
        <v>0</v>
      </c>
      <c r="N264" s="174">
        <f>N265+N266+N267+N268+N269+N270</f>
        <v>0</v>
      </c>
      <c r="O264" s="174">
        <f>O265+O266+O267+O268+O269+O270</f>
        <v>0</v>
      </c>
      <c r="P264" s="173">
        <f>E264+J264</f>
        <v>9439696</v>
      </c>
      <c r="Q264" s="193"/>
      <c r="R264" s="197"/>
      <c r="S264" s="175"/>
      <c r="T264" s="175"/>
    </row>
    <row r="265" spans="1:20" s="52" customFormat="1" ht="35.25" customHeight="1">
      <c r="A265" s="46" t="s">
        <v>508</v>
      </c>
      <c r="B265" s="47" t="s">
        <v>264</v>
      </c>
      <c r="C265" s="46" t="s">
        <v>249</v>
      </c>
      <c r="D265" s="44" t="s">
        <v>265</v>
      </c>
      <c r="E265" s="48">
        <f t="shared" si="26"/>
        <v>5298696</v>
      </c>
      <c r="F265" s="49">
        <v>5298696</v>
      </c>
      <c r="G265" s="49">
        <v>3853009</v>
      </c>
      <c r="H265" s="49">
        <v>145981</v>
      </c>
      <c r="I265" s="49"/>
      <c r="J265" s="50">
        <f t="shared" si="24"/>
        <v>0</v>
      </c>
      <c r="K265" s="59"/>
      <c r="L265" s="49"/>
      <c r="M265" s="49"/>
      <c r="N265" s="49"/>
      <c r="O265" s="59"/>
      <c r="P265" s="48">
        <f>E265+J265</f>
        <v>5298696</v>
      </c>
      <c r="Q265" s="193"/>
      <c r="R265" s="89"/>
      <c r="S265" s="76"/>
      <c r="T265" s="76"/>
    </row>
    <row r="266" spans="1:20" s="52" customFormat="1" ht="39" customHeight="1" hidden="1">
      <c r="A266" s="58" t="s">
        <v>222</v>
      </c>
      <c r="B266" s="58" t="s">
        <v>572</v>
      </c>
      <c r="C266" s="58" t="s">
        <v>117</v>
      </c>
      <c r="D266" s="45" t="s">
        <v>118</v>
      </c>
      <c r="E266" s="48">
        <f t="shared" si="26"/>
        <v>0</v>
      </c>
      <c r="F266" s="59"/>
      <c r="G266" s="49"/>
      <c r="H266" s="49"/>
      <c r="I266" s="49"/>
      <c r="J266" s="50">
        <f>L266+O266</f>
        <v>0</v>
      </c>
      <c r="K266" s="59"/>
      <c r="L266" s="49"/>
      <c r="M266" s="49"/>
      <c r="N266" s="49"/>
      <c r="O266" s="59"/>
      <c r="P266" s="48">
        <f>E266+J266</f>
        <v>0</v>
      </c>
      <c r="Q266" s="193"/>
      <c r="R266" s="89"/>
      <c r="S266" s="76"/>
      <c r="T266" s="76"/>
    </row>
    <row r="267" spans="1:20" s="52" customFormat="1" ht="23.25" customHeight="1">
      <c r="A267" s="46" t="s">
        <v>509</v>
      </c>
      <c r="B267" s="47" t="s">
        <v>254</v>
      </c>
      <c r="C267" s="46" t="s">
        <v>253</v>
      </c>
      <c r="D267" s="44" t="s">
        <v>255</v>
      </c>
      <c r="E267" s="48">
        <f t="shared" si="26"/>
        <v>241000</v>
      </c>
      <c r="F267" s="49">
        <v>241000</v>
      </c>
      <c r="G267" s="49"/>
      <c r="H267" s="49"/>
      <c r="I267" s="49"/>
      <c r="J267" s="50">
        <f aca="true" t="shared" si="29" ref="J267:J324">L267+O267</f>
        <v>0</v>
      </c>
      <c r="K267" s="59"/>
      <c r="L267" s="49"/>
      <c r="M267" s="49"/>
      <c r="N267" s="49"/>
      <c r="O267" s="59"/>
      <c r="P267" s="48">
        <f t="shared" si="28"/>
        <v>241000</v>
      </c>
      <c r="Q267" s="193"/>
      <c r="R267" s="89"/>
      <c r="S267" s="76"/>
      <c r="T267" s="76"/>
    </row>
    <row r="268" spans="1:20" s="52" customFormat="1" ht="30.75" customHeight="1" hidden="1">
      <c r="A268" s="46" t="s">
        <v>510</v>
      </c>
      <c r="B268" s="47" t="s">
        <v>511</v>
      </c>
      <c r="C268" s="46" t="s">
        <v>332</v>
      </c>
      <c r="D268" s="44" t="s">
        <v>512</v>
      </c>
      <c r="E268" s="48">
        <f t="shared" si="26"/>
        <v>0</v>
      </c>
      <c r="F268" s="49"/>
      <c r="G268" s="49"/>
      <c r="H268" s="49"/>
      <c r="I268" s="49"/>
      <c r="J268" s="50">
        <f t="shared" si="29"/>
        <v>0</v>
      </c>
      <c r="K268" s="59"/>
      <c r="L268" s="49"/>
      <c r="M268" s="49"/>
      <c r="N268" s="49"/>
      <c r="O268" s="59"/>
      <c r="P268" s="48">
        <f t="shared" si="28"/>
        <v>0</v>
      </c>
      <c r="Q268" s="193"/>
      <c r="R268" s="89"/>
      <c r="S268" s="76"/>
      <c r="T268" s="76"/>
    </row>
    <row r="269" spans="1:20" s="52" customFormat="1" ht="20.25" customHeight="1" hidden="1">
      <c r="A269" s="46" t="s">
        <v>513</v>
      </c>
      <c r="B269" s="47" t="s">
        <v>333</v>
      </c>
      <c r="C269" s="46" t="s">
        <v>332</v>
      </c>
      <c r="D269" s="44" t="s">
        <v>334</v>
      </c>
      <c r="E269" s="48">
        <f t="shared" si="26"/>
        <v>0</v>
      </c>
      <c r="F269" s="49"/>
      <c r="G269" s="49"/>
      <c r="H269" s="49"/>
      <c r="I269" s="49"/>
      <c r="J269" s="50">
        <f t="shared" si="29"/>
        <v>0</v>
      </c>
      <c r="K269" s="59"/>
      <c r="L269" s="49"/>
      <c r="M269" s="49"/>
      <c r="N269" s="49"/>
      <c r="O269" s="59"/>
      <c r="P269" s="48">
        <f t="shared" si="28"/>
        <v>0</v>
      </c>
      <c r="Q269" s="193"/>
      <c r="R269" s="89"/>
      <c r="S269" s="76"/>
      <c r="T269" s="76"/>
    </row>
    <row r="270" spans="1:20" s="52" customFormat="1" ht="24" customHeight="1">
      <c r="A270" s="46" t="s">
        <v>514</v>
      </c>
      <c r="B270" s="47" t="s">
        <v>515</v>
      </c>
      <c r="C270" s="46" t="s">
        <v>336</v>
      </c>
      <c r="D270" s="44" t="s">
        <v>516</v>
      </c>
      <c r="E270" s="48">
        <f t="shared" si="26"/>
        <v>3900000</v>
      </c>
      <c r="F270" s="49">
        <v>3900000</v>
      </c>
      <c r="G270" s="49"/>
      <c r="H270" s="49"/>
      <c r="I270" s="49"/>
      <c r="J270" s="50">
        <f t="shared" si="29"/>
        <v>0</v>
      </c>
      <c r="K270" s="59"/>
      <c r="L270" s="49"/>
      <c r="M270" s="49"/>
      <c r="N270" s="49"/>
      <c r="O270" s="59"/>
      <c r="P270" s="48">
        <f t="shared" si="28"/>
        <v>3900000</v>
      </c>
      <c r="Q270" s="193"/>
      <c r="R270" s="89"/>
      <c r="S270" s="76"/>
      <c r="T270" s="76"/>
    </row>
    <row r="271" spans="1:20" s="117" customFormat="1" ht="42.75" customHeight="1">
      <c r="A271" s="110" t="s">
        <v>517</v>
      </c>
      <c r="B271" s="114"/>
      <c r="C271" s="108"/>
      <c r="D271" s="115" t="s">
        <v>19</v>
      </c>
      <c r="E271" s="99">
        <f>F271+I271</f>
        <v>5271599</v>
      </c>
      <c r="F271" s="99">
        <f>F272</f>
        <v>5271599</v>
      </c>
      <c r="G271" s="99">
        <f>G272</f>
        <v>3533944</v>
      </c>
      <c r="H271" s="99">
        <f>H272</f>
        <v>42256</v>
      </c>
      <c r="I271" s="99">
        <f>I272</f>
        <v>0</v>
      </c>
      <c r="J271" s="99">
        <f t="shared" si="29"/>
        <v>4200000</v>
      </c>
      <c r="K271" s="99">
        <f>K272</f>
        <v>0</v>
      </c>
      <c r="L271" s="99">
        <f>L272</f>
        <v>4200000</v>
      </c>
      <c r="M271" s="99">
        <f>M272</f>
        <v>0</v>
      </c>
      <c r="N271" s="99">
        <f>N272</f>
        <v>0</v>
      </c>
      <c r="O271" s="99">
        <f>O272</f>
        <v>0</v>
      </c>
      <c r="P271" s="99">
        <f>E271+J271</f>
        <v>9471599</v>
      </c>
      <c r="Q271" s="193"/>
      <c r="R271" s="196"/>
      <c r="S271" s="116"/>
      <c r="T271" s="116"/>
    </row>
    <row r="272" spans="1:20" s="176" customFormat="1" ht="38.25" customHeight="1">
      <c r="A272" s="169" t="s">
        <v>518</v>
      </c>
      <c r="B272" s="170"/>
      <c r="C272" s="171"/>
      <c r="D272" s="172" t="s">
        <v>20</v>
      </c>
      <c r="E272" s="173">
        <f>E273+E274+E276+E277+E278+E275</f>
        <v>5271599</v>
      </c>
      <c r="F272" s="173">
        <f>F273+F274+F276+F277+F278+F275</f>
        <v>5271599</v>
      </c>
      <c r="G272" s="173">
        <f aca="true" t="shared" si="30" ref="G272:O272">G273+G274+G276+G277+G278</f>
        <v>3533944</v>
      </c>
      <c r="H272" s="173">
        <f t="shared" si="30"/>
        <v>42256</v>
      </c>
      <c r="I272" s="173">
        <f t="shared" si="30"/>
        <v>0</v>
      </c>
      <c r="J272" s="174">
        <f t="shared" si="29"/>
        <v>4200000</v>
      </c>
      <c r="K272" s="174">
        <f>K273+K274+K276+K277+K278</f>
        <v>0</v>
      </c>
      <c r="L272" s="174">
        <f t="shared" si="30"/>
        <v>4200000</v>
      </c>
      <c r="M272" s="174">
        <f t="shared" si="30"/>
        <v>0</v>
      </c>
      <c r="N272" s="174">
        <f t="shared" si="30"/>
        <v>0</v>
      </c>
      <c r="O272" s="174">
        <f t="shared" si="30"/>
        <v>0</v>
      </c>
      <c r="P272" s="173">
        <f>P273+P274+P276+P277+P278+P275</f>
        <v>9471599</v>
      </c>
      <c r="Q272" s="193"/>
      <c r="R272" s="197"/>
      <c r="S272" s="175"/>
      <c r="T272" s="175"/>
    </row>
    <row r="273" spans="1:20" s="52" customFormat="1" ht="39" customHeight="1">
      <c r="A273" s="46" t="s">
        <v>519</v>
      </c>
      <c r="B273" s="47" t="s">
        <v>264</v>
      </c>
      <c r="C273" s="46" t="s">
        <v>249</v>
      </c>
      <c r="D273" s="44" t="s">
        <v>265</v>
      </c>
      <c r="E273" s="48">
        <f t="shared" si="26"/>
        <v>5023599</v>
      </c>
      <c r="F273" s="49">
        <v>5023599</v>
      </c>
      <c r="G273" s="49">
        <v>3533944</v>
      </c>
      <c r="H273" s="49">
        <v>42256</v>
      </c>
      <c r="I273" s="49"/>
      <c r="J273" s="50">
        <f t="shared" si="29"/>
        <v>0</v>
      </c>
      <c r="K273" s="59"/>
      <c r="L273" s="49"/>
      <c r="M273" s="49"/>
      <c r="N273" s="49"/>
      <c r="O273" s="59"/>
      <c r="P273" s="48">
        <f t="shared" si="28"/>
        <v>5023599</v>
      </c>
      <c r="Q273" s="193"/>
      <c r="R273" s="89"/>
      <c r="S273" s="76"/>
      <c r="T273" s="76"/>
    </row>
    <row r="274" spans="1:20" s="52" customFormat="1" ht="33" customHeight="1" hidden="1">
      <c r="A274" s="58" t="s">
        <v>221</v>
      </c>
      <c r="B274" s="58" t="s">
        <v>572</v>
      </c>
      <c r="C274" s="58" t="s">
        <v>117</v>
      </c>
      <c r="D274" s="45" t="s">
        <v>118</v>
      </c>
      <c r="E274" s="48">
        <f>F274+I274</f>
        <v>0</v>
      </c>
      <c r="F274" s="59"/>
      <c r="G274" s="49"/>
      <c r="H274" s="49"/>
      <c r="I274" s="49"/>
      <c r="J274" s="50">
        <f t="shared" si="29"/>
        <v>0</v>
      </c>
      <c r="K274" s="59"/>
      <c r="L274" s="49"/>
      <c r="M274" s="49"/>
      <c r="N274" s="49"/>
      <c r="O274" s="59"/>
      <c r="P274" s="48">
        <f t="shared" si="28"/>
        <v>0</v>
      </c>
      <c r="Q274" s="193"/>
      <c r="R274" s="89"/>
      <c r="S274" s="76"/>
      <c r="T274" s="76"/>
    </row>
    <row r="275" spans="1:20" s="52" customFormat="1" ht="24.75" customHeight="1">
      <c r="A275" s="46" t="s">
        <v>520</v>
      </c>
      <c r="B275" s="47" t="s">
        <v>254</v>
      </c>
      <c r="C275" s="46" t="s">
        <v>253</v>
      </c>
      <c r="D275" s="44" t="s">
        <v>255</v>
      </c>
      <c r="E275" s="48">
        <f>F275+I275</f>
        <v>248000</v>
      </c>
      <c r="F275" s="49">
        <v>248000</v>
      </c>
      <c r="G275" s="49"/>
      <c r="H275" s="49"/>
      <c r="I275" s="49"/>
      <c r="J275" s="50">
        <f>L275+O275</f>
        <v>0</v>
      </c>
      <c r="K275" s="59"/>
      <c r="L275" s="49"/>
      <c r="M275" s="49"/>
      <c r="N275" s="49"/>
      <c r="O275" s="59"/>
      <c r="P275" s="48">
        <f>E275+J275</f>
        <v>248000</v>
      </c>
      <c r="Q275" s="193"/>
      <c r="R275" s="89"/>
      <c r="S275" s="76"/>
      <c r="T275" s="76"/>
    </row>
    <row r="276" spans="1:20" s="52" customFormat="1" ht="21" customHeight="1" hidden="1">
      <c r="A276" s="46" t="s">
        <v>521</v>
      </c>
      <c r="B276" s="47" t="s">
        <v>337</v>
      </c>
      <c r="C276" s="46" t="s">
        <v>336</v>
      </c>
      <c r="D276" s="44" t="s">
        <v>338</v>
      </c>
      <c r="E276" s="48">
        <f t="shared" si="26"/>
        <v>0</v>
      </c>
      <c r="F276" s="49"/>
      <c r="G276" s="49"/>
      <c r="H276" s="49"/>
      <c r="I276" s="49"/>
      <c r="J276" s="50">
        <f t="shared" si="29"/>
        <v>0</v>
      </c>
      <c r="K276" s="59"/>
      <c r="L276" s="49"/>
      <c r="M276" s="49"/>
      <c r="N276" s="49"/>
      <c r="O276" s="59"/>
      <c r="P276" s="48">
        <f t="shared" si="28"/>
        <v>0</v>
      </c>
      <c r="Q276" s="193"/>
      <c r="R276" s="89"/>
      <c r="S276" s="76"/>
      <c r="T276" s="76"/>
    </row>
    <row r="277" spans="1:20" s="52" customFormat="1" ht="33" customHeight="1" hidden="1">
      <c r="A277" s="58" t="s">
        <v>119</v>
      </c>
      <c r="B277" s="47">
        <v>8330</v>
      </c>
      <c r="C277" s="58" t="s">
        <v>523</v>
      </c>
      <c r="D277" s="45" t="s">
        <v>120</v>
      </c>
      <c r="E277" s="48">
        <f t="shared" si="26"/>
        <v>0</v>
      </c>
      <c r="F277" s="49"/>
      <c r="G277" s="49"/>
      <c r="H277" s="49"/>
      <c r="I277" s="49"/>
      <c r="J277" s="50">
        <f t="shared" si="29"/>
        <v>0</v>
      </c>
      <c r="K277" s="59"/>
      <c r="L277" s="49"/>
      <c r="M277" s="49"/>
      <c r="N277" s="49"/>
      <c r="O277" s="59"/>
      <c r="P277" s="48">
        <f t="shared" si="28"/>
        <v>0</v>
      </c>
      <c r="Q277" s="193"/>
      <c r="R277" s="89"/>
      <c r="S277" s="76"/>
      <c r="T277" s="76"/>
    </row>
    <row r="278" spans="1:20" s="52" customFormat="1" ht="25.5" customHeight="1">
      <c r="A278" s="46" t="s">
        <v>522</v>
      </c>
      <c r="B278" s="47" t="s">
        <v>524</v>
      </c>
      <c r="C278" s="46" t="s">
        <v>523</v>
      </c>
      <c r="D278" s="44" t="s">
        <v>525</v>
      </c>
      <c r="E278" s="48">
        <f t="shared" si="26"/>
        <v>0</v>
      </c>
      <c r="F278" s="49"/>
      <c r="G278" s="49"/>
      <c r="H278" s="49"/>
      <c r="I278" s="49"/>
      <c r="J278" s="50">
        <f t="shared" si="29"/>
        <v>4200000</v>
      </c>
      <c r="K278" s="59"/>
      <c r="L278" s="49">
        <f>4200000</f>
        <v>4200000</v>
      </c>
      <c r="M278" s="49"/>
      <c r="N278" s="49"/>
      <c r="O278" s="59"/>
      <c r="P278" s="48">
        <f t="shared" si="28"/>
        <v>4200000</v>
      </c>
      <c r="Q278" s="193"/>
      <c r="R278" s="89"/>
      <c r="S278" s="76"/>
      <c r="T278" s="76"/>
    </row>
    <row r="279" spans="1:20" s="117" customFormat="1" ht="41.25" customHeight="1">
      <c r="A279" s="110" t="s">
        <v>526</v>
      </c>
      <c r="B279" s="114"/>
      <c r="C279" s="108"/>
      <c r="D279" s="115" t="s">
        <v>213</v>
      </c>
      <c r="E279" s="99">
        <f>F279+I279</f>
        <v>3117281</v>
      </c>
      <c r="F279" s="99">
        <f>F280</f>
        <v>3117281</v>
      </c>
      <c r="G279" s="99">
        <f>G280</f>
        <v>2125677</v>
      </c>
      <c r="H279" s="99">
        <f>H280</f>
        <v>98880</v>
      </c>
      <c r="I279" s="99">
        <f>I280</f>
        <v>0</v>
      </c>
      <c r="J279" s="99">
        <f>L279+O279</f>
        <v>0</v>
      </c>
      <c r="K279" s="99">
        <f>K280</f>
        <v>0</v>
      </c>
      <c r="L279" s="99">
        <f>L280</f>
        <v>0</v>
      </c>
      <c r="M279" s="99">
        <f>M280</f>
        <v>0</v>
      </c>
      <c r="N279" s="99">
        <f>N280</f>
        <v>0</v>
      </c>
      <c r="O279" s="99">
        <f>O280</f>
        <v>0</v>
      </c>
      <c r="P279" s="99">
        <f>E279+J279</f>
        <v>3117281</v>
      </c>
      <c r="Q279" s="193"/>
      <c r="R279" s="196"/>
      <c r="S279" s="116"/>
      <c r="T279" s="116"/>
    </row>
    <row r="280" spans="1:20" s="176" customFormat="1" ht="35.25" customHeight="1">
      <c r="A280" s="169" t="s">
        <v>527</v>
      </c>
      <c r="B280" s="170"/>
      <c r="C280" s="171"/>
      <c r="D280" s="172" t="s">
        <v>24</v>
      </c>
      <c r="E280" s="173">
        <f>E281+E282+E283+E284</f>
        <v>3117281</v>
      </c>
      <c r="F280" s="173">
        <f>F281+F282+F283+F284</f>
        <v>3117281</v>
      </c>
      <c r="G280" s="173">
        <f>G281+G282+G283+G284</f>
        <v>2125677</v>
      </c>
      <c r="H280" s="173">
        <f>H281+H282+H283+H284</f>
        <v>98880</v>
      </c>
      <c r="I280" s="173">
        <f>I281+I282+I283+I284</f>
        <v>0</v>
      </c>
      <c r="J280" s="174">
        <f t="shared" si="29"/>
        <v>0</v>
      </c>
      <c r="K280" s="173">
        <f>K281+K282+K283+K284</f>
        <v>0</v>
      </c>
      <c r="L280" s="173">
        <f>L281+L282+L283+L284</f>
        <v>0</v>
      </c>
      <c r="M280" s="173">
        <f>M281+M282+M283+M284</f>
        <v>0</v>
      </c>
      <c r="N280" s="173">
        <f>N281+N282+N283+N284</f>
        <v>0</v>
      </c>
      <c r="O280" s="173">
        <f>O281+O282+O283+O284</f>
        <v>0</v>
      </c>
      <c r="P280" s="173">
        <f>E280+J280</f>
        <v>3117281</v>
      </c>
      <c r="Q280" s="193"/>
      <c r="R280" s="197"/>
      <c r="S280" s="175"/>
      <c r="T280" s="175"/>
    </row>
    <row r="281" spans="1:20" s="52" customFormat="1" ht="42" customHeight="1">
      <c r="A281" s="46" t="s">
        <v>528</v>
      </c>
      <c r="B281" s="47" t="s">
        <v>264</v>
      </c>
      <c r="C281" s="46" t="s">
        <v>249</v>
      </c>
      <c r="D281" s="44" t="s">
        <v>265</v>
      </c>
      <c r="E281" s="48">
        <f t="shared" si="26"/>
        <v>2945281</v>
      </c>
      <c r="F281" s="49">
        <v>2945281</v>
      </c>
      <c r="G281" s="49">
        <v>2125677</v>
      </c>
      <c r="H281" s="49">
        <v>98880</v>
      </c>
      <c r="I281" s="49"/>
      <c r="J281" s="50">
        <f t="shared" si="29"/>
        <v>0</v>
      </c>
      <c r="K281" s="59"/>
      <c r="L281" s="49"/>
      <c r="M281" s="49"/>
      <c r="N281" s="49"/>
      <c r="O281" s="59"/>
      <c r="P281" s="48">
        <f>E281+J281</f>
        <v>2945281</v>
      </c>
      <c r="Q281" s="193"/>
      <c r="R281" s="89"/>
      <c r="S281" s="76"/>
      <c r="T281" s="76"/>
    </row>
    <row r="282" spans="1:20" s="52" customFormat="1" ht="27" customHeight="1">
      <c r="A282" s="46" t="s">
        <v>529</v>
      </c>
      <c r="B282" s="47" t="s">
        <v>254</v>
      </c>
      <c r="C282" s="46" t="s">
        <v>253</v>
      </c>
      <c r="D282" s="44" t="s">
        <v>255</v>
      </c>
      <c r="E282" s="48">
        <f t="shared" si="26"/>
        <v>172000</v>
      </c>
      <c r="F282" s="49">
        <v>172000</v>
      </c>
      <c r="G282" s="49"/>
      <c r="H282" s="49"/>
      <c r="I282" s="49"/>
      <c r="J282" s="50">
        <f t="shared" si="29"/>
        <v>0</v>
      </c>
      <c r="K282" s="59"/>
      <c r="L282" s="49"/>
      <c r="M282" s="49"/>
      <c r="N282" s="49"/>
      <c r="O282" s="59"/>
      <c r="P282" s="48">
        <f t="shared" si="28"/>
        <v>172000</v>
      </c>
      <c r="Q282" s="193"/>
      <c r="R282" s="89"/>
      <c r="S282" s="76"/>
      <c r="T282" s="76"/>
    </row>
    <row r="283" spans="1:20" s="52" customFormat="1" ht="36.75" customHeight="1" hidden="1">
      <c r="A283" s="46" t="s">
        <v>530</v>
      </c>
      <c r="B283" s="47" t="s">
        <v>532</v>
      </c>
      <c r="C283" s="46" t="s">
        <v>531</v>
      </c>
      <c r="D283" s="44" t="s">
        <v>103</v>
      </c>
      <c r="E283" s="48">
        <f t="shared" si="26"/>
        <v>0</v>
      </c>
      <c r="F283" s="49"/>
      <c r="G283" s="49"/>
      <c r="H283" s="49"/>
      <c r="I283" s="49"/>
      <c r="J283" s="50">
        <f t="shared" si="29"/>
        <v>0</v>
      </c>
      <c r="K283" s="59"/>
      <c r="L283" s="49"/>
      <c r="M283" s="49"/>
      <c r="N283" s="49"/>
      <c r="O283" s="59"/>
      <c r="P283" s="48">
        <f t="shared" si="28"/>
        <v>0</v>
      </c>
      <c r="Q283" s="193"/>
      <c r="R283" s="89"/>
      <c r="S283" s="76"/>
      <c r="T283" s="76"/>
    </row>
    <row r="284" spans="1:20" s="52" customFormat="1" ht="24" customHeight="1" hidden="1">
      <c r="A284" s="46" t="s">
        <v>192</v>
      </c>
      <c r="B284" s="47">
        <v>9770</v>
      </c>
      <c r="C284" s="46" t="s">
        <v>254</v>
      </c>
      <c r="D284" s="44" t="s">
        <v>193</v>
      </c>
      <c r="E284" s="48">
        <f>F284+I284</f>
        <v>0</v>
      </c>
      <c r="F284" s="49"/>
      <c r="G284" s="49"/>
      <c r="H284" s="49"/>
      <c r="I284" s="49"/>
      <c r="J284" s="50">
        <f t="shared" si="29"/>
        <v>0</v>
      </c>
      <c r="K284" s="59"/>
      <c r="L284" s="49"/>
      <c r="M284" s="49"/>
      <c r="N284" s="49"/>
      <c r="O284" s="59"/>
      <c r="P284" s="48">
        <f>E284+J284</f>
        <v>0</v>
      </c>
      <c r="Q284" s="193"/>
      <c r="R284" s="89"/>
      <c r="S284" s="76"/>
      <c r="T284" s="76"/>
    </row>
    <row r="285" spans="1:20" s="75" customFormat="1" ht="51" customHeight="1" hidden="1">
      <c r="A285" s="15"/>
      <c r="B285" s="16"/>
      <c r="C285" s="15"/>
      <c r="D285" s="3" t="s">
        <v>185</v>
      </c>
      <c r="E285" s="19">
        <f>F285+I285</f>
        <v>0</v>
      </c>
      <c r="F285" s="20"/>
      <c r="G285" s="20"/>
      <c r="H285" s="20"/>
      <c r="I285" s="20"/>
      <c r="J285" s="21">
        <f>L285+O285</f>
        <v>0</v>
      </c>
      <c r="K285" s="43"/>
      <c r="L285" s="20"/>
      <c r="M285" s="20"/>
      <c r="N285" s="20"/>
      <c r="O285" s="43"/>
      <c r="P285" s="19">
        <f>E285+J285</f>
        <v>0</v>
      </c>
      <c r="Q285" s="193"/>
      <c r="R285" s="14"/>
      <c r="S285" s="74"/>
      <c r="T285" s="74"/>
    </row>
    <row r="286" spans="1:20" s="117" customFormat="1" ht="30.75" customHeight="1">
      <c r="A286" s="110" t="s">
        <v>533</v>
      </c>
      <c r="B286" s="114"/>
      <c r="C286" s="108"/>
      <c r="D286" s="115" t="s">
        <v>534</v>
      </c>
      <c r="E286" s="99">
        <f>F286+I286</f>
        <v>16504970</v>
      </c>
      <c r="F286" s="99">
        <f>F287</f>
        <v>16391170</v>
      </c>
      <c r="G286" s="99">
        <f>G287</f>
        <v>8554051</v>
      </c>
      <c r="H286" s="99">
        <f>H287</f>
        <v>307450</v>
      </c>
      <c r="I286" s="99">
        <f>I287</f>
        <v>113800</v>
      </c>
      <c r="J286" s="99">
        <f t="shared" si="29"/>
        <v>318000</v>
      </c>
      <c r="K286" s="99">
        <f>K287</f>
        <v>318000</v>
      </c>
      <c r="L286" s="99">
        <f>L287</f>
        <v>0</v>
      </c>
      <c r="M286" s="99">
        <f>M287</f>
        <v>0</v>
      </c>
      <c r="N286" s="99">
        <f>N287</f>
        <v>0</v>
      </c>
      <c r="O286" s="99">
        <f>O287</f>
        <v>318000</v>
      </c>
      <c r="P286" s="99">
        <f t="shared" si="28"/>
        <v>16822970</v>
      </c>
      <c r="Q286" s="193"/>
      <c r="R286" s="196"/>
      <c r="S286" s="116"/>
      <c r="T286" s="116"/>
    </row>
    <row r="287" spans="1:20" s="176" customFormat="1" ht="48" customHeight="1">
      <c r="A287" s="169" t="s">
        <v>535</v>
      </c>
      <c r="B287" s="170"/>
      <c r="C287" s="171"/>
      <c r="D287" s="172" t="s">
        <v>18</v>
      </c>
      <c r="E287" s="173">
        <f t="shared" si="26"/>
        <v>16504970</v>
      </c>
      <c r="F287" s="173">
        <f>F288+F289+F290+F291+F292+F293+F294+F295</f>
        <v>16391170</v>
      </c>
      <c r="G287" s="173">
        <f>G288+G289+G290+G291+G292+G293+G294+G295</f>
        <v>8554051</v>
      </c>
      <c r="H287" s="173">
        <f>H288+H289+H290+H291+H292+H293+H294+H295</f>
        <v>307450</v>
      </c>
      <c r="I287" s="173">
        <f>I288+I289+I290+I291+I292+I293+I294+I295</f>
        <v>113800</v>
      </c>
      <c r="J287" s="174">
        <f t="shared" si="29"/>
        <v>318000</v>
      </c>
      <c r="K287" s="174">
        <f>K288+K289+K290+K291+K292+K293+K294+K295</f>
        <v>318000</v>
      </c>
      <c r="L287" s="174">
        <f>L288+L289+L290+L291+L292+L293+L294+L295</f>
        <v>0</v>
      </c>
      <c r="M287" s="174">
        <f>M288+M289+M290+M291+M292+M293+M294+M295</f>
        <v>0</v>
      </c>
      <c r="N287" s="174">
        <f>N288+N289+N290+N291+N292+N293+N294+N295</f>
        <v>0</v>
      </c>
      <c r="O287" s="174">
        <f>O288+O289+O290+O291+O292+O293+O294+O295</f>
        <v>318000</v>
      </c>
      <c r="P287" s="173">
        <f>E287+J287</f>
        <v>16822970</v>
      </c>
      <c r="Q287" s="193">
        <f>P287-P288-P289</f>
        <v>5431800</v>
      </c>
      <c r="R287" s="197"/>
      <c r="S287" s="175"/>
      <c r="T287" s="175"/>
    </row>
    <row r="288" spans="1:20" s="52" customFormat="1" ht="39" customHeight="1">
      <c r="A288" s="46" t="s">
        <v>536</v>
      </c>
      <c r="B288" s="47" t="s">
        <v>264</v>
      </c>
      <c r="C288" s="46" t="s">
        <v>249</v>
      </c>
      <c r="D288" s="44" t="s">
        <v>265</v>
      </c>
      <c r="E288" s="48">
        <f t="shared" si="26"/>
        <v>11178170</v>
      </c>
      <c r="F288" s="49">
        <v>11178170</v>
      </c>
      <c r="G288" s="49">
        <v>8554051</v>
      </c>
      <c r="H288" s="49">
        <v>307450</v>
      </c>
      <c r="I288" s="49"/>
      <c r="J288" s="50">
        <f t="shared" si="29"/>
        <v>0</v>
      </c>
      <c r="K288" s="59"/>
      <c r="L288" s="49"/>
      <c r="M288" s="49"/>
      <c r="N288" s="49"/>
      <c r="O288" s="59"/>
      <c r="P288" s="48">
        <f t="shared" si="28"/>
        <v>11178170</v>
      </c>
      <c r="Q288" s="193"/>
      <c r="R288" s="89"/>
      <c r="S288" s="76"/>
      <c r="T288" s="76"/>
    </row>
    <row r="289" spans="1:20" s="52" customFormat="1" ht="24.75" customHeight="1">
      <c r="A289" s="46" t="s">
        <v>537</v>
      </c>
      <c r="B289" s="47" t="s">
        <v>254</v>
      </c>
      <c r="C289" s="46" t="s">
        <v>253</v>
      </c>
      <c r="D289" s="44" t="s">
        <v>255</v>
      </c>
      <c r="E289" s="48">
        <f t="shared" si="26"/>
        <v>213000</v>
      </c>
      <c r="F289" s="49">
        <v>213000</v>
      </c>
      <c r="G289" s="49"/>
      <c r="H289" s="49"/>
      <c r="I289" s="49"/>
      <c r="J289" s="50">
        <f t="shared" si="29"/>
        <v>0</v>
      </c>
      <c r="K289" s="59"/>
      <c r="L289" s="49"/>
      <c r="M289" s="49"/>
      <c r="N289" s="49"/>
      <c r="O289" s="59"/>
      <c r="P289" s="48">
        <f t="shared" si="28"/>
        <v>213000</v>
      </c>
      <c r="Q289" s="193"/>
      <c r="R289" s="89"/>
      <c r="S289" s="76"/>
      <c r="T289" s="76"/>
    </row>
    <row r="290" spans="1:20" s="52" customFormat="1" ht="34.5" customHeight="1" hidden="1">
      <c r="A290" s="46" t="s">
        <v>538</v>
      </c>
      <c r="B290" s="47" t="s">
        <v>539</v>
      </c>
      <c r="C290" s="46" t="s">
        <v>460</v>
      </c>
      <c r="D290" s="44" t="s">
        <v>540</v>
      </c>
      <c r="E290" s="48">
        <f t="shared" si="26"/>
        <v>0</v>
      </c>
      <c r="F290" s="49"/>
      <c r="G290" s="49"/>
      <c r="H290" s="49"/>
      <c r="I290" s="49"/>
      <c r="J290" s="50">
        <f t="shared" si="29"/>
        <v>0</v>
      </c>
      <c r="K290" s="59"/>
      <c r="L290" s="49"/>
      <c r="M290" s="49"/>
      <c r="N290" s="49"/>
      <c r="O290" s="59"/>
      <c r="P290" s="48">
        <f t="shared" si="28"/>
        <v>0</v>
      </c>
      <c r="Q290" s="193"/>
      <c r="R290" s="89"/>
      <c r="S290" s="76"/>
      <c r="T290" s="76"/>
    </row>
    <row r="291" spans="1:20" s="52" customFormat="1" ht="22.5" customHeight="1" hidden="1">
      <c r="A291" s="46" t="s">
        <v>541</v>
      </c>
      <c r="B291" s="47" t="s">
        <v>461</v>
      </c>
      <c r="C291" s="46" t="s">
        <v>460</v>
      </c>
      <c r="D291" s="44" t="s">
        <v>462</v>
      </c>
      <c r="E291" s="48">
        <f t="shared" si="26"/>
        <v>0</v>
      </c>
      <c r="F291" s="49"/>
      <c r="G291" s="49"/>
      <c r="H291" s="49"/>
      <c r="I291" s="49"/>
      <c r="J291" s="50">
        <f t="shared" si="29"/>
        <v>0</v>
      </c>
      <c r="K291" s="59"/>
      <c r="L291" s="49"/>
      <c r="M291" s="49"/>
      <c r="N291" s="49"/>
      <c r="O291" s="59"/>
      <c r="P291" s="48">
        <f t="shared" si="28"/>
        <v>0</v>
      </c>
      <c r="Q291" s="193"/>
      <c r="R291" s="89"/>
      <c r="S291" s="76"/>
      <c r="T291" s="76"/>
    </row>
    <row r="292" spans="1:20" s="52" customFormat="1" ht="24.75" customHeight="1">
      <c r="A292" s="46" t="s">
        <v>542</v>
      </c>
      <c r="B292" s="47" t="s">
        <v>544</v>
      </c>
      <c r="C292" s="46" t="s">
        <v>543</v>
      </c>
      <c r="D292" s="44" t="s">
        <v>545</v>
      </c>
      <c r="E292" s="48">
        <f t="shared" si="26"/>
        <v>5113800</v>
      </c>
      <c r="F292" s="49">
        <v>5000000</v>
      </c>
      <c r="G292" s="49"/>
      <c r="H292" s="49"/>
      <c r="I292" s="49">
        <v>113800</v>
      </c>
      <c r="J292" s="50">
        <f t="shared" si="29"/>
        <v>0</v>
      </c>
      <c r="K292" s="59"/>
      <c r="L292" s="49"/>
      <c r="M292" s="49"/>
      <c r="N292" s="49"/>
      <c r="O292" s="59"/>
      <c r="P292" s="48">
        <f t="shared" si="28"/>
        <v>5113800</v>
      </c>
      <c r="Q292" s="193"/>
      <c r="R292" s="89"/>
      <c r="S292" s="76"/>
      <c r="T292" s="76"/>
    </row>
    <row r="293" spans="1:20" s="52" customFormat="1" ht="34.5" customHeight="1">
      <c r="A293" s="58" t="s">
        <v>108</v>
      </c>
      <c r="B293" s="47">
        <v>7650</v>
      </c>
      <c r="C293" s="46" t="s">
        <v>336</v>
      </c>
      <c r="D293" s="45" t="s">
        <v>109</v>
      </c>
      <c r="E293" s="48">
        <f t="shared" si="26"/>
        <v>0</v>
      </c>
      <c r="F293" s="49"/>
      <c r="G293" s="49"/>
      <c r="H293" s="49"/>
      <c r="I293" s="49"/>
      <c r="J293" s="50">
        <f t="shared" si="29"/>
        <v>106000</v>
      </c>
      <c r="K293" s="59">
        <v>106000</v>
      </c>
      <c r="L293" s="49"/>
      <c r="M293" s="49"/>
      <c r="N293" s="49"/>
      <c r="O293" s="59">
        <v>106000</v>
      </c>
      <c r="P293" s="48">
        <f t="shared" si="28"/>
        <v>106000</v>
      </c>
      <c r="Q293" s="193"/>
      <c r="R293" s="89"/>
      <c r="S293" s="76"/>
      <c r="T293" s="76"/>
    </row>
    <row r="294" spans="1:20" s="52" customFormat="1" ht="51" customHeight="1">
      <c r="A294" s="46" t="s">
        <v>546</v>
      </c>
      <c r="B294" s="47" t="s">
        <v>547</v>
      </c>
      <c r="C294" s="46" t="s">
        <v>336</v>
      </c>
      <c r="D294" s="44" t="s">
        <v>548</v>
      </c>
      <c r="E294" s="48">
        <f t="shared" si="26"/>
        <v>0</v>
      </c>
      <c r="F294" s="49"/>
      <c r="G294" s="49"/>
      <c r="H294" s="49"/>
      <c r="I294" s="49"/>
      <c r="J294" s="50">
        <f t="shared" si="29"/>
        <v>212000</v>
      </c>
      <c r="K294" s="59">
        <v>212000</v>
      </c>
      <c r="L294" s="49"/>
      <c r="M294" s="49"/>
      <c r="N294" s="49"/>
      <c r="O294" s="59">
        <v>212000</v>
      </c>
      <c r="P294" s="48">
        <f t="shared" si="28"/>
        <v>212000</v>
      </c>
      <c r="Q294" s="193"/>
      <c r="R294" s="89"/>
      <c r="S294" s="76"/>
      <c r="T294" s="76"/>
    </row>
    <row r="295" spans="1:20" s="52" customFormat="1" ht="24.75" customHeight="1" hidden="1">
      <c r="A295" s="46" t="s">
        <v>549</v>
      </c>
      <c r="B295" s="47" t="s">
        <v>515</v>
      </c>
      <c r="C295" s="46" t="s">
        <v>336</v>
      </c>
      <c r="D295" s="44" t="s">
        <v>516</v>
      </c>
      <c r="E295" s="48">
        <f t="shared" si="26"/>
        <v>0</v>
      </c>
      <c r="F295" s="49"/>
      <c r="G295" s="49"/>
      <c r="H295" s="49"/>
      <c r="I295" s="49"/>
      <c r="J295" s="50">
        <f t="shared" si="29"/>
        <v>0</v>
      </c>
      <c r="K295" s="59"/>
      <c r="L295" s="49"/>
      <c r="M295" s="49"/>
      <c r="N295" s="49"/>
      <c r="O295" s="59"/>
      <c r="P295" s="48">
        <f t="shared" si="28"/>
        <v>0</v>
      </c>
      <c r="Q295" s="193"/>
      <c r="R295" s="89"/>
      <c r="S295" s="76"/>
      <c r="T295" s="76"/>
    </row>
    <row r="296" spans="1:20" s="117" customFormat="1" ht="21.75" customHeight="1">
      <c r="A296" s="110" t="s">
        <v>550</v>
      </c>
      <c r="B296" s="114"/>
      <c r="C296" s="108"/>
      <c r="D296" s="115" t="s">
        <v>551</v>
      </c>
      <c r="E296" s="99">
        <f t="shared" si="26"/>
        <v>6486882</v>
      </c>
      <c r="F296" s="99">
        <f>SUM(F297)</f>
        <v>6486882</v>
      </c>
      <c r="G296" s="99">
        <f>SUM(G297)</f>
        <v>663460</v>
      </c>
      <c r="H296" s="99">
        <f>SUM(H297)</f>
        <v>49010</v>
      </c>
      <c r="I296" s="99">
        <f>SUM(I297)</f>
        <v>0</v>
      </c>
      <c r="J296" s="99">
        <f t="shared" si="29"/>
        <v>0</v>
      </c>
      <c r="K296" s="99">
        <f>SUM(K297)</f>
        <v>0</v>
      </c>
      <c r="L296" s="99">
        <f>SUM(L297)</f>
        <v>0</v>
      </c>
      <c r="M296" s="99">
        <f>SUM(M297)</f>
        <v>0</v>
      </c>
      <c r="N296" s="99">
        <f>SUM(N297)</f>
        <v>0</v>
      </c>
      <c r="O296" s="99">
        <f>SUM(O297)</f>
        <v>0</v>
      </c>
      <c r="P296" s="99">
        <f t="shared" si="28"/>
        <v>6486882</v>
      </c>
      <c r="Q296" s="193"/>
      <c r="R296" s="196"/>
      <c r="S296" s="116"/>
      <c r="T296" s="116"/>
    </row>
    <row r="297" spans="1:20" s="176" customFormat="1" ht="21" customHeight="1">
      <c r="A297" s="169" t="s">
        <v>552</v>
      </c>
      <c r="B297" s="170"/>
      <c r="C297" s="171"/>
      <c r="D297" s="172" t="s">
        <v>40</v>
      </c>
      <c r="E297" s="173">
        <f>F297+I297</f>
        <v>6486882</v>
      </c>
      <c r="F297" s="173">
        <f>SUM(F298+F300+F301+F299)</f>
        <v>6486882</v>
      </c>
      <c r="G297" s="173">
        <f>SUM(G298+G300+G301+G299)</f>
        <v>663460</v>
      </c>
      <c r="H297" s="173">
        <f>SUM(H298+H300+H301+H299)</f>
        <v>49010</v>
      </c>
      <c r="I297" s="173">
        <f>SUM(I298+I300+I301+I299)</f>
        <v>0</v>
      </c>
      <c r="J297" s="174">
        <f t="shared" si="29"/>
        <v>0</v>
      </c>
      <c r="K297" s="174">
        <f>SUM(K298+K300+K301)</f>
        <v>0</v>
      </c>
      <c r="L297" s="174">
        <f>SUM(L298+L300+L301)</f>
        <v>0</v>
      </c>
      <c r="M297" s="174">
        <f>SUM(M298+M300+M301)</f>
        <v>0</v>
      </c>
      <c r="N297" s="174">
        <f>SUM(N298+N300+N301)</f>
        <v>0</v>
      </c>
      <c r="O297" s="174">
        <f>SUM(O298+O300+O301)</f>
        <v>0</v>
      </c>
      <c r="P297" s="174">
        <f>E297+J297</f>
        <v>6486882</v>
      </c>
      <c r="Q297" s="193"/>
      <c r="R297" s="197"/>
      <c r="S297" s="175"/>
      <c r="T297" s="175"/>
    </row>
    <row r="298" spans="1:20" s="52" customFormat="1" ht="36" customHeight="1">
      <c r="A298" s="46" t="s">
        <v>553</v>
      </c>
      <c r="B298" s="47" t="s">
        <v>264</v>
      </c>
      <c r="C298" s="46" t="s">
        <v>249</v>
      </c>
      <c r="D298" s="44" t="s">
        <v>265</v>
      </c>
      <c r="E298" s="48">
        <f t="shared" si="26"/>
        <v>966882</v>
      </c>
      <c r="F298" s="49">
        <v>966882</v>
      </c>
      <c r="G298" s="49">
        <v>663460</v>
      </c>
      <c r="H298" s="49">
        <v>49010</v>
      </c>
      <c r="I298" s="49"/>
      <c r="J298" s="50">
        <f t="shared" si="29"/>
        <v>0</v>
      </c>
      <c r="K298" s="59"/>
      <c r="L298" s="49"/>
      <c r="M298" s="49"/>
      <c r="N298" s="49"/>
      <c r="O298" s="59"/>
      <c r="P298" s="48">
        <f t="shared" si="28"/>
        <v>966882</v>
      </c>
      <c r="Q298" s="193"/>
      <c r="R298" s="89"/>
      <c r="S298" s="76"/>
      <c r="T298" s="76"/>
    </row>
    <row r="299" spans="1:20" s="52" customFormat="1" ht="36" customHeight="1" hidden="1">
      <c r="A299" s="58" t="s">
        <v>200</v>
      </c>
      <c r="B299" s="58" t="s">
        <v>572</v>
      </c>
      <c r="C299" s="58" t="s">
        <v>117</v>
      </c>
      <c r="D299" s="45" t="s">
        <v>118</v>
      </c>
      <c r="E299" s="48">
        <f t="shared" si="26"/>
        <v>0</v>
      </c>
      <c r="F299" s="49"/>
      <c r="G299" s="49"/>
      <c r="H299" s="49"/>
      <c r="I299" s="49"/>
      <c r="J299" s="50">
        <f t="shared" si="29"/>
        <v>0</v>
      </c>
      <c r="K299" s="59"/>
      <c r="L299" s="49"/>
      <c r="M299" s="49"/>
      <c r="N299" s="49"/>
      <c r="O299" s="59"/>
      <c r="P299" s="48">
        <f t="shared" si="28"/>
        <v>0</v>
      </c>
      <c r="Q299" s="193"/>
      <c r="R299" s="89"/>
      <c r="S299" s="76"/>
      <c r="T299" s="76"/>
    </row>
    <row r="300" spans="1:20" s="52" customFormat="1" ht="27.75" customHeight="1">
      <c r="A300" s="46" t="s">
        <v>554</v>
      </c>
      <c r="B300" s="47" t="s">
        <v>254</v>
      </c>
      <c r="C300" s="46" t="s">
        <v>253</v>
      </c>
      <c r="D300" s="44" t="s">
        <v>255</v>
      </c>
      <c r="E300" s="48">
        <f t="shared" si="26"/>
        <v>5520000</v>
      </c>
      <c r="F300" s="49">
        <v>5520000</v>
      </c>
      <c r="G300" s="49"/>
      <c r="H300" s="49"/>
      <c r="I300" s="49"/>
      <c r="J300" s="50">
        <f t="shared" si="29"/>
        <v>0</v>
      </c>
      <c r="K300" s="59"/>
      <c r="L300" s="49"/>
      <c r="M300" s="49"/>
      <c r="N300" s="49"/>
      <c r="O300" s="59"/>
      <c r="P300" s="48">
        <f t="shared" si="28"/>
        <v>5520000</v>
      </c>
      <c r="Q300" s="193"/>
      <c r="R300" s="89"/>
      <c r="S300" s="76"/>
      <c r="T300" s="76"/>
    </row>
    <row r="301" spans="1:20" s="52" customFormat="1" ht="27.75" customHeight="1" hidden="1">
      <c r="A301" s="46" t="s">
        <v>555</v>
      </c>
      <c r="B301" s="47" t="s">
        <v>457</v>
      </c>
      <c r="C301" s="46" t="s">
        <v>450</v>
      </c>
      <c r="D301" s="44" t="s">
        <v>458</v>
      </c>
      <c r="E301" s="48">
        <f t="shared" si="26"/>
        <v>0</v>
      </c>
      <c r="F301" s="49"/>
      <c r="G301" s="49"/>
      <c r="H301" s="49"/>
      <c r="I301" s="49"/>
      <c r="J301" s="50">
        <f t="shared" si="29"/>
        <v>0</v>
      </c>
      <c r="K301" s="59"/>
      <c r="L301" s="49"/>
      <c r="M301" s="49"/>
      <c r="N301" s="49"/>
      <c r="O301" s="59"/>
      <c r="P301" s="48">
        <f t="shared" si="28"/>
        <v>0</v>
      </c>
      <c r="Q301" s="193"/>
      <c r="R301" s="89"/>
      <c r="S301" s="76"/>
      <c r="T301" s="76"/>
    </row>
    <row r="302" spans="1:20" s="117" customFormat="1" ht="33.75" customHeight="1">
      <c r="A302" s="110" t="s">
        <v>556</v>
      </c>
      <c r="B302" s="114"/>
      <c r="C302" s="108"/>
      <c r="D302" s="115" t="s">
        <v>557</v>
      </c>
      <c r="E302" s="99">
        <f t="shared" si="26"/>
        <v>13824661</v>
      </c>
      <c r="F302" s="99">
        <f>F303</f>
        <v>13824661</v>
      </c>
      <c r="G302" s="99">
        <f>G303</f>
        <v>8619435</v>
      </c>
      <c r="H302" s="99">
        <f>H303</f>
        <v>554230</v>
      </c>
      <c r="I302" s="99">
        <f>I303</f>
        <v>0</v>
      </c>
      <c r="J302" s="99">
        <f t="shared" si="29"/>
        <v>22000</v>
      </c>
      <c r="K302" s="99">
        <f>K303</f>
        <v>0</v>
      </c>
      <c r="L302" s="99">
        <f>L303</f>
        <v>22000</v>
      </c>
      <c r="M302" s="99">
        <f>M303</f>
        <v>0</v>
      </c>
      <c r="N302" s="99">
        <f>N303</f>
        <v>0</v>
      </c>
      <c r="O302" s="99">
        <f>O303</f>
        <v>0</v>
      </c>
      <c r="P302" s="99">
        <f t="shared" si="28"/>
        <v>13846661</v>
      </c>
      <c r="Q302" s="193"/>
      <c r="R302" s="196"/>
      <c r="S302" s="116"/>
      <c r="T302" s="116"/>
    </row>
    <row r="303" spans="1:20" s="176" customFormat="1" ht="31.5" customHeight="1">
      <c r="A303" s="169" t="s">
        <v>558</v>
      </c>
      <c r="B303" s="170"/>
      <c r="C303" s="171"/>
      <c r="D303" s="172" t="s">
        <v>42</v>
      </c>
      <c r="E303" s="173">
        <f>E304+E305+E306+E307</f>
        <v>13824661</v>
      </c>
      <c r="F303" s="173">
        <f>F304+F305+F306+F307</f>
        <v>13824661</v>
      </c>
      <c r="G303" s="173">
        <f>G304+G305+G306+G307</f>
        <v>8619435</v>
      </c>
      <c r="H303" s="173">
        <f>H304+H305+H306+H307</f>
        <v>554230</v>
      </c>
      <c r="I303" s="173">
        <f>I304+I305+I306+I307</f>
        <v>0</v>
      </c>
      <c r="J303" s="174">
        <f t="shared" si="29"/>
        <v>22000</v>
      </c>
      <c r="K303" s="173">
        <f>K304+K305+K306+K307</f>
        <v>0</v>
      </c>
      <c r="L303" s="173">
        <f>L304+L305+L306+L307</f>
        <v>22000</v>
      </c>
      <c r="M303" s="173">
        <f>M304+M305+M306+M307</f>
        <v>0</v>
      </c>
      <c r="N303" s="173">
        <f>N304+N305+N306+N307</f>
        <v>0</v>
      </c>
      <c r="O303" s="173">
        <f>O304+O305+O306+O307</f>
        <v>0</v>
      </c>
      <c r="P303" s="173">
        <f>E303+J303</f>
        <v>13846661</v>
      </c>
      <c r="Q303" s="193"/>
      <c r="R303" s="197"/>
      <c r="S303" s="175"/>
      <c r="T303" s="175"/>
    </row>
    <row r="304" spans="1:20" s="52" customFormat="1" ht="42" customHeight="1">
      <c r="A304" s="46" t="s">
        <v>559</v>
      </c>
      <c r="B304" s="47" t="s">
        <v>264</v>
      </c>
      <c r="C304" s="46" t="s">
        <v>249</v>
      </c>
      <c r="D304" s="44" t="s">
        <v>265</v>
      </c>
      <c r="E304" s="48">
        <f>F304+I304</f>
        <v>12201161</v>
      </c>
      <c r="F304" s="49">
        <v>12201161</v>
      </c>
      <c r="G304" s="49">
        <v>8619435</v>
      </c>
      <c r="H304" s="49">
        <v>554230</v>
      </c>
      <c r="I304" s="49"/>
      <c r="J304" s="50">
        <f t="shared" si="29"/>
        <v>22000</v>
      </c>
      <c r="K304" s="59"/>
      <c r="L304" s="49">
        <v>22000</v>
      </c>
      <c r="M304" s="49"/>
      <c r="N304" s="49"/>
      <c r="O304" s="59"/>
      <c r="P304" s="48">
        <f t="shared" si="28"/>
        <v>12223161</v>
      </c>
      <c r="Q304" s="193"/>
      <c r="R304" s="89"/>
      <c r="S304" s="76"/>
      <c r="T304" s="76"/>
    </row>
    <row r="305" spans="1:20" s="52" customFormat="1" ht="24" customHeight="1">
      <c r="A305" s="46" t="s">
        <v>560</v>
      </c>
      <c r="B305" s="47" t="s">
        <v>254</v>
      </c>
      <c r="C305" s="46" t="s">
        <v>253</v>
      </c>
      <c r="D305" s="44" t="s">
        <v>255</v>
      </c>
      <c r="E305" s="48">
        <f t="shared" si="26"/>
        <v>241000</v>
      </c>
      <c r="F305" s="49">
        <v>241000</v>
      </c>
      <c r="G305" s="49"/>
      <c r="H305" s="49"/>
      <c r="I305" s="49"/>
      <c r="J305" s="50">
        <f t="shared" si="29"/>
        <v>0</v>
      </c>
      <c r="K305" s="59"/>
      <c r="L305" s="49"/>
      <c r="M305" s="49"/>
      <c r="N305" s="49"/>
      <c r="O305" s="59"/>
      <c r="P305" s="48">
        <f t="shared" si="28"/>
        <v>241000</v>
      </c>
      <c r="Q305" s="193"/>
      <c r="R305" s="89"/>
      <c r="S305" s="76"/>
      <c r="T305" s="76"/>
    </row>
    <row r="306" spans="1:20" s="52" customFormat="1" ht="47.25" customHeight="1">
      <c r="A306" s="46" t="s">
        <v>196</v>
      </c>
      <c r="B306" s="47" t="s">
        <v>454</v>
      </c>
      <c r="C306" s="46" t="s">
        <v>450</v>
      </c>
      <c r="D306" s="44" t="s">
        <v>455</v>
      </c>
      <c r="E306" s="48">
        <f t="shared" si="26"/>
        <v>1382500</v>
      </c>
      <c r="F306" s="49">
        <v>1382500</v>
      </c>
      <c r="G306" s="49"/>
      <c r="H306" s="49"/>
      <c r="I306" s="49"/>
      <c r="J306" s="50">
        <f t="shared" si="29"/>
        <v>0</v>
      </c>
      <c r="K306" s="59"/>
      <c r="L306" s="49"/>
      <c r="M306" s="49"/>
      <c r="N306" s="49"/>
      <c r="O306" s="59"/>
      <c r="P306" s="48">
        <f t="shared" si="28"/>
        <v>1382500</v>
      </c>
      <c r="Q306" s="193"/>
      <c r="R306" s="89"/>
      <c r="S306" s="76"/>
      <c r="T306" s="76"/>
    </row>
    <row r="307" spans="1:20" s="52" customFormat="1" ht="23.25" customHeight="1" hidden="1">
      <c r="A307" s="46" t="s">
        <v>561</v>
      </c>
      <c r="B307" s="47" t="s">
        <v>563</v>
      </c>
      <c r="C307" s="46" t="s">
        <v>562</v>
      </c>
      <c r="D307" s="44" t="s">
        <v>564</v>
      </c>
      <c r="E307" s="48">
        <f t="shared" si="26"/>
        <v>0</v>
      </c>
      <c r="F307" s="49"/>
      <c r="G307" s="49"/>
      <c r="H307" s="49"/>
      <c r="I307" s="49"/>
      <c r="J307" s="50">
        <f t="shared" si="29"/>
        <v>0</v>
      </c>
      <c r="K307" s="59"/>
      <c r="L307" s="49"/>
      <c r="M307" s="49"/>
      <c r="N307" s="49"/>
      <c r="O307" s="59"/>
      <c r="P307" s="48">
        <f t="shared" si="28"/>
        <v>0</v>
      </c>
      <c r="Q307" s="193"/>
      <c r="R307" s="89"/>
      <c r="S307" s="76"/>
      <c r="T307" s="76"/>
    </row>
    <row r="308" spans="1:20" s="117" customFormat="1" ht="26.25" customHeight="1">
      <c r="A308" s="110" t="s">
        <v>565</v>
      </c>
      <c r="B308" s="114"/>
      <c r="C308" s="108"/>
      <c r="D308" s="115" t="s">
        <v>566</v>
      </c>
      <c r="E308" s="99">
        <f>F308+I308+E315</f>
        <v>24777131</v>
      </c>
      <c r="F308" s="99">
        <f>F309</f>
        <v>24777131</v>
      </c>
      <c r="G308" s="99">
        <f>G309</f>
        <v>5770821</v>
      </c>
      <c r="H308" s="99">
        <f>H309</f>
        <v>261400</v>
      </c>
      <c r="I308" s="99">
        <f>I309</f>
        <v>0</v>
      </c>
      <c r="J308" s="99">
        <f t="shared" si="29"/>
        <v>0</v>
      </c>
      <c r="K308" s="99">
        <f>K309</f>
        <v>0</v>
      </c>
      <c r="L308" s="99">
        <f>L309</f>
        <v>0</v>
      </c>
      <c r="M308" s="99">
        <f>M309</f>
        <v>0</v>
      </c>
      <c r="N308" s="99">
        <f>N309</f>
        <v>0</v>
      </c>
      <c r="O308" s="99">
        <f>O309</f>
        <v>0</v>
      </c>
      <c r="P308" s="99">
        <f t="shared" si="28"/>
        <v>24777131</v>
      </c>
      <c r="Q308" s="193"/>
      <c r="R308" s="196"/>
      <c r="S308" s="116"/>
      <c r="T308" s="116"/>
    </row>
    <row r="309" spans="1:20" s="176" customFormat="1" ht="23.25" customHeight="1">
      <c r="A309" s="169" t="s">
        <v>567</v>
      </c>
      <c r="B309" s="170"/>
      <c r="C309" s="171"/>
      <c r="D309" s="177" t="s">
        <v>43</v>
      </c>
      <c r="E309" s="173">
        <f>F309+I309</f>
        <v>24777131</v>
      </c>
      <c r="F309" s="173">
        <f>F310+F311+F314+F315+F316+F317+F319+F322+F312</f>
        <v>24777131</v>
      </c>
      <c r="G309" s="173">
        <f>G310+G311+G314+G315+G316+G317+G319+G322+G312</f>
        <v>5770821</v>
      </c>
      <c r="H309" s="173">
        <f>H310+H311+H314+H315+H316+H317+H319+H322+H312</f>
        <v>261400</v>
      </c>
      <c r="I309" s="173">
        <f>I310+I311+I314+I315+I316+I317+I319+I322+I312</f>
        <v>0</v>
      </c>
      <c r="J309" s="174">
        <f>L309+O309</f>
        <v>0</v>
      </c>
      <c r="K309" s="173">
        <f>K310+K311+K314+K315+K316+K317+K319+K322+K312</f>
        <v>0</v>
      </c>
      <c r="L309" s="173">
        <f>L310+L311+L314+L315+L316+L317+L319+L322+L312</f>
        <v>0</v>
      </c>
      <c r="M309" s="173">
        <f>M310+M311+M314+M315+M316+M317+M319+M322+M312</f>
        <v>0</v>
      </c>
      <c r="N309" s="173">
        <f>N310+N311+N314+N315+N316+N317+N319+N322+N312</f>
        <v>0</v>
      </c>
      <c r="O309" s="173">
        <f>O310+O311+O314+O315+O316+O317+O319+O322+O312</f>
        <v>0</v>
      </c>
      <c r="P309" s="173">
        <f>E309+J309</f>
        <v>24777131</v>
      </c>
      <c r="Q309" s="193"/>
      <c r="R309" s="197"/>
      <c r="S309" s="175"/>
      <c r="T309" s="175"/>
    </row>
    <row r="310" spans="1:20" s="52" customFormat="1" ht="36" customHeight="1">
      <c r="A310" s="46" t="s">
        <v>568</v>
      </c>
      <c r="B310" s="47" t="s">
        <v>264</v>
      </c>
      <c r="C310" s="46" t="s">
        <v>249</v>
      </c>
      <c r="D310" s="44" t="s">
        <v>265</v>
      </c>
      <c r="E310" s="48">
        <f aca="true" t="shared" si="31" ref="E310:E342">F310+I310</f>
        <v>8103543</v>
      </c>
      <c r="F310" s="49">
        <v>8103543</v>
      </c>
      <c r="G310" s="49">
        <v>5770821</v>
      </c>
      <c r="H310" s="49">
        <v>261400</v>
      </c>
      <c r="I310" s="49"/>
      <c r="J310" s="50">
        <f t="shared" si="29"/>
        <v>0</v>
      </c>
      <c r="K310" s="59"/>
      <c r="L310" s="49"/>
      <c r="M310" s="49"/>
      <c r="N310" s="49"/>
      <c r="O310" s="59"/>
      <c r="P310" s="48">
        <f t="shared" si="28"/>
        <v>8103543</v>
      </c>
      <c r="Q310" s="193"/>
      <c r="R310" s="89"/>
      <c r="S310" s="76"/>
      <c r="T310" s="76"/>
    </row>
    <row r="311" spans="1:20" s="52" customFormat="1" ht="22.5" customHeight="1">
      <c r="A311" s="46" t="s">
        <v>569</v>
      </c>
      <c r="B311" s="47" t="s">
        <v>254</v>
      </c>
      <c r="C311" s="46" t="s">
        <v>253</v>
      </c>
      <c r="D311" s="44" t="s">
        <v>255</v>
      </c>
      <c r="E311" s="48">
        <f t="shared" si="31"/>
        <v>211000</v>
      </c>
      <c r="F311" s="49">
        <v>211000</v>
      </c>
      <c r="G311" s="49"/>
      <c r="H311" s="49"/>
      <c r="I311" s="49"/>
      <c r="J311" s="50">
        <f t="shared" si="29"/>
        <v>0</v>
      </c>
      <c r="K311" s="59"/>
      <c r="L311" s="49"/>
      <c r="M311" s="49"/>
      <c r="N311" s="49"/>
      <c r="O311" s="59"/>
      <c r="P311" s="48">
        <f t="shared" si="28"/>
        <v>211000</v>
      </c>
      <c r="Q311" s="193"/>
      <c r="R311" s="89"/>
      <c r="S311" s="76"/>
      <c r="T311" s="76"/>
    </row>
    <row r="312" spans="1:20" s="260" customFormat="1" ht="24.75" customHeight="1">
      <c r="A312" s="103" t="s">
        <v>570</v>
      </c>
      <c r="B312" s="104" t="s">
        <v>515</v>
      </c>
      <c r="C312" s="103" t="s">
        <v>336</v>
      </c>
      <c r="D312" s="256" t="s">
        <v>516</v>
      </c>
      <c r="E312" s="48">
        <f>F312+I312</f>
        <v>14700000</v>
      </c>
      <c r="F312" s="51">
        <f>F313</f>
        <v>14700000</v>
      </c>
      <c r="G312" s="51"/>
      <c r="H312" s="51"/>
      <c r="I312" s="51"/>
      <c r="J312" s="48">
        <f t="shared" si="29"/>
        <v>0</v>
      </c>
      <c r="K312" s="51"/>
      <c r="L312" s="51"/>
      <c r="M312" s="51"/>
      <c r="N312" s="51"/>
      <c r="O312" s="51"/>
      <c r="P312" s="48">
        <f>E312+J312</f>
        <v>14700000</v>
      </c>
      <c r="Q312" s="257"/>
      <c r="R312" s="258"/>
      <c r="S312" s="259"/>
      <c r="T312" s="259"/>
    </row>
    <row r="313" spans="1:20" s="75" customFormat="1" ht="33.75" customHeight="1">
      <c r="A313" s="15"/>
      <c r="B313" s="16"/>
      <c r="C313" s="15"/>
      <c r="D313" s="3" t="s">
        <v>605</v>
      </c>
      <c r="E313" s="19">
        <f t="shared" si="31"/>
        <v>14700000</v>
      </c>
      <c r="F313" s="20">
        <v>14700000</v>
      </c>
      <c r="G313" s="20"/>
      <c r="H313" s="20"/>
      <c r="I313" s="20"/>
      <c r="J313" s="21">
        <f t="shared" si="29"/>
        <v>0</v>
      </c>
      <c r="K313" s="43"/>
      <c r="L313" s="20"/>
      <c r="M313" s="20"/>
      <c r="N313" s="20"/>
      <c r="O313" s="43"/>
      <c r="P313" s="19">
        <f t="shared" si="28"/>
        <v>14700000</v>
      </c>
      <c r="Q313" s="193"/>
      <c r="R313" s="14"/>
      <c r="S313" s="74"/>
      <c r="T313" s="74"/>
    </row>
    <row r="314" spans="1:20" s="52" customFormat="1" ht="26.25" customHeight="1">
      <c r="A314" s="46" t="s">
        <v>571</v>
      </c>
      <c r="B314" s="47" t="s">
        <v>573</v>
      </c>
      <c r="C314" s="46" t="s">
        <v>572</v>
      </c>
      <c r="D314" s="44" t="s">
        <v>574</v>
      </c>
      <c r="E314" s="48">
        <f>F314+I314</f>
        <v>242588</v>
      </c>
      <c r="F314" s="49">
        <v>242588</v>
      </c>
      <c r="G314" s="49"/>
      <c r="H314" s="49"/>
      <c r="I314" s="49"/>
      <c r="J314" s="50">
        <f t="shared" si="29"/>
        <v>0</v>
      </c>
      <c r="K314" s="59"/>
      <c r="L314" s="49"/>
      <c r="M314" s="49"/>
      <c r="N314" s="49"/>
      <c r="O314" s="59"/>
      <c r="P314" s="48">
        <f t="shared" si="28"/>
        <v>242588</v>
      </c>
      <c r="Q314" s="193"/>
      <c r="R314" s="89"/>
      <c r="S314" s="76"/>
      <c r="T314" s="76"/>
    </row>
    <row r="315" spans="1:20" s="52" customFormat="1" ht="23.25" customHeight="1">
      <c r="A315" s="46" t="s">
        <v>575</v>
      </c>
      <c r="B315" s="47" t="s">
        <v>576</v>
      </c>
      <c r="C315" s="46" t="s">
        <v>253</v>
      </c>
      <c r="D315" s="44" t="s">
        <v>577</v>
      </c>
      <c r="E315" s="48">
        <f>10000000-10000000</f>
        <v>0</v>
      </c>
      <c r="F315" s="49"/>
      <c r="G315" s="49"/>
      <c r="H315" s="49"/>
      <c r="I315" s="49"/>
      <c r="J315" s="50">
        <f t="shared" si="29"/>
        <v>0</v>
      </c>
      <c r="K315" s="59"/>
      <c r="L315" s="49"/>
      <c r="M315" s="49"/>
      <c r="N315" s="49"/>
      <c r="O315" s="59"/>
      <c r="P315" s="48">
        <f t="shared" si="28"/>
        <v>0</v>
      </c>
      <c r="Q315" s="193"/>
      <c r="R315" s="89"/>
      <c r="S315" s="76"/>
      <c r="T315" s="76"/>
    </row>
    <row r="316" spans="1:20" s="52" customFormat="1" ht="23.25" customHeight="1" hidden="1">
      <c r="A316" s="58" t="s">
        <v>197</v>
      </c>
      <c r="B316" s="47">
        <v>9150</v>
      </c>
      <c r="C316" s="58" t="s">
        <v>254</v>
      </c>
      <c r="D316" s="45" t="s">
        <v>198</v>
      </c>
      <c r="E316" s="48">
        <f>F316+I316</f>
        <v>0</v>
      </c>
      <c r="F316" s="49"/>
      <c r="G316" s="49"/>
      <c r="H316" s="49"/>
      <c r="I316" s="49"/>
      <c r="J316" s="50">
        <f t="shared" si="29"/>
        <v>0</v>
      </c>
      <c r="K316" s="59"/>
      <c r="L316" s="49"/>
      <c r="M316" s="49"/>
      <c r="N316" s="49"/>
      <c r="O316" s="59"/>
      <c r="P316" s="48">
        <f t="shared" si="28"/>
        <v>0</v>
      </c>
      <c r="Q316" s="193"/>
      <c r="R316" s="89"/>
      <c r="S316" s="76"/>
      <c r="T316" s="76"/>
    </row>
    <row r="317" spans="1:18" s="52" customFormat="1" ht="51" customHeight="1" hidden="1">
      <c r="A317" s="58" t="s">
        <v>35</v>
      </c>
      <c r="B317" s="47">
        <v>9510</v>
      </c>
      <c r="C317" s="58" t="s">
        <v>254</v>
      </c>
      <c r="D317" s="45" t="s">
        <v>36</v>
      </c>
      <c r="E317" s="48">
        <f>F317+I317</f>
        <v>0</v>
      </c>
      <c r="F317" s="49"/>
      <c r="G317" s="49"/>
      <c r="H317" s="49"/>
      <c r="I317" s="49"/>
      <c r="J317" s="48">
        <f>K317+N317</f>
        <v>0</v>
      </c>
      <c r="K317" s="59"/>
      <c r="L317" s="49"/>
      <c r="M317" s="49"/>
      <c r="N317" s="49"/>
      <c r="O317" s="59"/>
      <c r="P317" s="48">
        <f t="shared" si="28"/>
        <v>0</v>
      </c>
      <c r="Q317" s="211"/>
      <c r="R317" s="211"/>
    </row>
    <row r="318" spans="1:18" s="75" customFormat="1" ht="45.75" customHeight="1" hidden="1">
      <c r="A318" s="29"/>
      <c r="B318" s="16"/>
      <c r="C318" s="29"/>
      <c r="D318" s="18" t="s">
        <v>178</v>
      </c>
      <c r="E318" s="19">
        <f>F318+I318</f>
        <v>0</v>
      </c>
      <c r="F318" s="20"/>
      <c r="G318" s="20"/>
      <c r="H318" s="20"/>
      <c r="I318" s="20"/>
      <c r="J318" s="19">
        <f>K318+N318</f>
        <v>0</v>
      </c>
      <c r="K318" s="43"/>
      <c r="L318" s="20"/>
      <c r="M318" s="20"/>
      <c r="N318" s="20"/>
      <c r="O318" s="43"/>
      <c r="P318" s="19">
        <f t="shared" si="28"/>
        <v>0</v>
      </c>
      <c r="Q318" s="212"/>
      <c r="R318" s="232" t="s">
        <v>387</v>
      </c>
    </row>
    <row r="319" spans="1:20" s="52" customFormat="1" ht="22.5" customHeight="1">
      <c r="A319" s="46" t="s">
        <v>131</v>
      </c>
      <c r="B319" s="47" t="s">
        <v>479</v>
      </c>
      <c r="C319" s="46" t="s">
        <v>254</v>
      </c>
      <c r="D319" s="44" t="s">
        <v>480</v>
      </c>
      <c r="E319" s="48">
        <f>F319</f>
        <v>1520000</v>
      </c>
      <c r="F319" s="49">
        <f>F320+F321</f>
        <v>1520000</v>
      </c>
      <c r="G319" s="49"/>
      <c r="H319" s="49"/>
      <c r="I319" s="49"/>
      <c r="J319" s="50">
        <f t="shared" si="29"/>
        <v>0</v>
      </c>
      <c r="K319" s="59"/>
      <c r="L319" s="49"/>
      <c r="M319" s="49"/>
      <c r="N319" s="49"/>
      <c r="O319" s="59"/>
      <c r="P319" s="48">
        <f>E319+J319</f>
        <v>1520000</v>
      </c>
      <c r="Q319" s="193"/>
      <c r="R319" s="89"/>
      <c r="S319" s="76"/>
      <c r="T319" s="76"/>
    </row>
    <row r="320" spans="1:20" s="75" customFormat="1" ht="30" customHeight="1">
      <c r="A320" s="15"/>
      <c r="B320" s="16"/>
      <c r="C320" s="15"/>
      <c r="D320" s="3" t="s">
        <v>601</v>
      </c>
      <c r="E320" s="19">
        <f>F320+I320</f>
        <v>1520000</v>
      </c>
      <c r="F320" s="20">
        <v>1520000</v>
      </c>
      <c r="G320" s="20"/>
      <c r="H320" s="20"/>
      <c r="I320" s="20"/>
      <c r="J320" s="21">
        <f>L320+O320</f>
        <v>0</v>
      </c>
      <c r="K320" s="43"/>
      <c r="L320" s="20"/>
      <c r="M320" s="20"/>
      <c r="N320" s="20"/>
      <c r="O320" s="43"/>
      <c r="P320" s="19">
        <f>E320+J320</f>
        <v>1520000</v>
      </c>
      <c r="Q320" s="193">
        <f>P320+P36+P46+P65+P69+P126+P129+P212+P216+P145</f>
        <v>1520000</v>
      </c>
      <c r="R320" s="232" t="s">
        <v>383</v>
      </c>
      <c r="S320" s="74"/>
      <c r="T320" s="74"/>
    </row>
    <row r="321" spans="1:20" s="75" customFormat="1" ht="36.75" customHeight="1" hidden="1">
      <c r="A321" s="15"/>
      <c r="B321" s="16"/>
      <c r="C321" s="15"/>
      <c r="D321" s="3" t="s">
        <v>186</v>
      </c>
      <c r="E321" s="19">
        <f>F321+I321</f>
        <v>0</v>
      </c>
      <c r="F321" s="20"/>
      <c r="G321" s="20"/>
      <c r="H321" s="20"/>
      <c r="I321" s="20"/>
      <c r="J321" s="21">
        <f>L321+O321</f>
        <v>0</v>
      </c>
      <c r="K321" s="43"/>
      <c r="L321" s="20"/>
      <c r="M321" s="20"/>
      <c r="N321" s="20"/>
      <c r="O321" s="43"/>
      <c r="P321" s="19">
        <f>E321+J321</f>
        <v>0</v>
      </c>
      <c r="Q321" s="193"/>
      <c r="R321" s="14"/>
      <c r="S321" s="74"/>
      <c r="T321" s="74"/>
    </row>
    <row r="322" spans="1:20" s="52" customFormat="1" ht="41.25" customHeight="1" hidden="1">
      <c r="A322" s="46" t="s">
        <v>129</v>
      </c>
      <c r="B322" s="47">
        <v>9800</v>
      </c>
      <c r="C322" s="46" t="s">
        <v>254</v>
      </c>
      <c r="D322" s="44" t="s">
        <v>130</v>
      </c>
      <c r="E322" s="48">
        <f>F322+I322</f>
        <v>0</v>
      </c>
      <c r="F322" s="59"/>
      <c r="G322" s="49"/>
      <c r="H322" s="49"/>
      <c r="I322" s="49"/>
      <c r="J322" s="50">
        <f t="shared" si="29"/>
        <v>0</v>
      </c>
      <c r="K322" s="59"/>
      <c r="L322" s="49"/>
      <c r="M322" s="49"/>
      <c r="N322" s="49"/>
      <c r="O322" s="59"/>
      <c r="P322" s="48">
        <f aca="true" t="shared" si="32" ref="P322:P331">E322+J322</f>
        <v>0</v>
      </c>
      <c r="Q322" s="193"/>
      <c r="R322" s="89"/>
      <c r="S322" s="76"/>
      <c r="T322" s="76"/>
    </row>
    <row r="323" spans="1:20" s="117" customFormat="1" ht="39.75" customHeight="1">
      <c r="A323" s="110" t="s">
        <v>578</v>
      </c>
      <c r="B323" s="114"/>
      <c r="C323" s="108"/>
      <c r="D323" s="115" t="s">
        <v>579</v>
      </c>
      <c r="E323" s="99">
        <f t="shared" si="31"/>
        <v>1644239</v>
      </c>
      <c r="F323" s="99">
        <f>F324</f>
        <v>1644239</v>
      </c>
      <c r="G323" s="99">
        <f>G324</f>
        <v>528065</v>
      </c>
      <c r="H323" s="99">
        <f>H324</f>
        <v>0</v>
      </c>
      <c r="I323" s="99">
        <f>I324</f>
        <v>0</v>
      </c>
      <c r="J323" s="99">
        <f t="shared" si="29"/>
        <v>0</v>
      </c>
      <c r="K323" s="99">
        <f>K324</f>
        <v>0</v>
      </c>
      <c r="L323" s="99">
        <f>L324</f>
        <v>0</v>
      </c>
      <c r="M323" s="99">
        <f>M324</f>
        <v>0</v>
      </c>
      <c r="N323" s="99">
        <f>N324</f>
        <v>0</v>
      </c>
      <c r="O323" s="99">
        <f>O324</f>
        <v>0</v>
      </c>
      <c r="P323" s="99">
        <f t="shared" si="32"/>
        <v>1644239</v>
      </c>
      <c r="Q323" s="193"/>
      <c r="R323" s="196"/>
      <c r="S323" s="116"/>
      <c r="T323" s="116"/>
    </row>
    <row r="324" spans="1:20" s="176" customFormat="1" ht="27.75" customHeight="1">
      <c r="A324" s="169" t="s">
        <v>580</v>
      </c>
      <c r="B324" s="170"/>
      <c r="C324" s="171"/>
      <c r="D324" s="172" t="s">
        <v>44</v>
      </c>
      <c r="E324" s="173">
        <f>F324+I324</f>
        <v>1644239</v>
      </c>
      <c r="F324" s="173">
        <f>F325+F326+F327+F328+F329+F330</f>
        <v>1644239</v>
      </c>
      <c r="G324" s="173">
        <f>G325+G326+G327+G328+G329+G330</f>
        <v>528065</v>
      </c>
      <c r="H324" s="173">
        <f>H325+H326+H327+H328+H329+H330</f>
        <v>0</v>
      </c>
      <c r="I324" s="173">
        <f>I325+I326+I327+I328+I329+I330</f>
        <v>0</v>
      </c>
      <c r="J324" s="174">
        <f t="shared" si="29"/>
        <v>0</v>
      </c>
      <c r="K324" s="174">
        <f>K325+K326+K327+K328+K329+K330</f>
        <v>0</v>
      </c>
      <c r="L324" s="174">
        <f>L325+L326+L327+L328+L329+L330</f>
        <v>0</v>
      </c>
      <c r="M324" s="174">
        <f>M325+M326+M327+M328+M329+M330</f>
        <v>0</v>
      </c>
      <c r="N324" s="174">
        <f>N325+N326+N327+N328+N329+N330</f>
        <v>0</v>
      </c>
      <c r="O324" s="174">
        <f>O325+O326+O327+O328+O329+O330</f>
        <v>0</v>
      </c>
      <c r="P324" s="173">
        <f t="shared" si="32"/>
        <v>1644239</v>
      </c>
      <c r="Q324" s="193"/>
      <c r="R324" s="197"/>
      <c r="S324" s="175"/>
      <c r="T324" s="175"/>
    </row>
    <row r="325" spans="1:20" s="52" customFormat="1" ht="32.25" customHeight="1">
      <c r="A325" s="46" t="s">
        <v>581</v>
      </c>
      <c r="B325" s="47" t="s">
        <v>264</v>
      </c>
      <c r="C325" s="46" t="s">
        <v>249</v>
      </c>
      <c r="D325" s="44" t="s">
        <v>265</v>
      </c>
      <c r="E325" s="48">
        <f>F325+I325</f>
        <v>644239</v>
      </c>
      <c r="F325" s="49">
        <v>644239</v>
      </c>
      <c r="G325" s="49">
        <v>528065</v>
      </c>
      <c r="H325" s="49"/>
      <c r="I325" s="49"/>
      <c r="J325" s="50">
        <f aca="true" t="shared" si="33" ref="J325:J344">L325+O325</f>
        <v>0</v>
      </c>
      <c r="K325" s="59"/>
      <c r="L325" s="49"/>
      <c r="M325" s="49"/>
      <c r="N325" s="49"/>
      <c r="O325" s="59"/>
      <c r="P325" s="48">
        <f t="shared" si="32"/>
        <v>644239</v>
      </c>
      <c r="Q325" s="193"/>
      <c r="R325" s="89"/>
      <c r="S325" s="76"/>
      <c r="T325" s="76"/>
    </row>
    <row r="326" spans="1:20" s="52" customFormat="1" ht="24.75" customHeight="1" hidden="1">
      <c r="A326" s="46" t="s">
        <v>582</v>
      </c>
      <c r="B326" s="47" t="s">
        <v>254</v>
      </c>
      <c r="C326" s="46" t="s">
        <v>253</v>
      </c>
      <c r="D326" s="44" t="s">
        <v>255</v>
      </c>
      <c r="E326" s="48">
        <f t="shared" si="31"/>
        <v>0</v>
      </c>
      <c r="F326" s="49"/>
      <c r="G326" s="49"/>
      <c r="H326" s="49"/>
      <c r="I326" s="49"/>
      <c r="J326" s="50">
        <f t="shared" si="33"/>
        <v>0</v>
      </c>
      <c r="K326" s="59"/>
      <c r="L326" s="49"/>
      <c r="M326" s="49"/>
      <c r="N326" s="49"/>
      <c r="O326" s="59"/>
      <c r="P326" s="48">
        <f t="shared" si="32"/>
        <v>0</v>
      </c>
      <c r="Q326" s="193"/>
      <c r="R326" s="89"/>
      <c r="S326" s="76"/>
      <c r="T326" s="76"/>
    </row>
    <row r="327" spans="1:20" s="260" customFormat="1" ht="21" customHeight="1">
      <c r="A327" s="287">
        <v>4113133</v>
      </c>
      <c r="B327" s="287" t="s">
        <v>202</v>
      </c>
      <c r="C327" s="287" t="s">
        <v>283</v>
      </c>
      <c r="D327" s="262" t="s">
        <v>229</v>
      </c>
      <c r="E327" s="48">
        <f t="shared" si="31"/>
        <v>1000000</v>
      </c>
      <c r="F327" s="51">
        <v>1000000</v>
      </c>
      <c r="G327" s="51"/>
      <c r="H327" s="51"/>
      <c r="I327" s="51"/>
      <c r="J327" s="48">
        <f t="shared" si="33"/>
        <v>0</v>
      </c>
      <c r="K327" s="51"/>
      <c r="L327" s="51"/>
      <c r="M327" s="51"/>
      <c r="N327" s="51"/>
      <c r="O327" s="51"/>
      <c r="P327" s="48">
        <f t="shared" si="32"/>
        <v>1000000</v>
      </c>
      <c r="Q327" s="257"/>
      <c r="R327" s="258"/>
      <c r="S327" s="259"/>
      <c r="T327" s="259"/>
    </row>
    <row r="328" spans="1:20" s="52" customFormat="1" ht="19.5" customHeight="1" hidden="1">
      <c r="A328" s="46" t="s">
        <v>70</v>
      </c>
      <c r="B328" s="47" t="s">
        <v>71</v>
      </c>
      <c r="C328" s="46" t="s">
        <v>447</v>
      </c>
      <c r="D328" s="44" t="s">
        <v>448</v>
      </c>
      <c r="E328" s="48">
        <f t="shared" si="31"/>
        <v>0</v>
      </c>
      <c r="F328" s="49"/>
      <c r="G328" s="49"/>
      <c r="H328" s="49"/>
      <c r="I328" s="49"/>
      <c r="J328" s="50">
        <f t="shared" si="33"/>
        <v>0</v>
      </c>
      <c r="K328" s="59"/>
      <c r="L328" s="49"/>
      <c r="M328" s="49"/>
      <c r="N328" s="49"/>
      <c r="O328" s="59"/>
      <c r="P328" s="48">
        <f t="shared" si="32"/>
        <v>0</v>
      </c>
      <c r="Q328" s="193"/>
      <c r="R328" s="89"/>
      <c r="S328" s="76"/>
      <c r="T328" s="76"/>
    </row>
    <row r="329" spans="1:20" s="52" customFormat="1" ht="27.75" customHeight="1" hidden="1">
      <c r="A329" s="58" t="s">
        <v>143</v>
      </c>
      <c r="B329" s="47">
        <v>6017</v>
      </c>
      <c r="C329" s="58" t="s">
        <v>450</v>
      </c>
      <c r="D329" s="61" t="s">
        <v>48</v>
      </c>
      <c r="E329" s="48">
        <f t="shared" si="31"/>
        <v>0</v>
      </c>
      <c r="F329" s="49"/>
      <c r="G329" s="49"/>
      <c r="H329" s="49"/>
      <c r="I329" s="49"/>
      <c r="J329" s="50">
        <f t="shared" si="33"/>
        <v>0</v>
      </c>
      <c r="K329" s="59"/>
      <c r="L329" s="49"/>
      <c r="M329" s="49"/>
      <c r="N329" s="49"/>
      <c r="O329" s="59"/>
      <c r="P329" s="48">
        <f t="shared" si="32"/>
        <v>0</v>
      </c>
      <c r="Q329" s="193"/>
      <c r="R329" s="89"/>
      <c r="S329" s="76"/>
      <c r="T329" s="76"/>
    </row>
    <row r="330" spans="1:20" s="52" customFormat="1" ht="22.5" customHeight="1" hidden="1">
      <c r="A330" s="46" t="s">
        <v>583</v>
      </c>
      <c r="B330" s="47" t="s">
        <v>457</v>
      </c>
      <c r="C330" s="46" t="s">
        <v>450</v>
      </c>
      <c r="D330" s="44" t="s">
        <v>458</v>
      </c>
      <c r="E330" s="48">
        <f t="shared" si="31"/>
        <v>0</v>
      </c>
      <c r="F330" s="49"/>
      <c r="G330" s="49"/>
      <c r="H330" s="49"/>
      <c r="I330" s="49"/>
      <c r="J330" s="50">
        <f t="shared" si="33"/>
        <v>0</v>
      </c>
      <c r="K330" s="59"/>
      <c r="L330" s="49"/>
      <c r="M330" s="49"/>
      <c r="N330" s="49"/>
      <c r="O330" s="59"/>
      <c r="P330" s="48">
        <f t="shared" si="32"/>
        <v>0</v>
      </c>
      <c r="Q330" s="193"/>
      <c r="R330" s="89"/>
      <c r="S330" s="76"/>
      <c r="T330" s="76"/>
    </row>
    <row r="331" spans="1:20" s="117" customFormat="1" ht="30" customHeight="1">
      <c r="A331" s="110" t="s">
        <v>584</v>
      </c>
      <c r="B331" s="114"/>
      <c r="C331" s="108"/>
      <c r="D331" s="115" t="s">
        <v>579</v>
      </c>
      <c r="E331" s="99">
        <f t="shared" si="31"/>
        <v>975251</v>
      </c>
      <c r="F331" s="99">
        <f>F332</f>
        <v>975251</v>
      </c>
      <c r="G331" s="99">
        <f>G332</f>
        <v>799386</v>
      </c>
      <c r="H331" s="99">
        <f>H332</f>
        <v>0</v>
      </c>
      <c r="I331" s="99">
        <f>I332</f>
        <v>0</v>
      </c>
      <c r="J331" s="99">
        <f t="shared" si="33"/>
        <v>0</v>
      </c>
      <c r="K331" s="99">
        <f>K332</f>
        <v>0</v>
      </c>
      <c r="L331" s="99">
        <f>L332</f>
        <v>0</v>
      </c>
      <c r="M331" s="99">
        <f>M332</f>
        <v>0</v>
      </c>
      <c r="N331" s="99">
        <f>N332</f>
        <v>0</v>
      </c>
      <c r="O331" s="99">
        <f>O332</f>
        <v>0</v>
      </c>
      <c r="P331" s="99">
        <f t="shared" si="32"/>
        <v>975251</v>
      </c>
      <c r="Q331" s="193"/>
      <c r="R331" s="196"/>
      <c r="S331" s="116"/>
      <c r="T331" s="116"/>
    </row>
    <row r="332" spans="1:20" s="176" customFormat="1" ht="27" customHeight="1">
      <c r="A332" s="169" t="s">
        <v>585</v>
      </c>
      <c r="B332" s="170"/>
      <c r="C332" s="171"/>
      <c r="D332" s="177" t="s">
        <v>45</v>
      </c>
      <c r="E332" s="173">
        <f t="shared" si="31"/>
        <v>975251</v>
      </c>
      <c r="F332" s="173">
        <f>F333+F334+F335+F336+F337+F338</f>
        <v>975251</v>
      </c>
      <c r="G332" s="173">
        <f>G333+G334+G335+G336+G337+G338</f>
        <v>799386</v>
      </c>
      <c r="H332" s="173">
        <f>H333+H334+H335+H336+H337+H338</f>
        <v>0</v>
      </c>
      <c r="I332" s="173">
        <f>I333+I334+I335+I336+I337+I338</f>
        <v>0</v>
      </c>
      <c r="J332" s="174">
        <f>L332+O332</f>
        <v>0</v>
      </c>
      <c r="K332" s="174">
        <f>K333+K334+K335+K336+K337+K338</f>
        <v>0</v>
      </c>
      <c r="L332" s="174">
        <f>L333+L334+L335+L336+L337+L338</f>
        <v>0</v>
      </c>
      <c r="M332" s="174">
        <f>M333+M334+M335+M336+M337+M338</f>
        <v>0</v>
      </c>
      <c r="N332" s="174">
        <f>N333+N334+N335+N336+N337+N338</f>
        <v>0</v>
      </c>
      <c r="O332" s="174">
        <f>O333+O334+O335+O336+O337+O338</f>
        <v>0</v>
      </c>
      <c r="P332" s="173">
        <f>E332+J332</f>
        <v>975251</v>
      </c>
      <c r="Q332" s="193"/>
      <c r="R332" s="197"/>
      <c r="S332" s="175"/>
      <c r="T332" s="175"/>
    </row>
    <row r="333" spans="1:20" s="52" customFormat="1" ht="35.25" customHeight="1">
      <c r="A333" s="46" t="s">
        <v>586</v>
      </c>
      <c r="B333" s="47" t="s">
        <v>264</v>
      </c>
      <c r="C333" s="46" t="s">
        <v>249</v>
      </c>
      <c r="D333" s="44" t="s">
        <v>265</v>
      </c>
      <c r="E333" s="48">
        <f t="shared" si="31"/>
        <v>975251</v>
      </c>
      <c r="F333" s="49">
        <v>975251</v>
      </c>
      <c r="G333" s="49">
        <v>799386</v>
      </c>
      <c r="H333" s="49"/>
      <c r="I333" s="49"/>
      <c r="J333" s="50">
        <f t="shared" si="33"/>
        <v>0</v>
      </c>
      <c r="K333" s="59"/>
      <c r="L333" s="49"/>
      <c r="M333" s="49"/>
      <c r="N333" s="49"/>
      <c r="O333" s="59"/>
      <c r="P333" s="48">
        <f aca="true" t="shared" si="34" ref="P333:P344">E333+J333</f>
        <v>975251</v>
      </c>
      <c r="Q333" s="193"/>
      <c r="R333" s="89"/>
      <c r="S333" s="76"/>
      <c r="T333" s="76"/>
    </row>
    <row r="334" spans="1:20" s="52" customFormat="1" ht="39" customHeight="1" hidden="1">
      <c r="A334" s="58" t="s">
        <v>116</v>
      </c>
      <c r="B334" s="58" t="s">
        <v>572</v>
      </c>
      <c r="C334" s="58" t="s">
        <v>117</v>
      </c>
      <c r="D334" s="45" t="s">
        <v>118</v>
      </c>
      <c r="E334" s="48">
        <f t="shared" si="31"/>
        <v>0</v>
      </c>
      <c r="F334" s="59"/>
      <c r="G334" s="49"/>
      <c r="H334" s="49"/>
      <c r="I334" s="49"/>
      <c r="J334" s="50">
        <f t="shared" si="33"/>
        <v>0</v>
      </c>
      <c r="K334" s="59"/>
      <c r="L334" s="49"/>
      <c r="M334" s="49"/>
      <c r="N334" s="49"/>
      <c r="O334" s="59"/>
      <c r="P334" s="48">
        <f t="shared" si="34"/>
        <v>0</v>
      </c>
      <c r="Q334" s="193"/>
      <c r="R334" s="89"/>
      <c r="S334" s="76"/>
      <c r="T334" s="76"/>
    </row>
    <row r="335" spans="1:20" s="52" customFormat="1" ht="19.5" customHeight="1" hidden="1">
      <c r="A335" s="46" t="s">
        <v>587</v>
      </c>
      <c r="B335" s="47" t="s">
        <v>254</v>
      </c>
      <c r="C335" s="46" t="s">
        <v>253</v>
      </c>
      <c r="D335" s="44" t="s">
        <v>255</v>
      </c>
      <c r="E335" s="48">
        <f t="shared" si="31"/>
        <v>0</v>
      </c>
      <c r="F335" s="49"/>
      <c r="G335" s="49"/>
      <c r="H335" s="49"/>
      <c r="I335" s="49"/>
      <c r="J335" s="50">
        <f t="shared" si="33"/>
        <v>0</v>
      </c>
      <c r="K335" s="59"/>
      <c r="L335" s="49"/>
      <c r="M335" s="49"/>
      <c r="N335" s="49"/>
      <c r="O335" s="59"/>
      <c r="P335" s="48">
        <f t="shared" si="34"/>
        <v>0</v>
      </c>
      <c r="Q335" s="193"/>
      <c r="R335" s="89"/>
      <c r="S335" s="76"/>
      <c r="T335" s="76"/>
    </row>
    <row r="336" spans="1:20" s="52" customFormat="1" ht="22.5" customHeight="1" hidden="1">
      <c r="A336" s="46" t="s">
        <v>72</v>
      </c>
      <c r="B336" s="47" t="s">
        <v>71</v>
      </c>
      <c r="C336" s="46" t="s">
        <v>447</v>
      </c>
      <c r="D336" s="44" t="s">
        <v>448</v>
      </c>
      <c r="E336" s="48">
        <f t="shared" si="31"/>
        <v>0</v>
      </c>
      <c r="F336" s="49"/>
      <c r="G336" s="49"/>
      <c r="H336" s="49"/>
      <c r="I336" s="49"/>
      <c r="J336" s="50">
        <f t="shared" si="33"/>
        <v>0</v>
      </c>
      <c r="K336" s="59"/>
      <c r="L336" s="49"/>
      <c r="M336" s="49"/>
      <c r="N336" s="49"/>
      <c r="O336" s="59"/>
      <c r="P336" s="48">
        <f t="shared" si="34"/>
        <v>0</v>
      </c>
      <c r="Q336" s="193"/>
      <c r="R336" s="89"/>
      <c r="S336" s="76"/>
      <c r="T336" s="76"/>
    </row>
    <row r="337" spans="1:20" s="124" customFormat="1" ht="35.25" customHeight="1" hidden="1">
      <c r="A337" s="62" t="s">
        <v>53</v>
      </c>
      <c r="B337" s="60">
        <v>6017</v>
      </c>
      <c r="C337" s="55" t="s">
        <v>450</v>
      </c>
      <c r="D337" s="61" t="s">
        <v>48</v>
      </c>
      <c r="E337" s="48">
        <f t="shared" si="31"/>
        <v>0</v>
      </c>
      <c r="F337" s="59"/>
      <c r="G337" s="59"/>
      <c r="H337" s="59"/>
      <c r="I337" s="59"/>
      <c r="J337" s="50">
        <f t="shared" si="33"/>
        <v>0</v>
      </c>
      <c r="K337" s="59"/>
      <c r="L337" s="59"/>
      <c r="M337" s="59"/>
      <c r="N337" s="59"/>
      <c r="O337" s="59"/>
      <c r="P337" s="48">
        <f t="shared" si="34"/>
        <v>0</v>
      </c>
      <c r="Q337" s="193"/>
      <c r="R337" s="213"/>
      <c r="S337" s="123"/>
      <c r="T337" s="123"/>
    </row>
    <row r="338" spans="1:20" s="52" customFormat="1" ht="23.25" customHeight="1" hidden="1">
      <c r="A338" s="46" t="s">
        <v>588</v>
      </c>
      <c r="B338" s="47" t="s">
        <v>457</v>
      </c>
      <c r="C338" s="46" t="s">
        <v>450</v>
      </c>
      <c r="D338" s="44" t="s">
        <v>458</v>
      </c>
      <c r="E338" s="48">
        <f t="shared" si="31"/>
        <v>0</v>
      </c>
      <c r="F338" s="49"/>
      <c r="G338" s="49"/>
      <c r="H338" s="49"/>
      <c r="I338" s="49"/>
      <c r="J338" s="50">
        <f t="shared" si="33"/>
        <v>0</v>
      </c>
      <c r="K338" s="59"/>
      <c r="L338" s="51"/>
      <c r="M338" s="51"/>
      <c r="N338" s="51"/>
      <c r="O338" s="59"/>
      <c r="P338" s="48">
        <f t="shared" si="34"/>
        <v>0</v>
      </c>
      <c r="Q338" s="193"/>
      <c r="R338" s="89"/>
      <c r="S338" s="76"/>
      <c r="T338" s="76"/>
    </row>
    <row r="339" spans="1:20" s="117" customFormat="1" ht="31.5" customHeight="1">
      <c r="A339" s="110" t="s">
        <v>589</v>
      </c>
      <c r="B339" s="114"/>
      <c r="C339" s="108"/>
      <c r="D339" s="115" t="s">
        <v>579</v>
      </c>
      <c r="E339" s="99">
        <f>E340</f>
        <v>1135785</v>
      </c>
      <c r="F339" s="99">
        <f>F340</f>
        <v>1135785</v>
      </c>
      <c r="G339" s="99">
        <f>G340</f>
        <v>930971</v>
      </c>
      <c r="H339" s="99">
        <f>H340</f>
        <v>0</v>
      </c>
      <c r="I339" s="99">
        <f>I340</f>
        <v>0</v>
      </c>
      <c r="J339" s="99">
        <f t="shared" si="33"/>
        <v>0</v>
      </c>
      <c r="K339" s="99">
        <f>K340</f>
        <v>0</v>
      </c>
      <c r="L339" s="99">
        <f>L340</f>
        <v>0</v>
      </c>
      <c r="M339" s="99">
        <f>M340</f>
        <v>0</v>
      </c>
      <c r="N339" s="99">
        <f>N340</f>
        <v>0</v>
      </c>
      <c r="O339" s="99">
        <f>O340</f>
        <v>0</v>
      </c>
      <c r="P339" s="99">
        <f t="shared" si="34"/>
        <v>1135785</v>
      </c>
      <c r="Q339" s="193"/>
      <c r="R339" s="196"/>
      <c r="S339" s="116"/>
      <c r="T339" s="116"/>
    </row>
    <row r="340" spans="1:20" s="176" customFormat="1" ht="27" customHeight="1">
      <c r="A340" s="169" t="s">
        <v>590</v>
      </c>
      <c r="B340" s="170"/>
      <c r="C340" s="171"/>
      <c r="D340" s="177" t="s">
        <v>46</v>
      </c>
      <c r="E340" s="173">
        <f t="shared" si="31"/>
        <v>1135785</v>
      </c>
      <c r="F340" s="173">
        <f>F341+F342+F343+F344</f>
        <v>1135785</v>
      </c>
      <c r="G340" s="173">
        <f>G341+G342+G343+G344</f>
        <v>930971</v>
      </c>
      <c r="H340" s="173">
        <f>H341+H342+H343+H344</f>
        <v>0</v>
      </c>
      <c r="I340" s="173">
        <f>I341+I342+I343+I344</f>
        <v>0</v>
      </c>
      <c r="J340" s="174">
        <f t="shared" si="33"/>
        <v>0</v>
      </c>
      <c r="K340" s="173">
        <f>K341+K342+K343+K344</f>
        <v>0</v>
      </c>
      <c r="L340" s="173">
        <f>L341+L342+L343+L344</f>
        <v>0</v>
      </c>
      <c r="M340" s="173">
        <f>M341+M342+M343+M344</f>
        <v>0</v>
      </c>
      <c r="N340" s="173">
        <f>N341+N342+N343+N344</f>
        <v>0</v>
      </c>
      <c r="O340" s="173">
        <f>O341+O342+O343+O344</f>
        <v>0</v>
      </c>
      <c r="P340" s="173">
        <f>E340+J340</f>
        <v>1135785</v>
      </c>
      <c r="Q340" s="193"/>
      <c r="R340" s="197"/>
      <c r="S340" s="175"/>
      <c r="T340" s="175"/>
    </row>
    <row r="341" spans="1:20" s="52" customFormat="1" ht="33.75" customHeight="1">
      <c r="A341" s="46" t="s">
        <v>591</v>
      </c>
      <c r="B341" s="47" t="s">
        <v>264</v>
      </c>
      <c r="C341" s="46" t="s">
        <v>249</v>
      </c>
      <c r="D341" s="44" t="s">
        <v>265</v>
      </c>
      <c r="E341" s="48">
        <f t="shared" si="31"/>
        <v>1135785</v>
      </c>
      <c r="F341" s="49">
        <v>1135785</v>
      </c>
      <c r="G341" s="49">
        <v>930971</v>
      </c>
      <c r="H341" s="49"/>
      <c r="I341" s="49"/>
      <c r="J341" s="50">
        <f t="shared" si="33"/>
        <v>0</v>
      </c>
      <c r="K341" s="59"/>
      <c r="L341" s="49"/>
      <c r="M341" s="49"/>
      <c r="N341" s="49"/>
      <c r="O341" s="59"/>
      <c r="P341" s="48">
        <f t="shared" si="34"/>
        <v>1135785</v>
      </c>
      <c r="Q341" s="193"/>
      <c r="R341" s="89"/>
      <c r="S341" s="76"/>
      <c r="T341" s="76"/>
    </row>
    <row r="342" spans="1:20" s="52" customFormat="1" ht="22.5" customHeight="1" hidden="1">
      <c r="A342" s="46" t="s">
        <v>592</v>
      </c>
      <c r="B342" s="47" t="s">
        <v>254</v>
      </c>
      <c r="C342" s="46" t="s">
        <v>253</v>
      </c>
      <c r="D342" s="44" t="s">
        <v>255</v>
      </c>
      <c r="E342" s="48">
        <f t="shared" si="31"/>
        <v>0</v>
      </c>
      <c r="F342" s="49"/>
      <c r="G342" s="49"/>
      <c r="H342" s="49"/>
      <c r="I342" s="49"/>
      <c r="J342" s="50">
        <f t="shared" si="33"/>
        <v>0</v>
      </c>
      <c r="K342" s="59"/>
      <c r="L342" s="49"/>
      <c r="M342" s="49"/>
      <c r="N342" s="49"/>
      <c r="O342" s="59"/>
      <c r="P342" s="48">
        <f t="shared" si="34"/>
        <v>0</v>
      </c>
      <c r="Q342" s="193"/>
      <c r="R342" s="89"/>
      <c r="S342" s="76"/>
      <c r="T342" s="76"/>
    </row>
    <row r="343" spans="1:20" s="52" customFormat="1" ht="26.25" customHeight="1" hidden="1">
      <c r="A343" s="46" t="s">
        <v>73</v>
      </c>
      <c r="B343" s="47" t="s">
        <v>71</v>
      </c>
      <c r="C343" s="46" t="s">
        <v>447</v>
      </c>
      <c r="D343" s="44" t="s">
        <v>448</v>
      </c>
      <c r="E343" s="48">
        <f>F343+I343</f>
        <v>0</v>
      </c>
      <c r="F343" s="49"/>
      <c r="G343" s="49"/>
      <c r="H343" s="49"/>
      <c r="I343" s="49"/>
      <c r="J343" s="50">
        <f t="shared" si="33"/>
        <v>0</v>
      </c>
      <c r="K343" s="59"/>
      <c r="L343" s="49"/>
      <c r="M343" s="49"/>
      <c r="N343" s="49"/>
      <c r="O343" s="59"/>
      <c r="P343" s="48">
        <f t="shared" si="34"/>
        <v>0</v>
      </c>
      <c r="Q343" s="193"/>
      <c r="R343" s="89"/>
      <c r="S343" s="76"/>
      <c r="T343" s="76"/>
    </row>
    <row r="344" spans="1:20" s="52" customFormat="1" ht="26.25" customHeight="1" hidden="1">
      <c r="A344" s="46" t="s">
        <v>593</v>
      </c>
      <c r="B344" s="47" t="s">
        <v>457</v>
      </c>
      <c r="C344" s="46" t="s">
        <v>450</v>
      </c>
      <c r="D344" s="44" t="s">
        <v>458</v>
      </c>
      <c r="E344" s="48">
        <f>F344+I344</f>
        <v>0</v>
      </c>
      <c r="F344" s="49"/>
      <c r="G344" s="51"/>
      <c r="H344" s="49"/>
      <c r="I344" s="49"/>
      <c r="J344" s="50">
        <f t="shared" si="33"/>
        <v>0</v>
      </c>
      <c r="K344" s="59"/>
      <c r="L344" s="49"/>
      <c r="M344" s="49"/>
      <c r="N344" s="49"/>
      <c r="O344" s="59"/>
      <c r="P344" s="48">
        <f t="shared" si="34"/>
        <v>0</v>
      </c>
      <c r="Q344" s="193"/>
      <c r="R344" s="89"/>
      <c r="S344" s="76"/>
      <c r="T344" s="76"/>
    </row>
    <row r="345" spans="1:21" s="92" customFormat="1" ht="36" customHeight="1">
      <c r="A345" s="30" t="s">
        <v>235</v>
      </c>
      <c r="B345" s="31" t="s">
        <v>235</v>
      </c>
      <c r="C345" s="30" t="s">
        <v>235</v>
      </c>
      <c r="D345" s="32" t="s">
        <v>236</v>
      </c>
      <c r="E345" s="33">
        <f>F345+I345+E315</f>
        <v>1928220330</v>
      </c>
      <c r="F345" s="33">
        <f>F16+F22+F30+F78+F112+F161+F194+F243+F251+F255+F263+F271+F279+F286+F296+F302+F308+F323+F331+F339+F180</f>
        <v>1850133930</v>
      </c>
      <c r="G345" s="33">
        <f>G16+G22+G30+G78+G112+G194+G243+G251+G255+G263+G271+G279+G286+G296+G302+G308+G323+G331+G339+G161+G180</f>
        <v>761381622.18</v>
      </c>
      <c r="H345" s="33">
        <f>H16+H22+H30+H78+H112+H194+H243+H251+H255+H263+H271+H279+H286+H296+H302+H308+H323+H331+H339+H161+H180</f>
        <v>168200575</v>
      </c>
      <c r="I345" s="33">
        <f>I16+I22+I30+I78+I112+I194+I243+I251+I255+I263+I271+I279+I286+I296+I302+I308+I323+I331+I339+I161+I180</f>
        <v>78086400</v>
      </c>
      <c r="J345" s="34">
        <f>L345+O345</f>
        <v>225099196</v>
      </c>
      <c r="K345" s="34">
        <f>K16+K22+K30+K78+K112+K194+K243+K251+K255+K263+K271+K279+K286+K296+K302+K308+K323+K331+K339+K161+K180</f>
        <v>167858813</v>
      </c>
      <c r="L345" s="34">
        <f>L16+L22+L30+L78+L112+L194+L243+L251+L255+L263+L271+L279+L286+L296+L302+L308+L323+L331+L339+L161+L180</f>
        <v>51889796</v>
      </c>
      <c r="M345" s="34">
        <f>M16+M22+M30+M78+M112+M194+M243+M251+M255+M263+M271+M279+M286+M296+M302+M308+M323+M331+M339+M161+M180</f>
        <v>1630138</v>
      </c>
      <c r="N345" s="34">
        <f>N16+N22+N30+N78+N112+N194+N243+N251+N255+N263+N271+N279+N286+N296+N302+N308+N323+N331+N339+N161+N180</f>
        <v>134896</v>
      </c>
      <c r="O345" s="34">
        <f>O16+O22+O30+O78+O112+O194+O243+O251+O255+O263+O271+O279+O286+O296+O302+O308+O323+O331+O339+O161+O180</f>
        <v>173209400</v>
      </c>
      <c r="P345" s="33">
        <f>P16+P22+P30+P78+P112+P161+P180+P194+P243+P251+P255+P263+P271+P279+P286+P296+P302+P308+P323+P331+P339</f>
        <v>2153319526</v>
      </c>
      <c r="Q345" s="214">
        <f>'[1]12'!$C$201-P345</f>
        <v>-4720000</v>
      </c>
      <c r="R345" s="225"/>
      <c r="S345" s="90"/>
      <c r="T345" s="90">
        <f>8260000-3540000</f>
        <v>4720000</v>
      </c>
      <c r="U345" s="91">
        <f>R345+S345+T345</f>
        <v>4720000</v>
      </c>
    </row>
    <row r="346" spans="9:21" ht="24.75" customHeight="1">
      <c r="I346" s="93"/>
      <c r="J346" s="10"/>
      <c r="Q346" s="195"/>
      <c r="U346" s="129">
        <f>Q345+U345</f>
        <v>0</v>
      </c>
    </row>
    <row r="347" spans="9:10" ht="26.25" customHeight="1">
      <c r="I347" s="93"/>
      <c r="J347" s="10"/>
    </row>
    <row r="348" spans="1:19" ht="37.5" customHeight="1">
      <c r="A348" s="320" t="s">
        <v>204</v>
      </c>
      <c r="B348" s="320"/>
      <c r="C348" s="320"/>
      <c r="D348" s="320"/>
      <c r="E348" s="320"/>
      <c r="F348" s="320"/>
      <c r="G348" s="11"/>
      <c r="I348" s="93"/>
      <c r="J348" s="10"/>
      <c r="L348" s="314" t="s">
        <v>205</v>
      </c>
      <c r="M348" s="314"/>
      <c r="N348" s="315"/>
      <c r="O348" s="315"/>
      <c r="Q348" s="291">
        <v>48040383</v>
      </c>
      <c r="R348" s="216" t="s">
        <v>209</v>
      </c>
      <c r="S348" s="130"/>
    </row>
    <row r="349" spans="9:19" ht="15.75">
      <c r="I349" s="131"/>
      <c r="J349" s="35"/>
      <c r="K349" s="235"/>
      <c r="P349" s="65">
        <f>E345+J345</f>
        <v>2153319526</v>
      </c>
      <c r="Q349" s="291">
        <v>9200000</v>
      </c>
      <c r="R349" s="216" t="s">
        <v>160</v>
      </c>
      <c r="S349" s="130"/>
    </row>
    <row r="350" spans="10:19" ht="15.75">
      <c r="J350" s="12"/>
      <c r="Q350" s="217">
        <v>0</v>
      </c>
      <c r="R350" s="216" t="s">
        <v>161</v>
      </c>
      <c r="S350" s="130"/>
    </row>
    <row r="351" spans="1:20" s="133" customFormat="1" ht="21.75" customHeight="1">
      <c r="A351" s="132"/>
      <c r="C351" s="132"/>
      <c r="E351" s="134" t="s">
        <v>25</v>
      </c>
      <c r="F351" s="134">
        <f aca="true" t="shared" si="35" ref="F351:P351">F16+F22+F30+F78+F112+F161+F180+F194+F243+F251+F255+F263+F271+F279+F286+F296+F302+F308+F323+F331+F339</f>
        <v>1850133930</v>
      </c>
      <c r="G351" s="134">
        <f t="shared" si="35"/>
        <v>761381622.18</v>
      </c>
      <c r="H351" s="134">
        <f t="shared" si="35"/>
        <v>168200575</v>
      </c>
      <c r="I351" s="134">
        <f t="shared" si="35"/>
        <v>78086400</v>
      </c>
      <c r="J351" s="134">
        <f t="shared" si="35"/>
        <v>225099196</v>
      </c>
      <c r="K351" s="236">
        <f t="shared" si="35"/>
        <v>167858813</v>
      </c>
      <c r="L351" s="134">
        <f t="shared" si="35"/>
        <v>51889796</v>
      </c>
      <c r="M351" s="134">
        <f t="shared" si="35"/>
        <v>1630138</v>
      </c>
      <c r="N351" s="134">
        <f t="shared" si="35"/>
        <v>134896</v>
      </c>
      <c r="O351" s="236">
        <f t="shared" si="35"/>
        <v>173209400</v>
      </c>
      <c r="P351" s="134">
        <f t="shared" si="35"/>
        <v>2153319526</v>
      </c>
      <c r="Q351" s="218">
        <v>0</v>
      </c>
      <c r="R351" s="219" t="s">
        <v>162</v>
      </c>
      <c r="S351" s="135"/>
      <c r="T351" s="136"/>
    </row>
    <row r="352" spans="5:19" ht="15.75">
      <c r="E352" s="137" t="s">
        <v>26</v>
      </c>
      <c r="F352" s="134">
        <f>F345-F351</f>
        <v>0</v>
      </c>
      <c r="G352" s="134">
        <f>G345-G351</f>
        <v>0</v>
      </c>
      <c r="H352" s="134">
        <f>H345-H351</f>
        <v>0</v>
      </c>
      <c r="I352" s="134">
        <f aca="true" t="shared" si="36" ref="I352:P352">I345-I351</f>
        <v>0</v>
      </c>
      <c r="J352" s="134">
        <f t="shared" si="36"/>
        <v>0</v>
      </c>
      <c r="K352" s="236">
        <f t="shared" si="36"/>
        <v>0</v>
      </c>
      <c r="L352" s="134">
        <f t="shared" si="36"/>
        <v>0</v>
      </c>
      <c r="M352" s="134">
        <f t="shared" si="36"/>
        <v>0</v>
      </c>
      <c r="N352" s="134">
        <f t="shared" si="36"/>
        <v>0</v>
      </c>
      <c r="O352" s="236">
        <f t="shared" si="36"/>
        <v>0</v>
      </c>
      <c r="P352" s="134">
        <f t="shared" si="36"/>
        <v>0</v>
      </c>
      <c r="Q352" s="217">
        <v>0</v>
      </c>
      <c r="R352" s="216" t="s">
        <v>163</v>
      </c>
      <c r="S352" s="130"/>
    </row>
    <row r="353" spans="6:19" ht="15.75">
      <c r="F353" s="68"/>
      <c r="G353" s="68"/>
      <c r="H353" s="68"/>
      <c r="I353" s="68"/>
      <c r="J353" s="6"/>
      <c r="K353" s="237"/>
      <c r="L353" s="68"/>
      <c r="M353" s="68"/>
      <c r="N353" s="68"/>
      <c r="O353" s="237"/>
      <c r="P353" s="68"/>
      <c r="Q353" s="215">
        <f>Q348+Q349+Q350+Q351+Q352</f>
        <v>57240383</v>
      </c>
      <c r="R353" s="220"/>
      <c r="S353" s="130"/>
    </row>
    <row r="354" spans="4:19" ht="15.75">
      <c r="D354" s="138" t="s">
        <v>49</v>
      </c>
      <c r="E354" s="139">
        <f aca="true" t="shared" si="37" ref="E354:E371">F354+I354</f>
        <v>5946600</v>
      </c>
      <c r="F354" s="131">
        <f aca="true" t="shared" si="38" ref="F354:K354">F21</f>
        <v>5946600</v>
      </c>
      <c r="G354" s="131">
        <f t="shared" si="38"/>
        <v>0</v>
      </c>
      <c r="H354" s="131">
        <f t="shared" si="38"/>
        <v>0</v>
      </c>
      <c r="I354" s="131">
        <f t="shared" si="38"/>
        <v>0</v>
      </c>
      <c r="J354" s="187">
        <f>L354+O354</f>
        <v>0</v>
      </c>
      <c r="K354" s="238">
        <f t="shared" si="38"/>
        <v>0</v>
      </c>
      <c r="L354" s="131">
        <f>L21</f>
        <v>0</v>
      </c>
      <c r="M354" s="131">
        <f>M21</f>
        <v>0</v>
      </c>
      <c r="N354" s="131">
        <f>N21</f>
        <v>0</v>
      </c>
      <c r="O354" s="238">
        <f>O21</f>
        <v>0</v>
      </c>
      <c r="P354" s="140">
        <f>E354+J354</f>
        <v>5946600</v>
      </c>
      <c r="Q354" s="215">
        <f>J345-K345-Q353</f>
        <v>0</v>
      </c>
      <c r="R354" s="215" t="s">
        <v>164</v>
      </c>
      <c r="S354" s="130"/>
    </row>
    <row r="355" spans="4:19" ht="15.75">
      <c r="D355" s="138" t="s">
        <v>50</v>
      </c>
      <c r="E355" s="139">
        <f t="shared" si="37"/>
        <v>175234900</v>
      </c>
      <c r="F355" s="131">
        <f>SUM(F18+F24+F32+F80+F114+F131+F141+F150+F163+F169+F173+F177+F196+F245+F253+F257+F265+F273+F281+F288+F298+F304+F310+F325+F333+F341+F158+F182+F27)</f>
        <v>175234900</v>
      </c>
      <c r="G355" s="131">
        <f>SUM(G18+G24+G32+G80+G114+G131+G141+G150+G163+G169+G173+G177+G196+G245+G253+G257+G265+G273+G281+G288+G298+G304+G310+G325+G333+G341+G158+G182+G27)</f>
        <v>123161700</v>
      </c>
      <c r="H355" s="131">
        <f>SUM(H18+H24+H32+H80+H114+H131+H141+H150+H163+H169+H173+H177+H196+H245+H253+H257+H265+H273+H281+H288+H298+H304+H310+H325+H333+H341+H158+H182+H27)</f>
        <v>9848876</v>
      </c>
      <c r="I355" s="131">
        <f>SUM(I18+I24+I32+I80+I114+I131+I141+I150+I163+I169+I173+I177+I196+I245+I253+I257+I265+I273+I281+I288+I298+I304+I310+I325+I333+I341+I158+I182+I27)</f>
        <v>0</v>
      </c>
      <c r="J355" s="188">
        <f>SUM(J18+J24+J32+J80+J114+J131+J141+J150+J163+J169+J173+J177+J196+J245+J253+J257+J265+J273+J281+J288+J298+J304+J310+J325+J333+J341+J158+J182)</f>
        <v>1629000</v>
      </c>
      <c r="K355" s="131">
        <f aca="true" t="shared" si="39" ref="K355:P355">SUM(K18+K24+K32+K80+K114+K131+K141+K150+K163+K169+K173+K177+K196+K245+K253+K257+K265+K273+K281+K288+K298+K304+K310+K325+K333+K341+K158+K182+K27)</f>
        <v>1595100</v>
      </c>
      <c r="L355" s="131">
        <f t="shared" si="39"/>
        <v>33900</v>
      </c>
      <c r="M355" s="131">
        <f t="shared" si="39"/>
        <v>0</v>
      </c>
      <c r="N355" s="131">
        <f t="shared" si="39"/>
        <v>0</v>
      </c>
      <c r="O355" s="131">
        <f t="shared" si="39"/>
        <v>1595100</v>
      </c>
      <c r="P355" s="131">
        <f t="shared" si="39"/>
        <v>176863900</v>
      </c>
      <c r="Q355" s="215"/>
      <c r="R355" s="215"/>
      <c r="S355" s="141"/>
    </row>
    <row r="356" spans="1:18" ht="15.75">
      <c r="A356" s="309" t="s">
        <v>223</v>
      </c>
      <c r="B356" s="310"/>
      <c r="C356" s="142"/>
      <c r="D356" s="138" t="s">
        <v>216</v>
      </c>
      <c r="E356" s="139">
        <f t="shared" si="37"/>
        <v>0</v>
      </c>
      <c r="F356" s="131">
        <f aca="true" t="shared" si="40" ref="F356:O356">F81+F115+F197+F246+F266+F274+F299+F334+F159</f>
        <v>0</v>
      </c>
      <c r="G356" s="131">
        <f t="shared" si="40"/>
        <v>0</v>
      </c>
      <c r="H356" s="131">
        <f t="shared" si="40"/>
        <v>0</v>
      </c>
      <c r="I356" s="131">
        <f t="shared" si="40"/>
        <v>0</v>
      </c>
      <c r="J356" s="188">
        <f t="shared" si="40"/>
        <v>0</v>
      </c>
      <c r="K356" s="238">
        <f t="shared" si="40"/>
        <v>0</v>
      </c>
      <c r="L356" s="131">
        <f t="shared" si="40"/>
        <v>0</v>
      </c>
      <c r="M356" s="131">
        <f t="shared" si="40"/>
        <v>0</v>
      </c>
      <c r="N356" s="131">
        <f t="shared" si="40"/>
        <v>0</v>
      </c>
      <c r="O356" s="238">
        <f t="shared" si="40"/>
        <v>0</v>
      </c>
      <c r="P356" s="140">
        <f aca="true" t="shared" si="41" ref="P356:P371">E356+J356</f>
        <v>0</v>
      </c>
      <c r="R356" s="195"/>
    </row>
    <row r="357" spans="1:18" ht="15" customHeight="1">
      <c r="A357" s="313">
        <f>SUM(P355:P358)</f>
        <v>189908700</v>
      </c>
      <c r="B357" s="313"/>
      <c r="C357" s="143"/>
      <c r="D357" s="138" t="s">
        <v>51</v>
      </c>
      <c r="E357" s="139">
        <f t="shared" si="37"/>
        <v>12813800</v>
      </c>
      <c r="F357" s="131">
        <f>F19+F25+F33+F82+F116+F132+F142+F151+F164+F170+F174+F178+F198+F247+F254+F258+F267+F275+F282+F289+F300+F305+F311+F326+F335+F342+F160+F183</f>
        <v>12813800</v>
      </c>
      <c r="G357" s="131">
        <f>G19+G25+G33+G82+G116+G132+G142+G151+G164+G170+G174+G178+G198+G247+G254+G258+G267+G275+G282+G289+G300+G305+G311+G326+G335+G342+G160+G183</f>
        <v>0</v>
      </c>
      <c r="H357" s="131">
        <f>H19+H25+H33+H82+H116+H132+H142+H151+H164+H170+H174+H178+H198+H247+H254+H258+H267+H275+H282+H289+H300+H305+H311+H326+H335+H342+H160+H183</f>
        <v>0</v>
      </c>
      <c r="I357" s="131">
        <f>I19+I25+I33+I82+I116+I132+I142+I151+I164+I170+I174+I178+I198+I247+I254+I258+I267+I275+I282+I289+I300+I305+I311+I326+I335+I342+I160+I183</f>
        <v>0</v>
      </c>
      <c r="J357" s="188">
        <f>J19+J25+J33+J82+J116+J132+J142+J151+J164+J170+J174+J178+J198+J247+J254+J258+J267+J275+J282+J289+J300+J305+J311+J326+J335+J342+J160</f>
        <v>0</v>
      </c>
      <c r="K357" s="238">
        <f>K19+K25+K33+K82+K116+K132+K142+K151+K164+K170+K174+K178+K198+K247+K254+K258+K267+K275+K282+K289+K300+K305+K311+K326+K335+K342+K160+K183</f>
        <v>0</v>
      </c>
      <c r="L357" s="131">
        <f>L19+L25+L33+L82+L116+L132+L142+L151+L164+L170+L174+L178+L198+L247+L254+L258+L267+L275+L282+L289+L300+L305+L311+L326+L335+L342+L160+L183</f>
        <v>0</v>
      </c>
      <c r="M357" s="131">
        <f>M19+M25+M33+M82+M116+M132+M142+M151+M164+M170+M174+M178+M198+M247+M254+M258+M267+M275+M282+M289+M300+M305+M311+M326+M335+M342+M160+M183</f>
        <v>0</v>
      </c>
      <c r="N357" s="131">
        <f>N19+N25+N33+N82+N116+N132+N142+N151+N164+N170+N174+N178+N198+N247+N254+N258+N267+N275+N282+N289+N300+N305+N311+N326+N335+N342+N160+N183</f>
        <v>0</v>
      </c>
      <c r="O357" s="238">
        <f>O19+O25+O33+O82+O116+O132+O142+O151+O164+O170+O174+O178+O198+O247+O254+O258+O267+O275+O282+O289+O300+O305+O311+O326+O335+O342+O160+O183</f>
        <v>0</v>
      </c>
      <c r="P357" s="140">
        <f t="shared" si="41"/>
        <v>12813800</v>
      </c>
      <c r="R357" s="195"/>
    </row>
    <row r="358" spans="1:18" ht="15.75">
      <c r="A358" s="144"/>
      <c r="B358" s="144"/>
      <c r="D358" s="138" t="s">
        <v>217</v>
      </c>
      <c r="E358" s="139">
        <f t="shared" si="37"/>
        <v>231000</v>
      </c>
      <c r="F358" s="131">
        <f>SUM(F20)</f>
        <v>231000</v>
      </c>
      <c r="G358" s="131">
        <f>SUM(G20)</f>
        <v>0</v>
      </c>
      <c r="H358" s="131">
        <f>SUM(H20)</f>
        <v>0</v>
      </c>
      <c r="I358" s="131">
        <f>SUM(I20)</f>
        <v>0</v>
      </c>
      <c r="J358" s="187">
        <f aca="true" t="shared" si="42" ref="J358:J371">L358+O358</f>
        <v>0</v>
      </c>
      <c r="K358" s="238">
        <f>SUM(K20)</f>
        <v>0</v>
      </c>
      <c r="L358" s="131">
        <f>SUM(L20)</f>
        <v>0</v>
      </c>
      <c r="M358" s="131">
        <f>SUM(M20)</f>
        <v>0</v>
      </c>
      <c r="N358" s="131">
        <f>SUM(N20)</f>
        <v>0</v>
      </c>
      <c r="O358" s="238">
        <f>SUM(O20)</f>
        <v>0</v>
      </c>
      <c r="P358" s="140">
        <f t="shared" si="41"/>
        <v>231000</v>
      </c>
      <c r="R358" s="195"/>
    </row>
    <row r="359" spans="4:18" ht="15.75">
      <c r="D359" s="145" t="s">
        <v>168</v>
      </c>
      <c r="E359" s="139">
        <f t="shared" si="37"/>
        <v>936122273</v>
      </c>
      <c r="F359" s="131">
        <f>F34+F37+F47+F52+F53+F54+F55+F56+F57+F49</f>
        <v>936122273</v>
      </c>
      <c r="G359" s="131">
        <f>G34+G37+G47+G52+G53+G54+G55+G56+G57+G49</f>
        <v>587466527</v>
      </c>
      <c r="H359" s="131">
        <f>H34+H37+H47+H52+H53+H54+H55+H56+H57+H49</f>
        <v>133557300</v>
      </c>
      <c r="I359" s="131">
        <f>I34+I37+I47+I52+I53+I54+I55+I56+I57</f>
        <v>0</v>
      </c>
      <c r="J359" s="187">
        <f t="shared" si="42"/>
        <v>65563728</v>
      </c>
      <c r="K359" s="238">
        <f>K34+K37+K47+K52+K53+K54+K55+K56+K57+K49</f>
        <v>19027000</v>
      </c>
      <c r="L359" s="131">
        <f>L34+L37+L47+L52+L53+L54+L55+L56+L57+L49</f>
        <v>46186141</v>
      </c>
      <c r="M359" s="131">
        <f>M34+M37+M47+M52+M53+M54+M55+M56+M57+M49</f>
        <v>1419118</v>
      </c>
      <c r="N359" s="131">
        <f>N34+N37+N47+N52+N53+N54+N55+N56+N57+N49</f>
        <v>133396</v>
      </c>
      <c r="O359" s="238">
        <f>O34+O37+O47+O52+O53+O54+O55+O56+O57+O49</f>
        <v>19377587</v>
      </c>
      <c r="P359" s="140">
        <f>E359+J359</f>
        <v>1001686001</v>
      </c>
      <c r="R359" s="195"/>
    </row>
    <row r="360" spans="1:19" ht="15" customHeight="1">
      <c r="A360" s="309" t="s">
        <v>29</v>
      </c>
      <c r="B360" s="310"/>
      <c r="C360" s="146"/>
      <c r="D360" s="96" t="s">
        <v>169</v>
      </c>
      <c r="E360" s="139">
        <f t="shared" si="37"/>
        <v>49668400</v>
      </c>
      <c r="F360" s="131">
        <f>F63+F70+F64+F66+F68+F67</f>
        <v>49668400</v>
      </c>
      <c r="G360" s="131">
        <f>G63+G70+G64+G66+G68+G67</f>
        <v>7540100</v>
      </c>
      <c r="H360" s="131">
        <f>H63+H70+H64+H66+H68+H67</f>
        <v>1676800</v>
      </c>
      <c r="I360" s="131">
        <f>I63+I70+I64+I66+I68</f>
        <v>0</v>
      </c>
      <c r="J360" s="187">
        <f t="shared" si="42"/>
        <v>3531325</v>
      </c>
      <c r="K360" s="238">
        <f>K63+K70+K64+K66+K68+K67</f>
        <v>3457700</v>
      </c>
      <c r="L360" s="238">
        <f>L63+L70+L64+L66+L68+L67</f>
        <v>73625</v>
      </c>
      <c r="M360" s="238">
        <f>M63+M70+M64+M66+M68+M67</f>
        <v>0</v>
      </c>
      <c r="N360" s="238">
        <f>N63+N70+N64+N66+N68+N67</f>
        <v>1500</v>
      </c>
      <c r="O360" s="238">
        <f>O63+O70+O64+O66+O68+O67</f>
        <v>3457700</v>
      </c>
      <c r="P360" s="140">
        <f t="shared" si="41"/>
        <v>53199725</v>
      </c>
      <c r="R360" s="195"/>
      <c r="S360" s="69"/>
    </row>
    <row r="361" spans="1:19" ht="15.75">
      <c r="A361" s="311">
        <f>K359+K360</f>
        <v>22484700</v>
      </c>
      <c r="B361" s="312"/>
      <c r="D361" s="96" t="s">
        <v>171</v>
      </c>
      <c r="E361" s="139">
        <f t="shared" si="37"/>
        <v>215463570</v>
      </c>
      <c r="F361" s="131">
        <f>F83+F88+F92+F95+F98+F100+F103+F105+F107</f>
        <v>215463570</v>
      </c>
      <c r="G361" s="131">
        <f>G83+G88+G92+G95+G98+G100+G103+G105+G107</f>
        <v>0</v>
      </c>
      <c r="H361" s="131">
        <f>H83+H88+H92+H95+H98+H100+H103+H105+H107</f>
        <v>0</v>
      </c>
      <c r="I361" s="131">
        <f aca="true" t="shared" si="43" ref="I361:P361">I83+I88+I92+I95+I98+I100+I103+I105+I107</f>
        <v>0</v>
      </c>
      <c r="J361" s="131">
        <f t="shared" si="43"/>
        <v>17928500</v>
      </c>
      <c r="K361" s="131">
        <f t="shared" si="43"/>
        <v>17928500</v>
      </c>
      <c r="L361" s="131">
        <f t="shared" si="43"/>
        <v>0</v>
      </c>
      <c r="M361" s="131">
        <f t="shared" si="43"/>
        <v>0</v>
      </c>
      <c r="N361" s="131">
        <f t="shared" si="43"/>
        <v>0</v>
      </c>
      <c r="O361" s="131">
        <f t="shared" si="43"/>
        <v>17928500</v>
      </c>
      <c r="P361" s="292">
        <f t="shared" si="43"/>
        <v>233392070</v>
      </c>
      <c r="R361" s="195"/>
      <c r="S361" s="69"/>
    </row>
    <row r="362" spans="4:19" ht="15.75">
      <c r="D362" s="147" t="s">
        <v>170</v>
      </c>
      <c r="E362" s="139">
        <f t="shared" si="37"/>
        <v>40199700</v>
      </c>
      <c r="F362" s="131">
        <f>F188+F189+F190+F191+F192+F193+F200+F201+F203+F187+F186</f>
        <v>40199700</v>
      </c>
      <c r="G362" s="131">
        <f>G188+G189+G190+G191+G192+G193+G200+G201+G203+G187+G186</f>
        <v>18443635.18</v>
      </c>
      <c r="H362" s="131">
        <f>H188+H189+H190+H191+H192+H193+H200+H201+H203+H187+H186</f>
        <v>2378800</v>
      </c>
      <c r="I362" s="131">
        <f>I188+I189+I190+I191+I192+I193+I200+I201+I203+I187+I186</f>
        <v>0</v>
      </c>
      <c r="J362" s="187">
        <f t="shared" si="42"/>
        <v>2841440</v>
      </c>
      <c r="K362" s="131">
        <f>K188+K189+K190+K191+K192+K193+K200+K201+K203+K187+K186</f>
        <v>2802840</v>
      </c>
      <c r="L362" s="131">
        <f>L188+L189+L190+L191+L192+L193+L200+L201+L203+L187+L186</f>
        <v>38600</v>
      </c>
      <c r="M362" s="131">
        <f>M188+M189+M190+M191+M192+M193+M200+M201+M203+M187+M186</f>
        <v>0</v>
      </c>
      <c r="N362" s="131">
        <f>N188+N189+N190+N191+N192+N193+N200+N201+N203+N187+N186</f>
        <v>0</v>
      </c>
      <c r="O362" s="131">
        <f>O188+O189+O190+O191+O192+O193+O200+O201+O203+O187+O186</f>
        <v>2802840</v>
      </c>
      <c r="P362" s="140">
        <f t="shared" si="41"/>
        <v>43041140</v>
      </c>
      <c r="R362" s="195"/>
      <c r="S362" s="69"/>
    </row>
    <row r="363" spans="3:20" s="247" customFormat="1" ht="15.75">
      <c r="C363" s="248"/>
      <c r="D363" s="249" t="s">
        <v>210</v>
      </c>
      <c r="E363" s="250">
        <f>F363+I363</f>
        <v>78442100</v>
      </c>
      <c r="F363" s="251">
        <f>F61+F123+F124+F135+F136+F143+F146+F147+F154+F155+F199+F328+F336+F343+F60+F184+F185+F152+F62+F117+F118+F119+F120+F122+F121+F125+F128+F127+F133+F134+F137+F144+F148+F153+F156+F166+F165+F167+F171+F175+F179+F327+F28</f>
        <v>78442100</v>
      </c>
      <c r="G363" s="251">
        <f>G61+G123+G124+G135+G136+G143+G146+G147+G154+G155+G199+G328+G336+G343+G60+G184+G185+G152+G62+G117+G118+G119+G120+G122+G121+G125+G128+G127+G133+G134+G137+G144+G148+G153+G156+G166+G165+G167+G171+G175+G179+G327</f>
        <v>24769660</v>
      </c>
      <c r="H363" s="251">
        <f>H61+H123+H124+H135+H136+H143+H146+H147+H154+H155+H199+H328+H336+H343+H60+H184+H185+H152+H62+H117+H118+H119+H120+H122+H121+H125+H128+H127+H133+H134+H137+H144+H148+H153+H156+H166+H165+H167+H171+H175+H179+H327</f>
        <v>2973500</v>
      </c>
      <c r="I363" s="251">
        <f>I61+I123+I124+I135+I136+I143+I146+I147+I154+I155+I199+I328+I336+I343+I60+I184+I185+I152+I62+I117+I118+I119+I120+I122+I121+I125+I128+I127+I133+I134+I137+I144+I148+I153+I156+I166+I165+I167+I171+I175+I179+I327</f>
        <v>0</v>
      </c>
      <c r="J363" s="252">
        <f t="shared" si="42"/>
        <v>1473930</v>
      </c>
      <c r="K363" s="251">
        <f>K61+K123+K124+K135+K136+K143+K146+K147+K154+K155+K199+K328+K336+K343+K60+K184+K185+K152+K62+K117+K118+K119+K120+K122+K121+K125+K128+K127+K133+K134+K137+K144+K148+K153+K156+K166+K165+K167+K171+K175+K179+K327</f>
        <v>121900</v>
      </c>
      <c r="L363" s="251">
        <f>L61+L123+L124+L135+L136+L143+L146+L147+L154+L155+L199+L328+L336+L343+L60+L184+L185+L152+L62+L117+L118+L119+L120+L122+L121+L125+L128+L127+L133+L134+L137+L144+L148+L153+L156+L166+L165+L167+L171+L175+L179+L327</f>
        <v>1352030</v>
      </c>
      <c r="M363" s="251">
        <f>M61+M123+M124+M135+M136+M143+M146+M147+M154+M155+M199+M328+M336+M343+M60+M184+M185+M152+M62+M117+M118+M119+M120+M122+M121+M125+M128+M127+M133+M134+M137+M144+M148+M153+M156+M166+M165+M167+M171+M175+M179+M327</f>
        <v>211020</v>
      </c>
      <c r="N363" s="251">
        <f>N61+N123+N124+N135+N136+N143+N146+N147+N154+N155+N199+N328+N336+N343+N60+N184+N185+N152+N62+N117+N118+N119+N120+N122+N121+N125+N128+N127+N133+N134+N137+N144+N148+N153+N156+N166+N165+N167+N171+N175+N179+N327</f>
        <v>0</v>
      </c>
      <c r="O363" s="251">
        <f>O61+O123+O124+O135+O136+O143+O146+O147+O154+O155+O199+O328+O336+O343+O60+O184+O185+O152+O62+O117+O118+O119+O120+O122+O121+O125+O128+O127+O133+O134+O137+O144+O148+O153+O156+O166+O165+O167+O171+O175+O179+O327</f>
        <v>121900</v>
      </c>
      <c r="P363" s="293">
        <f t="shared" si="41"/>
        <v>79916030</v>
      </c>
      <c r="Q363" s="253"/>
      <c r="R363" s="253"/>
      <c r="S363" s="254"/>
      <c r="T363" s="255"/>
    </row>
    <row r="364" spans="1:19" ht="15.75">
      <c r="A364" s="308" t="s">
        <v>32</v>
      </c>
      <c r="B364" s="308"/>
      <c r="D364" s="147" t="s">
        <v>27</v>
      </c>
      <c r="E364" s="139">
        <f t="shared" si="37"/>
        <v>5113800</v>
      </c>
      <c r="F364" s="36">
        <f>F290+F291+F292+F293+F294+F295</f>
        <v>5000000</v>
      </c>
      <c r="G364" s="36">
        <f>G290+G291+G292+G293+G294+G295</f>
        <v>0</v>
      </c>
      <c r="H364" s="36">
        <f>H290+H291+H292+H293+H294+H295</f>
        <v>0</v>
      </c>
      <c r="I364" s="36">
        <f>I290+I291+I292+I293+I294+I295</f>
        <v>113800</v>
      </c>
      <c r="J364" s="187">
        <f t="shared" si="42"/>
        <v>318000</v>
      </c>
      <c r="K364" s="239">
        <f>K290+K291+K292+K293+K294+K295</f>
        <v>318000</v>
      </c>
      <c r="L364" s="36">
        <f>L290+L291+L292+L293+L294+L295</f>
        <v>0</v>
      </c>
      <c r="M364" s="36">
        <f>M290+M291+M292+M293+M294+M295</f>
        <v>0</v>
      </c>
      <c r="N364" s="36">
        <f>N290+N291+N292+N293+N294+N295</f>
        <v>0</v>
      </c>
      <c r="O364" s="239">
        <f>O290+O291+O292+O293+O294+O295</f>
        <v>318000</v>
      </c>
      <c r="P364" s="140">
        <f t="shared" si="41"/>
        <v>5431800</v>
      </c>
      <c r="R364" s="195"/>
      <c r="S364" s="69"/>
    </row>
    <row r="365" spans="1:20" ht="15.75">
      <c r="A365" s="307">
        <f>P76+P238+P262+P276</f>
        <v>37600000</v>
      </c>
      <c r="B365" s="307"/>
      <c r="D365" s="147" t="s">
        <v>93</v>
      </c>
      <c r="E365" s="139">
        <f t="shared" si="37"/>
        <v>268800799</v>
      </c>
      <c r="F365" s="36">
        <f>F29+F344+F338+F337+F330+F329+F306+F301+F218+F219+F217+F215+F214+F211+F209+F207+F205</f>
        <v>259228199</v>
      </c>
      <c r="G365" s="36">
        <f>G344+G338+G337+G330+G329+G306+G301+G218+G219+G217+G215+G214+G211+G209+G207+G205</f>
        <v>0</v>
      </c>
      <c r="H365" s="36">
        <f>H344+H338+H337+H330+H329+H306+H301+H218+H219+H217+H215+H214+H211+H209+H207+H205</f>
        <v>17765299</v>
      </c>
      <c r="I365" s="36">
        <f>I344+I338+I337+I330+I329+I306+I301+I218+I219+I217+I215+I214+I211+I209+I207+I205</f>
        <v>9572600</v>
      </c>
      <c r="J365" s="187">
        <f t="shared" si="42"/>
        <v>34650000</v>
      </c>
      <c r="K365" s="36">
        <f>K344+K338+K337+K330+K329+K306+K301+K218+K219+K217+K215+K214+K211+K209+K207+K205</f>
        <v>34650000</v>
      </c>
      <c r="L365" s="36">
        <f>L344+L338+L337+L330+L329+L306+L301+L218+L219+L217+L215+L214+L211+L209+L207+L205</f>
        <v>0</v>
      </c>
      <c r="M365" s="36">
        <f>M344+M338+M337+M330+M329+M306+M301+M218+M219+M217+M215+M214+M211+M209+M207+M205</f>
        <v>0</v>
      </c>
      <c r="N365" s="36">
        <f>N344+N338+N337+N330+N329+N306+N301+N218+N219+N217+N215+N214+N211+N209+N207+N205</f>
        <v>0</v>
      </c>
      <c r="O365" s="36">
        <f>O344+O338+O337+O330+O329+O306+O301+O218+O219+O217+O215+O214+O211+O209+O207+O205</f>
        <v>34650000</v>
      </c>
      <c r="P365" s="140">
        <f t="shared" si="41"/>
        <v>303450799</v>
      </c>
      <c r="R365" s="195"/>
      <c r="S365" s="69"/>
      <c r="T365" s="69"/>
    </row>
    <row r="366" spans="4:19" ht="15.75">
      <c r="D366" s="147" t="s">
        <v>59</v>
      </c>
      <c r="E366" s="139">
        <f t="shared" si="37"/>
        <v>0</v>
      </c>
      <c r="F366" s="36">
        <f>F71+F72+F73+F108+F220+F221+F222+F223+F224+F225+F226+F230+F248</f>
        <v>0</v>
      </c>
      <c r="G366" s="36">
        <f>G71+G72+G73+G108+G220+G221+G222+G223+G224+G225+G226+G230+G248</f>
        <v>0</v>
      </c>
      <c r="H366" s="36">
        <f>H71+H72+H73+H108+H220+H221+H222+H223+H224+H225+H226+H230+H248</f>
        <v>0</v>
      </c>
      <c r="I366" s="36">
        <f>I71+I72+I73+I108+I220+I221+I222+I223+I224+I225+I226+I230+I248</f>
        <v>0</v>
      </c>
      <c r="J366" s="187">
        <f t="shared" si="42"/>
        <v>40616180</v>
      </c>
      <c r="K366" s="239">
        <f>K71+K72+K73+K108+K220+K221+K222+K223+K224+K225+K226+K230+K248+K228</f>
        <v>40616180</v>
      </c>
      <c r="L366" s="239">
        <f>L71+L72+L73+L108+L220+L221+L222+L223+L224+L225+L226+L230+L248+L228</f>
        <v>0</v>
      </c>
      <c r="M366" s="239">
        <f>M71+M72+M73+M108+M220+M221+M222+M223+M224+M225+M226+M230+M248+M228</f>
        <v>0</v>
      </c>
      <c r="N366" s="239">
        <f>N71+N72+N73+N108+N220+N221+N222+N223+N224+N225+N226+N230+N248+N228</f>
        <v>0</v>
      </c>
      <c r="O366" s="239">
        <f>O71+O72+O73+O108+O220+O221+O222+O223+O224+O225+O226+O230+O248+O228</f>
        <v>40616180</v>
      </c>
      <c r="P366" s="140">
        <f t="shared" si="41"/>
        <v>40616180</v>
      </c>
      <c r="Q366" s="221"/>
      <c r="R366" s="195"/>
      <c r="S366" s="69"/>
    </row>
    <row r="367" spans="1:19" ht="15.75">
      <c r="A367" s="295"/>
      <c r="B367" s="295"/>
      <c r="D367" s="147" t="s">
        <v>214</v>
      </c>
      <c r="E367" s="139">
        <f t="shared" si="37"/>
        <v>110900000</v>
      </c>
      <c r="F367" s="36">
        <f>F261+F260+F259+F232+F233</f>
        <v>42500000</v>
      </c>
      <c r="G367" s="36">
        <f>G261+G260+G259+G232+G233</f>
        <v>0</v>
      </c>
      <c r="H367" s="36">
        <f>H261+H260+H259+H232+H233</f>
        <v>0</v>
      </c>
      <c r="I367" s="36">
        <f>I261+I260+I259+I232+I233</f>
        <v>68400000</v>
      </c>
      <c r="J367" s="187">
        <f t="shared" si="42"/>
        <v>5500</v>
      </c>
      <c r="K367" s="239">
        <f>K261+K260+K259+K232+K233</f>
        <v>0</v>
      </c>
      <c r="L367" s="36">
        <f>L261+L260+L259+L232+L233</f>
        <v>5500</v>
      </c>
      <c r="M367" s="36">
        <f>M261+M260+M259+M232+M233</f>
        <v>0</v>
      </c>
      <c r="N367" s="36">
        <f>N261+N260+N259+N232+N233</f>
        <v>0</v>
      </c>
      <c r="O367" s="239">
        <f>O261+O260+O259+O232+O233</f>
        <v>0</v>
      </c>
      <c r="P367" s="140">
        <f t="shared" si="41"/>
        <v>110905500</v>
      </c>
      <c r="R367" s="195"/>
      <c r="S367" s="69"/>
    </row>
    <row r="368" spans="1:19" ht="15.75">
      <c r="A368" s="296"/>
      <c r="B368" s="296"/>
      <c r="D368" s="147" t="s">
        <v>140</v>
      </c>
      <c r="E368" s="139">
        <f t="shared" si="37"/>
        <v>6800000</v>
      </c>
      <c r="F368" s="36">
        <f>F235</f>
        <v>6800000</v>
      </c>
      <c r="G368" s="36">
        <f>G235</f>
        <v>0</v>
      </c>
      <c r="H368" s="36">
        <f>H235</f>
        <v>0</v>
      </c>
      <c r="I368" s="36">
        <f>I235</f>
        <v>0</v>
      </c>
      <c r="J368" s="187">
        <f t="shared" si="42"/>
        <v>0</v>
      </c>
      <c r="K368" s="239">
        <f>K235</f>
        <v>0</v>
      </c>
      <c r="L368" s="36">
        <f>L235</f>
        <v>0</v>
      </c>
      <c r="M368" s="36">
        <f>M235</f>
        <v>0</v>
      </c>
      <c r="N368" s="36">
        <f>N235</f>
        <v>0</v>
      </c>
      <c r="O368" s="239">
        <f>O235</f>
        <v>0</v>
      </c>
      <c r="P368" s="140">
        <f t="shared" si="41"/>
        <v>6800000</v>
      </c>
      <c r="R368" s="195"/>
      <c r="S368" s="69"/>
    </row>
    <row r="369" spans="1:20" ht="15.75">
      <c r="A369" s="148"/>
      <c r="B369" s="149"/>
      <c r="D369" s="147" t="s">
        <v>60</v>
      </c>
      <c r="E369" s="139">
        <f t="shared" si="37"/>
        <v>18799100</v>
      </c>
      <c r="F369" s="36">
        <f>F312+F307+F276+F270+F269+F268+F262+F240+F238+F236+F76+F109+F239</f>
        <v>18799100</v>
      </c>
      <c r="G369" s="36">
        <f>G312+G307+G276+G270+G269+G268+G262+G240+G238+G236+G76+G109+G239</f>
        <v>0</v>
      </c>
      <c r="H369" s="36">
        <f>H312+H307+H276+H270+H269+H268+H262+H240+H238+H236+H76+H109+H239</f>
        <v>0</v>
      </c>
      <c r="I369" s="36">
        <f>I312+I307+I276+I270+I269+I268+I262+I240+I238+I236+I76+I109+I239</f>
        <v>0</v>
      </c>
      <c r="J369" s="187">
        <f t="shared" si="42"/>
        <v>47341593</v>
      </c>
      <c r="K369" s="239">
        <f>K312+K307+K276+K270+K269+K268+K262+K240+K238+K236+K76+K109+K239</f>
        <v>47341593</v>
      </c>
      <c r="L369" s="239">
        <f>L312+L307+L276+L270+L269+L268+L262+L240+L238+L236+L76+L109+L239</f>
        <v>0</v>
      </c>
      <c r="M369" s="239">
        <f>M312+M307+M276+M270+M269+M268+M262+M240+M238+M236+M76+M109+M239</f>
        <v>0</v>
      </c>
      <c r="N369" s="239">
        <f>N312+N307+N276+N270+N269+N268+N262+N240+N238+N236+N76+N109+N239</f>
        <v>0</v>
      </c>
      <c r="O369" s="239">
        <f>O312+O307+O276+O270+O269+O268+O262+O240+O238+O236+O76+O109+O239</f>
        <v>47341593</v>
      </c>
      <c r="P369" s="140">
        <f t="shared" si="41"/>
        <v>66140693</v>
      </c>
      <c r="R369" s="195"/>
      <c r="T369" s="69"/>
    </row>
    <row r="370" spans="4:18" ht="15.75">
      <c r="D370" s="147" t="s">
        <v>52</v>
      </c>
      <c r="E370" s="139">
        <f>F370+I370+10000000-10000000</f>
        <v>2164288</v>
      </c>
      <c r="F370" s="36">
        <f>F315+F314+F283+F277+F278+F242+F241+F77</f>
        <v>2164288</v>
      </c>
      <c r="G370" s="36">
        <f>G315+G314+G283+G277+G278+G242+G241+G77</f>
        <v>0</v>
      </c>
      <c r="H370" s="36">
        <f>H315+H314+H283+H277+H278+H242+H241+H77</f>
        <v>0</v>
      </c>
      <c r="I370" s="36">
        <f>I315+I314+I283+I277+I278+I242+I241+I77</f>
        <v>0</v>
      </c>
      <c r="J370" s="187">
        <f t="shared" si="42"/>
        <v>9200000</v>
      </c>
      <c r="K370" s="36">
        <f>K315+K314+K283+K277+K278+K242+K241+K77</f>
        <v>0</v>
      </c>
      <c r="L370" s="36">
        <f>L315+L314+L283+L277+L278+L242+L241+L77</f>
        <v>4200000</v>
      </c>
      <c r="M370" s="36">
        <f>M315+M314+M283+M277+M278+M242+M241+M77</f>
        <v>0</v>
      </c>
      <c r="N370" s="36">
        <f>N315+N314+N283+N277+N278+N242+N241+N77</f>
        <v>0</v>
      </c>
      <c r="O370" s="36">
        <f>O315+O314+O283+O277+O278+O242+O241+O77</f>
        <v>5000000</v>
      </c>
      <c r="P370" s="140">
        <f t="shared" si="41"/>
        <v>11364288</v>
      </c>
      <c r="R370" s="195"/>
    </row>
    <row r="371" spans="4:19" ht="15.75">
      <c r="D371" s="147" t="s">
        <v>208</v>
      </c>
      <c r="E371" s="139">
        <f t="shared" si="37"/>
        <v>1520000</v>
      </c>
      <c r="F371" s="36">
        <f>F322+F319+F316+F317+F284+F110</f>
        <v>1520000</v>
      </c>
      <c r="G371" s="36">
        <f>G322+G319+G316+G317+G284+G110</f>
        <v>0</v>
      </c>
      <c r="H371" s="36">
        <f>H322+H319+H316+H317+H284+H110</f>
        <v>0</v>
      </c>
      <c r="I371" s="36">
        <f>I322+I319+I316+I317+I284+I110</f>
        <v>0</v>
      </c>
      <c r="J371" s="187">
        <f t="shared" si="42"/>
        <v>0</v>
      </c>
      <c r="K371" s="239">
        <f>K322+K319+K316+K317+K284</f>
        <v>0</v>
      </c>
      <c r="L371" s="36">
        <f>L322+L319+L316+L317+L284</f>
        <v>0</v>
      </c>
      <c r="M371" s="36">
        <f>M322+M319+M316+M317+M284</f>
        <v>0</v>
      </c>
      <c r="N371" s="36">
        <f>N322+N319+N316+N317+N284</f>
        <v>0</v>
      </c>
      <c r="O371" s="239">
        <f>O322+O319+O316+O317+O284</f>
        <v>0</v>
      </c>
      <c r="P371" s="140">
        <f t="shared" si="41"/>
        <v>1520000</v>
      </c>
      <c r="R371" s="195"/>
      <c r="S371" s="69"/>
    </row>
    <row r="372" spans="1:20" s="156" customFormat="1" ht="20.25" customHeight="1">
      <c r="A372" s="150"/>
      <c r="B372" s="151"/>
      <c r="C372" s="150"/>
      <c r="D372" s="152" t="s">
        <v>28</v>
      </c>
      <c r="E372" s="153">
        <f>SUM(E354:E371)</f>
        <v>1928220330</v>
      </c>
      <c r="F372" s="153">
        <f aca="true" t="shared" si="44" ref="F372:O372">SUM(F354:F371)</f>
        <v>1850133930</v>
      </c>
      <c r="G372" s="153">
        <f t="shared" si="44"/>
        <v>761381622.18</v>
      </c>
      <c r="H372" s="153">
        <f>SUM(H354:H371)</f>
        <v>168200575</v>
      </c>
      <c r="I372" s="153">
        <f t="shared" si="44"/>
        <v>78086400</v>
      </c>
      <c r="J372" s="153">
        <f>SUM(J354:J371)</f>
        <v>225099196</v>
      </c>
      <c r="K372" s="240">
        <f t="shared" si="44"/>
        <v>167858813</v>
      </c>
      <c r="L372" s="153">
        <f t="shared" si="44"/>
        <v>51889796</v>
      </c>
      <c r="M372" s="153">
        <f t="shared" si="44"/>
        <v>1630138</v>
      </c>
      <c r="N372" s="153">
        <f t="shared" si="44"/>
        <v>134896</v>
      </c>
      <c r="O372" s="240">
        <f t="shared" si="44"/>
        <v>173209400</v>
      </c>
      <c r="P372" s="153">
        <f>SUM(P354:P371)</f>
        <v>2153319526</v>
      </c>
      <c r="Q372" s="222"/>
      <c r="R372" s="195"/>
      <c r="S372" s="154"/>
      <c r="T372" s="155"/>
    </row>
    <row r="373" spans="5:19" ht="15.75">
      <c r="E373" s="157"/>
      <c r="F373" s="158"/>
      <c r="G373" s="158"/>
      <c r="H373" s="158"/>
      <c r="I373" s="158"/>
      <c r="J373" s="157"/>
      <c r="K373" s="241"/>
      <c r="L373" s="158"/>
      <c r="M373" s="158"/>
      <c r="N373" s="158"/>
      <c r="O373" s="241"/>
      <c r="P373" s="158"/>
      <c r="Q373" s="195"/>
      <c r="R373" s="195"/>
      <c r="S373" s="69"/>
    </row>
    <row r="374" spans="1:20" s="163" customFormat="1" ht="20.25" customHeight="1">
      <c r="A374" s="159"/>
      <c r="B374" s="159"/>
      <c r="C374" s="159"/>
      <c r="D374" s="160" t="s">
        <v>26</v>
      </c>
      <c r="E374" s="161">
        <f aca="true" t="shared" si="45" ref="E374:P374">E372-E345</f>
        <v>0</v>
      </c>
      <c r="F374" s="161">
        <f t="shared" si="45"/>
        <v>0</v>
      </c>
      <c r="G374" s="161">
        <f t="shared" si="45"/>
        <v>0</v>
      </c>
      <c r="H374" s="161">
        <f t="shared" si="45"/>
        <v>0</v>
      </c>
      <c r="I374" s="161">
        <f t="shared" si="45"/>
        <v>0</v>
      </c>
      <c r="J374" s="161">
        <f t="shared" si="45"/>
        <v>0</v>
      </c>
      <c r="K374" s="242">
        <f t="shared" si="45"/>
        <v>0</v>
      </c>
      <c r="L374" s="161">
        <f t="shared" si="45"/>
        <v>0</v>
      </c>
      <c r="M374" s="161">
        <f t="shared" si="45"/>
        <v>0</v>
      </c>
      <c r="N374" s="161">
        <f t="shared" si="45"/>
        <v>0</v>
      </c>
      <c r="O374" s="242">
        <f t="shared" si="45"/>
        <v>0</v>
      </c>
      <c r="P374" s="161">
        <f t="shared" si="45"/>
        <v>0</v>
      </c>
      <c r="Q374" s="223"/>
      <c r="R374" s="223"/>
      <c r="S374" s="162"/>
      <c r="T374" s="162"/>
    </row>
    <row r="375" spans="1:20" s="163" customFormat="1" ht="20.25" customHeight="1">
      <c r="A375" s="159"/>
      <c r="B375" s="159"/>
      <c r="C375" s="159"/>
      <c r="I375" s="161"/>
      <c r="J375" s="161"/>
      <c r="K375" s="242"/>
      <c r="L375" s="161"/>
      <c r="M375" s="161"/>
      <c r="N375" s="161"/>
      <c r="O375" s="242"/>
      <c r="P375" s="161"/>
      <c r="Q375" s="223"/>
      <c r="R375" s="223"/>
      <c r="S375" s="162"/>
      <c r="T375" s="162"/>
    </row>
    <row r="376" ht="19.5" customHeight="1">
      <c r="D376" s="5" t="s">
        <v>614</v>
      </c>
    </row>
    <row r="378" spans="13:16" ht="15.75">
      <c r="M378" s="164"/>
      <c r="N378" s="165" t="s">
        <v>30</v>
      </c>
      <c r="O378" s="243" t="s">
        <v>31</v>
      </c>
      <c r="P378" s="165" t="s">
        <v>28</v>
      </c>
    </row>
    <row r="379" spans="13:16" ht="15.75">
      <c r="M379" s="81">
        <v>3210</v>
      </c>
      <c r="N379" s="166">
        <f>E343+E336+E328+E199</f>
        <v>249000</v>
      </c>
      <c r="O379" s="244">
        <f>J343+J336+J328+J199</f>
        <v>0</v>
      </c>
      <c r="P379" s="167">
        <f aca="true" t="shared" si="46" ref="P379:P384">N379+O379</f>
        <v>249000</v>
      </c>
    </row>
    <row r="380" spans="13:16" ht="15.75">
      <c r="M380" s="81">
        <v>5000</v>
      </c>
      <c r="N380" s="166">
        <f>E201+E203</f>
        <v>0</v>
      </c>
      <c r="O380" s="244">
        <f>J201+J203</f>
        <v>365840</v>
      </c>
      <c r="P380" s="167">
        <f>N380+O380</f>
        <v>365840</v>
      </c>
    </row>
    <row r="381" spans="13:17" ht="15" customHeight="1">
      <c r="M381" s="81">
        <v>6000</v>
      </c>
      <c r="N381" s="166">
        <f>E344+E338+E337+E330+E329+E306+E301+E291+E290+E218+E217+E215+E214+E211+E209+F207+E205+E29</f>
        <v>268800799</v>
      </c>
      <c r="O381" s="244">
        <f>J344+J338+J337+J330+J329+J306+J301+J291+J290+J218+J217+J215+J214+J211+J209+J207+J205+J29</f>
        <v>34650000</v>
      </c>
      <c r="P381" s="167">
        <f t="shared" si="46"/>
        <v>303450799</v>
      </c>
      <c r="Q381" s="224"/>
    </row>
    <row r="382" spans="13:16" ht="15.75">
      <c r="M382" s="81">
        <v>7000</v>
      </c>
      <c r="N382" s="166">
        <f>E307+E295+E294+E293+E292+E276+E270+E269+E268+E262+E261+E260+E259+E248+E240+E239+E238+E236+E235+E232+E233+E230+E228+E226+E225+E224+E223+E222+E221+E220+E219+E109+E108+E76+E73+E72+E71</f>
        <v>126912900</v>
      </c>
      <c r="O382" s="244">
        <f>J307+J295+J294+J293+J292+J276+J270+J269+J268+J262+J261+J260+J259+J248+J240+J239+J238+J236+J235+J232+J233+J230++J226+J225+J224+J223+J222+J221+J220+J219+J109+J108+J76+J73+J72+J71+J228</f>
        <v>88281273</v>
      </c>
      <c r="P382" s="167">
        <f t="shared" si="46"/>
        <v>215194173</v>
      </c>
    </row>
    <row r="383" spans="13:16" ht="15.75">
      <c r="M383" s="81">
        <v>8000</v>
      </c>
      <c r="N383" s="166">
        <f>E283+E278+E277+E242+E241</f>
        <v>1921700</v>
      </c>
      <c r="O383" s="244">
        <f>J283+J278+J277+J242+J241</f>
        <v>9200000</v>
      </c>
      <c r="P383" s="167">
        <f t="shared" si="46"/>
        <v>11121700</v>
      </c>
    </row>
    <row r="384" spans="13:16" ht="15.75">
      <c r="M384" s="81">
        <v>9000</v>
      </c>
      <c r="N384" s="166">
        <f>E322+E321+E317+E284</f>
        <v>0</v>
      </c>
      <c r="O384" s="244">
        <f>J322+J321+J317+J284</f>
        <v>0</v>
      </c>
      <c r="P384" s="167">
        <f t="shared" si="46"/>
        <v>0</v>
      </c>
    </row>
    <row r="385" spans="13:16" ht="15.75">
      <c r="M385" s="168" t="s">
        <v>28</v>
      </c>
      <c r="N385" s="167">
        <f>SUM(N379:N384)</f>
        <v>397884399</v>
      </c>
      <c r="O385" s="245">
        <f>SUM(O379:O384)</f>
        <v>132497113</v>
      </c>
      <c r="P385" s="167">
        <f>SUM(P379:P384)</f>
        <v>530381512</v>
      </c>
    </row>
    <row r="386" spans="14:16" ht="15.75">
      <c r="N386" s="68"/>
      <c r="O386" s="237"/>
      <c r="P386" s="68"/>
    </row>
  </sheetData>
  <sheetProtection/>
  <mergeCells count="39">
    <mergeCell ref="A348:F348"/>
    <mergeCell ref="B11:B14"/>
    <mergeCell ref="E12:E14"/>
    <mergeCell ref="K12:K14"/>
    <mergeCell ref="A11:A14"/>
    <mergeCell ref="I12:I14"/>
    <mergeCell ref="J12:J14"/>
    <mergeCell ref="F12:F14"/>
    <mergeCell ref="G12:H12"/>
    <mergeCell ref="A8:B8"/>
    <mergeCell ref="A9:B9"/>
    <mergeCell ref="N13:N14"/>
    <mergeCell ref="L1:P1"/>
    <mergeCell ref="L2:P2"/>
    <mergeCell ref="L3:P3"/>
    <mergeCell ref="L4:P4"/>
    <mergeCell ref="O12:O14"/>
    <mergeCell ref="M12:N12"/>
    <mergeCell ref="L12:L14"/>
    <mergeCell ref="A6:P6"/>
    <mergeCell ref="J11:O11"/>
    <mergeCell ref="L5:P5"/>
    <mergeCell ref="A365:B365"/>
    <mergeCell ref="A364:B364"/>
    <mergeCell ref="A356:B356"/>
    <mergeCell ref="A361:B361"/>
    <mergeCell ref="A357:B357"/>
    <mergeCell ref="A360:B360"/>
    <mergeCell ref="L348:O348"/>
    <mergeCell ref="A367:B367"/>
    <mergeCell ref="A368:B368"/>
    <mergeCell ref="A7:P7"/>
    <mergeCell ref="G13:G14"/>
    <mergeCell ref="H13:H14"/>
    <mergeCell ref="M13:M14"/>
    <mergeCell ref="D11:D14"/>
    <mergeCell ref="C11:C14"/>
    <mergeCell ref="E11:I11"/>
    <mergeCell ref="P11:P14"/>
  </mergeCells>
  <printOptions/>
  <pageMargins left="0.5511811023622047" right="0.1968503937007874" top="1.141732283464567" bottom="0.7874015748031497" header="0.9055118110236221" footer="0.31496062992125984"/>
  <pageSetup fitToHeight="32" horizontalDpi="600" verticalDpi="600" orientation="landscape" paperSize="9" scale="43" r:id="rId1"/>
  <headerFooter differentFirst="1">
    <oddHeader>&amp;CСтраница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2019-12-14T12:08:10Z</cp:lastPrinted>
  <dcterms:created xsi:type="dcterms:W3CDTF">2017-12-09T16:51:10Z</dcterms:created>
  <dcterms:modified xsi:type="dcterms:W3CDTF">2019-12-16T06:38:36Z</dcterms:modified>
  <cp:category/>
  <cp:version/>
  <cp:contentType/>
  <cp:contentStatus/>
</cp:coreProperties>
</file>