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6" windowWidth="11748" windowHeight="8532" activeTab="0"/>
  </bookViews>
  <sheets>
    <sheet name="22.12.2021" sheetId="1" r:id="rId1"/>
  </sheets>
  <definedNames>
    <definedName name="_xlnm.Print_Titles" localSheetId="0">'22.12.2021'!$11:$16</definedName>
    <definedName name="_xlnm.Print_Area" localSheetId="0">'22.12.2021'!$A$1:$J$380</definedName>
  </definedNames>
  <calcPr fullCalcOnLoad="1"/>
</workbook>
</file>

<file path=xl/sharedStrings.xml><?xml version="1.0" encoding="utf-8"?>
<sst xmlns="http://schemas.openxmlformats.org/spreadsheetml/2006/main" count="1423" uniqueCount="693">
  <si>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</si>
  <si>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</si>
  <si>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</si>
  <si>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</si>
  <si>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</si>
  <si>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</si>
  <si>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</si>
  <si>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</si>
  <si>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</si>
  <si>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</si>
  <si>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</si>
  <si>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</si>
  <si>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</si>
  <si>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</si>
  <si>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</si>
  <si>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</si>
  <si>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</si>
  <si>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</si>
  <si>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</si>
  <si>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</si>
  <si>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</si>
  <si>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</si>
  <si>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</si>
  <si>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</si>
  <si>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</si>
  <si>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</si>
  <si>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</si>
  <si>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</si>
  <si>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</si>
  <si>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</si>
  <si>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</si>
  <si>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</si>
  <si>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</si>
  <si>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</si>
  <si>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</si>
  <si>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</si>
  <si>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</si>
  <si>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</si>
  <si>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</si>
  <si>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</si>
  <si>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</si>
  <si>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</si>
  <si>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</si>
  <si>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</si>
  <si>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</si>
  <si>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</si>
  <si>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</si>
  <si>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</si>
  <si>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</si>
  <si>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</si>
  <si>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</si>
  <si>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</si>
  <si>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</si>
  <si>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</si>
  <si>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</si>
  <si>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</si>
  <si>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</si>
  <si>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</si>
  <si>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</si>
  <si>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</si>
  <si>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</si>
  <si>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</si>
  <si>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</si>
  <si>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</si>
  <si>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</si>
  <si>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</si>
  <si>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</si>
  <si>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</si>
  <si>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</si>
  <si>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</si>
  <si>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</si>
  <si>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</si>
  <si>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</si>
  <si>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</si>
  <si>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</si>
  <si>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</si>
  <si>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</si>
  <si>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</si>
  <si>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</si>
  <si>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</si>
  <si>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дкржавного бюджету місцевим бюджетам</t>
  </si>
  <si>
    <t>0916083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</si>
  <si>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</si>
  <si>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у тому числі 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</si>
  <si>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 Програма розвитку Комунального підприємства Кам’янської міської ради «Південні тепломережі» на 2021–2022 роки</t>
  </si>
  <si>
    <t xml:space="preserve">23.06.2021                        №216-08/VІІI                 </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</si>
  <si>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2021–2022 роки</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</si>
  <si>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</si>
  <si>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</si>
  <si>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</si>
  <si>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</si>
  <si>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</si>
  <si>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</si>
  <si>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</si>
  <si>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</si>
  <si>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</si>
  <si>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</si>
  <si>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</si>
  <si>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</si>
  <si>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</si>
  <si>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</si>
  <si>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</si>
  <si>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</si>
  <si>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</si>
  <si>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</si>
  <si>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</si>
  <si>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</si>
  <si>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</si>
  <si>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</si>
  <si>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</si>
  <si>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</si>
  <si>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</si>
  <si>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</si>
  <si>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</si>
  <si>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</si>
  <si>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</si>
  <si>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</si>
  <si>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</si>
  <si>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</si>
  <si>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</si>
  <si>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</si>
  <si>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</si>
  <si>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</si>
  <si>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</si>
  <si>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</si>
  <si>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</si>
  <si>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</si>
  <si>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</si>
  <si>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</si>
  <si>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</si>
  <si>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</si>
  <si>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</si>
  <si>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</si>
  <si>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</si>
  <si>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</si>
  <si>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</si>
  <si>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</si>
  <si>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</si>
  <si>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</si>
  <si>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</si>
  <si>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</si>
  <si>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</si>
  <si>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</si>
  <si>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</si>
  <si>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</si>
  <si>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</si>
  <si>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</si>
  <si>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</si>
  <si>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</si>
  <si>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</si>
  <si>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</si>
  <si>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</si>
  <si>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</si>
  <si>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</si>
  <si>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</si>
  <si>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</si>
  <si>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</si>
  <si>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</si>
  <si>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</si>
  <si>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</si>
  <si>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</si>
  <si>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</si>
  <si>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</si>
  <si>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</si>
  <si>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</si>
  <si>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</si>
  <si>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</si>
  <si>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</si>
  <si>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</si>
  <si>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</si>
  <si>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</si>
  <si>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</si>
  <si>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</si>
  <si>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</si>
  <si>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</si>
  <si>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</si>
  <si>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</si>
  <si>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</si>
  <si>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</si>
  <si>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</si>
  <si>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</si>
  <si>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</si>
  <si>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</si>
  <si>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</si>
  <si>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</si>
  <si>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0117330</t>
  </si>
  <si>
    <t>у тому числі за рахунок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</si>
  <si>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1516013</t>
  </si>
  <si>
    <t>6013</t>
  </si>
  <si>
    <t>Забезпечення діяльності водопровідно-каналізаційного господарства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</si>
  <si>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</si>
  <si>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</si>
  <si>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</si>
  <si>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</si>
  <si>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</si>
  <si>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</si>
  <si>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</si>
  <si>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</si>
  <si>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</si>
  <si>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</si>
  <si>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</si>
  <si>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</si>
  <si>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</si>
  <si>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</si>
  <si>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</si>
  <si>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</si>
  <si>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</si>
  <si>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</si>
  <si>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</si>
  <si>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</si>
  <si>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</si>
  <si>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</si>
  <si>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</si>
  <si>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</si>
  <si>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</si>
  <si>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</si>
  <si>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</si>
  <si>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</si>
  <si>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</si>
  <si>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</si>
  <si>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</si>
  <si>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</si>
  <si>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</si>
  <si>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</si>
  <si>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</si>
  <si>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</si>
  <si>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Програма розвитку транспортного комплексу м.Кам'янське   на 2018-2025роки</t>
  </si>
  <si>
    <t>Будівництво об'єктів житлово-комунального господарства</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</si>
  <si>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</si>
  <si>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</si>
  <si>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</si>
  <si>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</si>
  <si>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</si>
  <si>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</si>
  <si>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</si>
  <si>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</si>
  <si>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</si>
  <si>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</si>
  <si>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</si>
  <si>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</si>
  <si>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</si>
  <si>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</si>
  <si>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</si>
  <si>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</si>
  <si>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</si>
  <si>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у тому числі інші субвенції з місцевого бюджету (субвенція з обласного бюджету бюджетам територіальних громад на виконання доручень виборців депутатами обласної ради у 2021 році)</t>
  </si>
  <si>
    <t>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</si>
  <si>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 xml:space="preserve">26.02.2021                                №124-05/VIII (зі змінами)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</si>
  <si>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</si>
  <si>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</si>
  <si>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</si>
  <si>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</si>
  <si>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</si>
  <si>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</si>
  <si>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</si>
  <si>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</si>
  <si>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</si>
  <si>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</si>
  <si>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</si>
  <si>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</si>
  <si>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</si>
  <si>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</si>
  <si>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</si>
  <si>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</si>
  <si>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</si>
  <si>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</si>
  <si>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</si>
  <si>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</si>
  <si>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</si>
  <si>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</si>
  <si>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</si>
  <si>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</si>
  <si>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</si>
  <si>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</si>
  <si>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</si>
  <si>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</si>
  <si>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</si>
  <si>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</si>
  <si>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</si>
  <si>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</si>
  <si>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</si>
  <si>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</si>
  <si>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</si>
  <si>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</si>
  <si>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</si>
  <si>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</si>
  <si>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</si>
  <si>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</si>
  <si>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</si>
  <si>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</si>
  <si>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</si>
  <si>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</si>
  <si>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</si>
  <si>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</si>
  <si>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</si>
  <si>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</si>
  <si>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</si>
  <si>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</si>
  <si>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</si>
  <si>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</si>
  <si>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</si>
  <si>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</si>
  <si>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</si>
  <si>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</si>
  <si>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</si>
  <si>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</si>
  <si>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</si>
  <si>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</si>
  <si>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</si>
  <si>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</si>
  <si>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</si>
  <si>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</si>
  <si>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</si>
  <si>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</si>
  <si>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</si>
  <si>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</si>
  <si>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</si>
  <si>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</si>
  <si>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</si>
  <si>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</si>
  <si>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</si>
  <si>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</si>
  <si>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</si>
  <si>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</si>
  <si>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</si>
  <si>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</si>
  <si>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</si>
  <si>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</si>
  <si>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</si>
  <si>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</si>
  <si>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</si>
  <si>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</si>
  <si>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</si>
  <si>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</si>
  <si>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</si>
  <si>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</si>
  <si>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</si>
  <si>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</si>
  <si>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</si>
  <si>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</si>
  <si>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</si>
  <si>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</si>
  <si>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</si>
  <si>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</si>
  <si>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</si>
  <si>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</si>
  <si>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</si>
  <si>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</si>
  <si>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</si>
  <si>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</si>
  <si>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</si>
  <si>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</si>
  <si>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</si>
  <si>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</si>
  <si>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</si>
  <si>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</si>
  <si>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</si>
  <si>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</si>
  <si>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</si>
  <si>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</si>
  <si>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</si>
  <si>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</si>
  <si>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</si>
  <si>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</si>
  <si>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</si>
  <si>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</si>
  <si>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</si>
  <si>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</si>
  <si>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</si>
  <si>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</si>
  <si>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</si>
  <si>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</si>
  <si>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</si>
  <si>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</si>
  <si>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</si>
  <si>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</si>
  <si>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</si>
  <si>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</si>
  <si>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</si>
  <si>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</si>
  <si>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</si>
  <si>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</si>
  <si>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</si>
  <si>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</si>
  <si>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</si>
  <si>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</si>
  <si>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</si>
  <si>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</si>
  <si>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</si>
  <si>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</si>
  <si>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</si>
  <si>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</si>
  <si>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</si>
  <si>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</si>
  <si>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</si>
  <si>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</si>
  <si>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</si>
  <si>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</si>
  <si>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</si>
  <si>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</si>
  <si>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</si>
  <si>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</si>
  <si>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</si>
  <si>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</si>
  <si>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</si>
  <si>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</si>
  <si>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</si>
  <si>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</si>
  <si>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</si>
  <si>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</si>
  <si>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</si>
  <si>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</si>
  <si>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</si>
  <si>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</si>
  <si>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</si>
  <si>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</si>
  <si>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</si>
  <si>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</si>
  <si>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</si>
  <si>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</si>
  <si>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</si>
  <si>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</si>
  <si>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</si>
  <si>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</si>
  <si>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</si>
  <si>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</si>
  <si>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</si>
  <si>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</si>
  <si>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</si>
  <si>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</si>
  <si>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</si>
  <si>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</si>
  <si>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</si>
  <si>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</si>
  <si>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</si>
  <si>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</si>
  <si>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</si>
  <si>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</si>
  <si>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</si>
  <si>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</si>
  <si>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</si>
  <si>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</si>
  <si>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</si>
  <si>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</si>
  <si>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</si>
  <si>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</si>
  <si>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</si>
  <si>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</si>
  <si>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</si>
  <si>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</si>
  <si>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</si>
  <si>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</si>
  <si>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</si>
  <si>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</si>
  <si>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</si>
  <si>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</si>
  <si>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</si>
  <si>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</si>
  <si>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</si>
  <si>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</si>
  <si>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</si>
  <si>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</si>
  <si>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</si>
  <si>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</si>
  <si>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</si>
  <si>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</si>
  <si>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</si>
  <si>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</si>
  <si>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</si>
  <si>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</si>
  <si>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</si>
  <si>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</si>
  <si>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</si>
  <si>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</si>
  <si>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</si>
  <si>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</si>
  <si>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</si>
  <si>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</si>
  <si>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</si>
  <si>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</si>
  <si>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</si>
  <si>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</si>
  <si>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</si>
  <si>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</si>
  <si>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</si>
  <si>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</si>
  <si>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</si>
  <si>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</si>
  <si>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</si>
  <si>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</si>
  <si>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</si>
  <si>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</si>
  <si>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</si>
  <si>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</si>
  <si>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</si>
  <si>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</si>
  <si>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</si>
  <si>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</si>
  <si>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</si>
  <si>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</si>
  <si>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</si>
  <si>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</si>
  <si>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</si>
  <si>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</si>
  <si>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</si>
  <si>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</si>
  <si>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</si>
  <si>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</si>
  <si>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</si>
  <si>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</si>
  <si>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</si>
  <si>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</si>
  <si>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t>0611181</t>
  </si>
  <si>
    <t>0611182</t>
  </si>
  <si>
    <t>0611210</t>
  </si>
  <si>
    <t>1181</t>
  </si>
  <si>
    <t>1182</t>
  </si>
  <si>
    <t>1210</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</si>
  <si>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</si>
  <si>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</si>
  <si>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26.02.2021           №138-05/VIІI (зі змінами)</t>
  </si>
  <si>
    <t>0619770</t>
  </si>
  <si>
    <t>9770</t>
  </si>
  <si>
    <t>Інші субвенції з місцевого бюджету</t>
  </si>
  <si>
    <t xml:space="preserve"> у тому числі обласному бюджету Дніпропетровської області - співфінансування на придбання ноутбуків </t>
  </si>
  <si>
    <r>
      <t xml:space="preserve">від  </t>
    </r>
    <r>
      <rPr>
        <u val="single"/>
        <sz val="22"/>
        <rFont val="Times New Roman"/>
        <family val="1"/>
      </rPr>
      <t>18.12.2020</t>
    </r>
    <r>
      <rPr>
        <sz val="22"/>
        <rFont val="Times New Roman"/>
        <family val="1"/>
      </rPr>
      <t xml:space="preserve">  №</t>
    </r>
    <r>
      <rPr>
        <u val="single"/>
        <sz val="22"/>
        <rFont val="Times New Roman"/>
        <family val="1"/>
      </rPr>
      <t>32-03/VIII</t>
    </r>
  </si>
  <si>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</si>
  <si>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</si>
  <si>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</si>
  <si>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</si>
  <si>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</si>
  <si>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</si>
  <si>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</si>
  <si>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</si>
  <si>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</si>
  <si>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</si>
  <si>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</si>
  <si>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</si>
  <si>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</si>
  <si>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</si>
  <si>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</si>
  <si>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</si>
  <si>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</si>
  <si>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</si>
  <si>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</si>
  <si>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</si>
  <si>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</si>
  <si>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</si>
  <si>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</si>
  <si>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</si>
  <si>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</si>
  <si>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</si>
  <si>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</si>
  <si>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</si>
  <si>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</si>
  <si>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</si>
  <si>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</si>
  <si>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</si>
  <si>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</si>
  <si>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</si>
  <si>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</si>
  <si>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</si>
  <si>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</si>
  <si>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</si>
  <si>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</si>
  <si>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</si>
  <si>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</si>
  <si>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</si>
  <si>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</si>
  <si>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</si>
  <si>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</si>
  <si>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</si>
  <si>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</si>
  <si>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</si>
  <si>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</si>
  <si>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</si>
  <si>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</si>
  <si>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</si>
  <si>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</si>
  <si>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</si>
  <si>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</si>
  <si>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</si>
  <si>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</si>
  <si>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</si>
  <si>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</si>
  <si>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</si>
  <si>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</si>
  <si>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</si>
  <si>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</si>
  <si>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</si>
  <si>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</si>
  <si>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</si>
  <si>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</si>
  <si>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</si>
  <si>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</si>
  <si>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</si>
  <si>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</si>
  <si>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</si>
  <si>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</si>
  <si>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</si>
  <si>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</si>
  <si>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</si>
  <si>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</si>
  <si>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</si>
  <si>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</si>
  <si>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</si>
  <si>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</si>
  <si>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</si>
  <si>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</si>
  <si>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</si>
  <si>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</si>
  <si>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</si>
  <si>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</si>
  <si>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</si>
  <si>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</si>
  <si>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</si>
  <si>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</si>
  <si>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</si>
  <si>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</si>
  <si>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</si>
  <si>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</si>
  <si>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</si>
  <si>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</si>
  <si>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</si>
  <si>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</si>
  <si>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</si>
  <si>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</si>
  <si>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</si>
  <si>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</si>
  <si>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</si>
  <si>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</si>
  <si>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</si>
  <si>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</si>
  <si>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</si>
  <si>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</si>
  <si>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</si>
  <si>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</si>
  <si>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</si>
  <si>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</si>
  <si>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</si>
  <si>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</si>
  <si>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</si>
  <si>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</si>
  <si>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</si>
  <si>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</si>
  <si>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</si>
  <si>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</si>
  <si>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</si>
  <si>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</si>
  <si>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</si>
  <si>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</si>
  <si>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</si>
  <si>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</si>
  <si>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</si>
  <si>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</si>
  <si>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</si>
  <si>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</si>
  <si>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</si>
  <si>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</si>
  <si>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</si>
  <si>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</si>
  <si>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</si>
  <si>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</si>
  <si>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</si>
  <si>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</si>
  <si>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</si>
  <si>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</si>
  <si>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</si>
  <si>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</si>
  <si>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</si>
  <si>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</si>
  <si>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</si>
  <si>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</si>
  <si>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</si>
  <si>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 xml:space="preserve"> 29.07.2016            №258-09/VІІ               (зі змінами)</t>
  </si>
  <si>
    <t>27.06.2019 №1471-33/VII</t>
  </si>
  <si>
    <t xml:space="preserve"> 22.12.2017                              №969-21/VІІ</t>
  </si>
  <si>
    <t>23.06.2017                             №732-17/VІІ</t>
  </si>
  <si>
    <t xml:space="preserve"> 22.12.2017                                          №955-21/VІІ                                         (зі змінами)</t>
  </si>
  <si>
    <t>1515045</t>
  </si>
  <si>
    <t>12.11.2021  №377-11/VIII</t>
  </si>
  <si>
    <t>0813050</t>
  </si>
  <si>
    <t>Пільгове медичне обслуговування осіб, які постраждали внаслідок Чорнобильської катастрофи</t>
  </si>
  <si>
    <t>у тому числі інші субвенції з місцевого бюджету (субвенція з обласного бюджету місцевим бюджетам на пільгове медичне обслуговування осіб, які постраждали внаслідок Чорнобильської катастрофи)</t>
  </si>
  <si>
    <t xml:space="preserve">30.03.2018              №1041-23/VІІ                     </t>
  </si>
  <si>
    <t>Комплексна програма підтримки  учасників антитерористичної операції / операції об'єднаних сил на 2021-2023 роки</t>
  </si>
  <si>
    <t>інші субвенції (субвенція з обласного бюджету місцевим бюджетам на забезпечення централізованою подачею кисню ліжкового фонду закладів охорони здоров'z, які надають стаціонарну медичну допомогу пацієнтам з гострою респіраторною хворобою COVID-19, спричиненою короновірусом SARS-CoV-2)</t>
  </si>
  <si>
    <t xml:space="preserve">  Програма розвитку Комунального підприємства Кам’янської міської ради «Кам’янське автотранспортне підприємство 042802» на 2021-2022 роки</t>
  </si>
  <si>
    <t xml:space="preserve">  06.04.2021                          №167-06/VIIІ </t>
  </si>
  <si>
    <t xml:space="preserve">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бюджетуу тому числі на 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 </t>
  </si>
  <si>
    <t>у тому числі субвенція з місцевого бюджету на закупівлю опорними закладами охорони здоров’я послуг щодо проектування та встановлення кисневих станцій за рахунок відповідної субвенції з державного бюджету</t>
  </si>
  <si>
    <r>
      <t xml:space="preserve">від </t>
    </r>
    <r>
      <rPr>
        <u val="single"/>
        <sz val="22"/>
        <rFont val="Times New Roman"/>
        <family val="1"/>
      </rPr>
      <t>22.12.2021</t>
    </r>
    <r>
      <rPr>
        <sz val="22"/>
        <rFont val="Times New Roman"/>
        <family val="1"/>
      </rPr>
      <t xml:space="preserve"> №</t>
    </r>
    <r>
      <rPr>
        <u val="single"/>
        <sz val="22"/>
        <rFont val="Times New Roman"/>
        <family val="1"/>
      </rPr>
      <t>505-14/VIII)</t>
    </r>
  </si>
  <si>
    <t>02.11.2018           №1229-29/VII (зі змінами)</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</si>
</sst>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80">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4"/>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u val="single"/>
      <sz val="24"/>
      <name val="Times New Roman"/>
      <family val="1"/>
    </font>
    <font>
      <b/>
      <i/>
      <sz val="16"/>
      <name val="Times New Roman"/>
      <family val="1"/>
    </font>
    <font>
      <i/>
      <sz val="12"/>
      <name val="Times New Roman"/>
      <family val="1"/>
    </font>
    <font>
      <i/>
      <sz val="10"/>
      <name val="Times New Roman"/>
      <family val="1"/>
    </font>
    <font>
      <b/>
      <sz val="14"/>
      <name val="Times New Roman"/>
      <family val="1"/>
    </font>
    <font>
      <i/>
      <sz val="17"/>
      <name val="Times New Roman"/>
      <family val="1"/>
    </font>
    <font>
      <i/>
      <sz val="8"/>
      <name val="Times New Roman"/>
      <family val="1"/>
    </font>
    <font>
      <i/>
      <sz val="22"/>
      <name val="Times New Roman"/>
      <family val="1"/>
    </font>
    <font>
      <i/>
      <sz val="24"/>
      <name val="Times New Roman"/>
      <family val="1"/>
    </font>
    <font>
      <b/>
      <sz val="12"/>
      <name val="Arial"/>
      <family val="2"/>
    </font>
    <font>
      <i/>
      <sz val="26"/>
      <name val="Times New Roman"/>
      <family val="1"/>
    </font>
    <font>
      <i/>
      <sz val="11"/>
      <name val="Times New Roman"/>
      <family val="1"/>
    </font>
    <font>
      <i/>
      <sz val="13"/>
      <name val="Times New Roman"/>
      <family val="1"/>
    </font>
    <font>
      <b/>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lignment vertical="top"/>
      <protection/>
    </xf>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6"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1" borderId="0" applyNumberFormat="0" applyBorder="0" applyAlignment="0" applyProtection="0"/>
  </cellStyleXfs>
  <cellXfs count="455">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7" fillId="0" borderId="0" xfId="0" applyNumberFormat="1" applyFont="1" applyFill="1" applyAlignment="1" applyProtection="1">
      <alignment horizontal="center" vertical="center" wrapText="1"/>
      <protection/>
    </xf>
    <xf numFmtId="4" fontId="10" fillId="0" borderId="0" xfId="0" applyNumberFormat="1" applyFont="1" applyFill="1" applyAlignment="1" applyProtection="1">
      <alignment horizontal="right" vertical="center" wrapText="1"/>
      <protection/>
    </xf>
    <xf numFmtId="2" fontId="12" fillId="0" borderId="10" xfId="0" applyNumberFormat="1" applyFont="1" applyFill="1" applyBorder="1" applyAlignment="1">
      <alignment horizontal="center" vertical="center" wrapText="1"/>
    </xf>
    <xf numFmtId="49" fontId="12" fillId="0" borderId="10" xfId="0" applyNumberFormat="1" applyFont="1" applyBorder="1" applyAlignment="1" quotePrefix="1">
      <alignment horizontal="center" vertical="center" wrapText="1"/>
    </xf>
    <xf numFmtId="49" fontId="12" fillId="0" borderId="10" xfId="0" applyNumberFormat="1" applyFont="1" applyBorder="1" applyAlignment="1">
      <alignment horizontal="center" vertical="center" wrapText="1"/>
    </xf>
    <xf numFmtId="2" fontId="12" fillId="0" borderId="10" xfId="0" applyNumberFormat="1" applyFont="1" applyBorder="1" applyAlignment="1">
      <alignment horizontal="left" vertical="center" wrapText="1"/>
    </xf>
    <xf numFmtId="2" fontId="12" fillId="0" borderId="10" xfId="0" applyNumberFormat="1" applyFont="1" applyBorder="1" applyAlignment="1">
      <alignment horizontal="center" vertical="center" wrapText="1"/>
    </xf>
    <xf numFmtId="4" fontId="10" fillId="0" borderId="10" xfId="49" applyNumberFormat="1" applyFont="1" applyFill="1" applyBorder="1" applyAlignment="1">
      <alignment horizontal="right" vertical="center" wrapText="1"/>
      <protection/>
    </xf>
    <xf numFmtId="4" fontId="12" fillId="0" borderId="10" xfId="0" applyNumberFormat="1" applyFont="1" applyBorder="1" applyAlignment="1">
      <alignment horizontal="right" vertical="center" wrapText="1"/>
    </xf>
    <xf numFmtId="4" fontId="12" fillId="0" borderId="10" xfId="0" applyNumberFormat="1" applyFont="1" applyFill="1" applyBorder="1" applyAlignment="1">
      <alignment horizontal="right" vertical="center" wrapText="1"/>
    </xf>
    <xf numFmtId="0" fontId="12" fillId="0" borderId="0" xfId="0" applyFont="1" applyFill="1" applyAlignment="1">
      <alignment vertical="center" wrapText="1"/>
    </xf>
    <xf numFmtId="0" fontId="12" fillId="0" borderId="0" xfId="0" applyFont="1" applyAlignment="1">
      <alignment vertical="center" wrapText="1"/>
    </xf>
    <xf numFmtId="4" fontId="12" fillId="0" borderId="0" xfId="0" applyNumberFormat="1" applyFont="1" applyAlignment="1">
      <alignment vertical="center" wrapText="1"/>
    </xf>
    <xf numFmtId="4" fontId="12" fillId="0" borderId="10" xfId="49" applyNumberFormat="1" applyFont="1" applyFill="1" applyBorder="1" applyAlignment="1">
      <alignment horizontal="right" vertical="center" wrapText="1"/>
      <protection/>
    </xf>
    <xf numFmtId="49" fontId="10" fillId="32" borderId="10" xfId="0" applyNumberFormat="1" applyFont="1" applyFill="1" applyBorder="1" applyAlignment="1">
      <alignment horizontal="center" vertical="center" wrapText="1"/>
    </xf>
    <xf numFmtId="49" fontId="10" fillId="32" borderId="10" xfId="0" applyNumberFormat="1" applyFont="1" applyFill="1" applyBorder="1" applyAlignment="1" quotePrefix="1">
      <alignment horizontal="center" vertical="center" wrapText="1"/>
    </xf>
    <xf numFmtId="2" fontId="10" fillId="32" borderId="10" xfId="0" applyNumberFormat="1" applyFont="1" applyFill="1" applyBorder="1" applyAlignment="1">
      <alignment horizontal="center" vertical="center" wrapText="1"/>
    </xf>
    <xf numFmtId="4" fontId="10" fillId="32" borderId="10" xfId="0" applyNumberFormat="1" applyFont="1" applyFill="1" applyBorder="1" applyAlignment="1">
      <alignment horizontal="right" vertical="center" wrapText="1"/>
    </xf>
    <xf numFmtId="4" fontId="12" fillId="0" borderId="10" xfId="0" applyNumberFormat="1" applyFont="1" applyBorder="1" applyAlignment="1">
      <alignment horizontal="center" vertical="center" wrapText="1"/>
    </xf>
    <xf numFmtId="0" fontId="10" fillId="0" borderId="0" xfId="0" applyFont="1" applyAlignment="1">
      <alignment vertical="center" wrapText="1"/>
    </xf>
    <xf numFmtId="3" fontId="12" fillId="0" borderId="10" xfId="49" applyNumberFormat="1" applyFont="1" applyFill="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left" vertical="center" wrapText="1"/>
    </xf>
    <xf numFmtId="4" fontId="10" fillId="33" borderId="10" xfId="0" applyNumberFormat="1" applyFont="1" applyFill="1" applyBorder="1" applyAlignment="1">
      <alignment horizontal="right" vertical="center" wrapText="1"/>
    </xf>
    <xf numFmtId="0" fontId="10" fillId="32" borderId="10" xfId="0" applyFont="1" applyFill="1" applyBorder="1" applyAlignment="1">
      <alignment horizontal="center" vertical="center" wrapText="1"/>
    </xf>
    <xf numFmtId="0" fontId="12" fillId="32" borderId="0" xfId="0" applyFont="1" applyFill="1" applyBorder="1" applyAlignment="1">
      <alignment vertical="center" wrapText="1"/>
    </xf>
    <xf numFmtId="49" fontId="12" fillId="0" borderId="10" xfId="0" applyNumberFormat="1" applyFont="1" applyFill="1" applyBorder="1" applyAlignment="1" quotePrefix="1">
      <alignment horizontal="center" vertical="center" wrapText="1"/>
    </xf>
    <xf numFmtId="4" fontId="10" fillId="33" borderId="10" xfId="0" applyNumberFormat="1" applyFont="1" applyFill="1" applyBorder="1" applyAlignment="1" quotePrefix="1">
      <alignment horizontal="right" vertical="center" wrapText="1"/>
    </xf>
    <xf numFmtId="4" fontId="10" fillId="32" borderId="10" xfId="0" applyNumberFormat="1" applyFont="1" applyFill="1" applyBorder="1" applyAlignment="1" quotePrefix="1">
      <alignment horizontal="right" vertical="center" wrapText="1"/>
    </xf>
    <xf numFmtId="4" fontId="12" fillId="0" borderId="10" xfId="0" applyNumberFormat="1" applyFont="1" applyBorder="1" applyAlignment="1">
      <alignment vertical="center" wrapText="1"/>
    </xf>
    <xf numFmtId="49" fontId="12" fillId="4" borderId="10" xfId="0" applyNumberFormat="1" applyFont="1" applyFill="1" applyBorder="1" applyAlignment="1">
      <alignment horizontal="center" vertical="center" wrapText="1"/>
    </xf>
    <xf numFmtId="49" fontId="12" fillId="4" borderId="10" xfId="0" applyNumberFormat="1" applyFont="1" applyFill="1" applyBorder="1" applyAlignment="1" quotePrefix="1">
      <alignment horizontal="center" vertical="center" wrapText="1"/>
    </xf>
    <xf numFmtId="2" fontId="12" fillId="4" borderId="10" xfId="0" applyNumberFormat="1" applyFont="1" applyFill="1" applyBorder="1" applyAlignment="1">
      <alignment horizontal="center" vertical="center" wrapText="1"/>
    </xf>
    <xf numFmtId="4" fontId="10" fillId="4" borderId="10" xfId="0" applyNumberFormat="1" applyFont="1" applyFill="1" applyBorder="1" applyAlignment="1" applyProtection="1">
      <alignment horizontal="right" vertical="center" wrapText="1"/>
      <protection/>
    </xf>
    <xf numFmtId="0" fontId="13" fillId="0" borderId="0" xfId="0" applyFont="1" applyAlignment="1">
      <alignment vertical="center" wrapText="1"/>
    </xf>
    <xf numFmtId="4" fontId="10" fillId="4" borderId="10" xfId="0" applyNumberFormat="1" applyFont="1" applyFill="1" applyBorder="1" applyAlignment="1" quotePrefix="1">
      <alignment horizontal="right" vertical="center" wrapText="1"/>
    </xf>
    <xf numFmtId="4" fontId="10" fillId="0" borderId="10" xfId="0" applyNumberFormat="1" applyFont="1" applyFill="1" applyBorder="1" applyAlignment="1">
      <alignment horizontal="right" vertical="center" wrapText="1"/>
    </xf>
    <xf numFmtId="4" fontId="12" fillId="0" borderId="10" xfId="0" applyNumberFormat="1" applyFont="1" applyFill="1" applyBorder="1" applyAlignment="1" applyProtection="1">
      <alignment horizontal="right" vertical="center" wrapText="1"/>
      <protection/>
    </xf>
    <xf numFmtId="3" fontId="12" fillId="0" borderId="1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vertical="center" wrapText="1"/>
    </xf>
    <xf numFmtId="0" fontId="3"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49" fontId="10" fillId="4" borderId="10" xfId="0" applyNumberFormat="1" applyFont="1" applyFill="1" applyBorder="1" applyAlignment="1" quotePrefix="1">
      <alignment horizontal="center" vertical="center" wrapText="1"/>
    </xf>
    <xf numFmtId="49" fontId="10" fillId="4" borderId="10" xfId="0" applyNumberFormat="1" applyFont="1" applyFill="1" applyBorder="1" applyAlignment="1">
      <alignment horizontal="center" vertical="center" wrapText="1"/>
    </xf>
    <xf numFmtId="2" fontId="10" fillId="4" borderId="10" xfId="0" applyNumberFormat="1" applyFont="1" applyFill="1" applyBorder="1" applyAlignment="1">
      <alignment horizontal="center" vertical="center" wrapText="1"/>
    </xf>
    <xf numFmtId="0" fontId="12" fillId="34" borderId="0" xfId="0" applyFont="1" applyFill="1" applyAlignment="1">
      <alignment vertical="center" wrapText="1"/>
    </xf>
    <xf numFmtId="4" fontId="12" fillId="33" borderId="10" xfId="0" applyNumberFormat="1" applyFont="1" applyFill="1" applyBorder="1" applyAlignment="1">
      <alignment horizontal="right" vertical="center" wrapText="1"/>
    </xf>
    <xf numFmtId="49" fontId="12" fillId="33" borderId="10" xfId="0" applyNumberFormat="1" applyFont="1" applyFill="1" applyBorder="1" applyAlignment="1">
      <alignment horizontal="center" vertical="center" wrapText="1"/>
    </xf>
    <xf numFmtId="49" fontId="12" fillId="33" borderId="10" xfId="0" applyNumberFormat="1" applyFont="1" applyFill="1" applyBorder="1" applyAlignment="1" quotePrefix="1">
      <alignment horizontal="center" vertical="center" wrapText="1"/>
    </xf>
    <xf numFmtId="2" fontId="12" fillId="33" borderId="10" xfId="0" applyNumberFormat="1" applyFont="1" applyFill="1" applyBorder="1" applyAlignment="1">
      <alignment vertical="center" wrapText="1"/>
    </xf>
    <xf numFmtId="2" fontId="12" fillId="33" borderId="10" xfId="0" applyNumberFormat="1" applyFont="1" applyFill="1" applyBorder="1" applyAlignment="1">
      <alignment horizontal="center" vertical="center" wrapText="1"/>
    </xf>
    <xf numFmtId="4" fontId="12" fillId="33" borderId="10" xfId="49" applyNumberFormat="1" applyFont="1" applyFill="1" applyBorder="1" applyAlignment="1">
      <alignment horizontal="right" vertical="center" wrapText="1"/>
      <protection/>
    </xf>
    <xf numFmtId="2" fontId="12" fillId="33" borderId="10" xfId="0" applyNumberFormat="1" applyFont="1" applyFill="1" applyBorder="1" applyAlignment="1">
      <alignment horizontal="left" vertical="center" wrapText="1"/>
    </xf>
    <xf numFmtId="3" fontId="12" fillId="35" borderId="10" xfId="0" applyNumberFormat="1" applyFont="1" applyFill="1" applyBorder="1" applyAlignment="1" applyProtection="1">
      <alignment horizontal="center" vertical="center" wrapText="1"/>
      <protection/>
    </xf>
    <xf numFmtId="3" fontId="12" fillId="33" borderId="10" xfId="0" applyNumberFormat="1" applyFont="1" applyFill="1" applyBorder="1" applyAlignment="1" applyProtection="1">
      <alignment horizontal="center" vertical="center" wrapText="1"/>
      <protection/>
    </xf>
    <xf numFmtId="3" fontId="12" fillId="4" borderId="10" xfId="49" applyNumberFormat="1" applyFont="1" applyFill="1" applyBorder="1" applyAlignment="1">
      <alignment horizontal="center" vertical="center" wrapText="1"/>
      <protection/>
    </xf>
    <xf numFmtId="4" fontId="10" fillId="4" borderId="10" xfId="49" applyNumberFormat="1" applyFont="1" applyFill="1" applyBorder="1" applyAlignment="1">
      <alignment horizontal="right" vertical="center" wrapText="1"/>
      <protection/>
    </xf>
    <xf numFmtId="0" fontId="12" fillId="0" borderId="10" xfId="0" applyFont="1" applyBorder="1" applyAlignment="1" quotePrefix="1">
      <alignment horizontal="center" vertical="center" wrapText="1"/>
    </xf>
    <xf numFmtId="2" fontId="12" fillId="0" borderId="10" xfId="0" applyNumberFormat="1" applyFont="1" applyBorder="1" applyAlignment="1" quotePrefix="1">
      <alignment vertical="center" wrapText="1"/>
    </xf>
    <xf numFmtId="4" fontId="10" fillId="4" borderId="10" xfId="0" applyNumberFormat="1" applyFont="1" applyFill="1" applyBorder="1" applyAlignment="1">
      <alignment horizontal="right" vertical="center" wrapText="1"/>
    </xf>
    <xf numFmtId="4" fontId="10" fillId="36" borderId="10" xfId="0" applyNumberFormat="1" applyFont="1" applyFill="1" applyBorder="1" applyAlignment="1">
      <alignment horizontal="right" vertical="center" wrapText="1"/>
    </xf>
    <xf numFmtId="2" fontId="17" fillId="0" borderId="10" xfId="0" applyNumberFormat="1" applyFont="1" applyBorder="1" applyAlignment="1">
      <alignment horizontal="left" vertical="center" wrapText="1"/>
    </xf>
    <xf numFmtId="4" fontId="18" fillId="0" borderId="10" xfId="49" applyNumberFormat="1" applyFont="1" applyFill="1" applyBorder="1" applyAlignment="1">
      <alignment horizontal="right" vertical="center" wrapText="1"/>
      <protection/>
    </xf>
    <xf numFmtId="4" fontId="17" fillId="0" borderId="10" xfId="0" applyNumberFormat="1" applyFont="1" applyBorder="1" applyAlignment="1">
      <alignment horizontal="right" vertical="center" wrapText="1"/>
    </xf>
    <xf numFmtId="4" fontId="17" fillId="33" borderId="10" xfId="0" applyNumberFormat="1" applyFont="1" applyFill="1" applyBorder="1" applyAlignment="1">
      <alignment horizontal="right" vertical="center" wrapText="1"/>
    </xf>
    <xf numFmtId="49" fontId="19" fillId="0" borderId="10" xfId="0" applyNumberFormat="1" applyFont="1" applyBorder="1" applyAlignment="1" quotePrefix="1">
      <alignment horizontal="center" vertical="center" wrapText="1"/>
    </xf>
    <xf numFmtId="0" fontId="19" fillId="0" borderId="0" xfId="0" applyFont="1" applyAlignment="1">
      <alignment vertical="center" wrapText="1"/>
    </xf>
    <xf numFmtId="2" fontId="17" fillId="0" borderId="10" xfId="0" applyNumberFormat="1" applyFont="1" applyFill="1" applyBorder="1" applyAlignment="1">
      <alignment horizontal="left" vertical="center" wrapText="1"/>
    </xf>
    <xf numFmtId="4" fontId="17" fillId="0" borderId="10" xfId="0" applyNumberFormat="1" applyFont="1" applyFill="1" applyBorder="1" applyAlignment="1">
      <alignment horizontal="right" vertical="center" wrapText="1"/>
    </xf>
    <xf numFmtId="0" fontId="19" fillId="0" borderId="0" xfId="0" applyFont="1" applyFill="1" applyAlignment="1">
      <alignment vertical="center" wrapText="1"/>
    </xf>
    <xf numFmtId="4" fontId="19" fillId="0" borderId="10" xfId="0" applyNumberFormat="1" applyFont="1" applyFill="1" applyBorder="1" applyAlignment="1">
      <alignment horizontal="right" vertical="center" wrapText="1"/>
    </xf>
    <xf numFmtId="2" fontId="12" fillId="0" borderId="10" xfId="0" applyNumberFormat="1" applyFont="1" applyFill="1" applyBorder="1" applyAlignment="1" quotePrefix="1">
      <alignment horizontal="left" vertical="center" wrapText="1"/>
    </xf>
    <xf numFmtId="0" fontId="12" fillId="0" borderId="0" xfId="0" applyFont="1" applyFill="1" applyAlignment="1">
      <alignment horizontal="center" vertical="center" wrapText="1"/>
    </xf>
    <xf numFmtId="2" fontId="12" fillId="0" borderId="10" xfId="0" applyNumberFormat="1" applyFont="1" applyBorder="1" applyAlignment="1" quotePrefix="1">
      <alignment horizontal="left" vertical="center" wrapText="1"/>
    </xf>
    <xf numFmtId="3" fontId="12" fillId="35" borderId="10" xfId="49" applyNumberFormat="1" applyFont="1" applyFill="1" applyBorder="1" applyAlignment="1">
      <alignment horizontal="center" vertical="center" wrapText="1"/>
      <protection/>
    </xf>
    <xf numFmtId="4" fontId="18" fillId="0" borderId="10" xfId="0" applyNumberFormat="1" applyFont="1" applyFill="1" applyBorder="1" applyAlignment="1">
      <alignment horizontal="right" vertical="center" wrapText="1"/>
    </xf>
    <xf numFmtId="4" fontId="17" fillId="0" borderId="10" xfId="49" applyNumberFormat="1" applyFont="1" applyFill="1" applyBorder="1" applyAlignment="1">
      <alignment horizontal="right" vertical="center" wrapText="1"/>
      <protection/>
    </xf>
    <xf numFmtId="4" fontId="13" fillId="0" borderId="10" xfId="0" applyNumberFormat="1" applyFont="1" applyFill="1" applyBorder="1" applyAlignment="1">
      <alignment horizontal="right" vertical="center" wrapText="1"/>
    </xf>
    <xf numFmtId="2" fontId="12" fillId="33" borderId="10" xfId="0" applyNumberFormat="1" applyFont="1" applyFill="1" applyBorder="1" applyAlignment="1" quotePrefix="1">
      <alignment vertical="center" wrapText="1"/>
    </xf>
    <xf numFmtId="3"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2" fillId="0" borderId="10" xfId="0" applyNumberFormat="1" applyFont="1" applyFill="1" applyBorder="1" applyAlignment="1" quotePrefix="1">
      <alignment vertical="center" wrapText="1"/>
    </xf>
    <xf numFmtId="4" fontId="12" fillId="0" borderId="10" xfId="0" applyNumberFormat="1" applyFont="1" applyFill="1" applyBorder="1" applyAlignment="1" quotePrefix="1">
      <alignment horizontal="right" vertical="center" wrapText="1"/>
    </xf>
    <xf numFmtId="0" fontId="12" fillId="0" borderId="10" xfId="0" applyNumberFormat="1" applyFont="1" applyFill="1" applyBorder="1" applyAlignment="1" quotePrefix="1">
      <alignment horizontal="center" vertical="center" wrapText="1"/>
    </xf>
    <xf numFmtId="4" fontId="12" fillId="0" borderId="10" xfId="0" applyNumberFormat="1" applyFont="1" applyFill="1" applyBorder="1" applyAlignment="1">
      <alignment vertical="center" wrapText="1"/>
    </xf>
    <xf numFmtId="2" fontId="12" fillId="0" borderId="10" xfId="0" applyNumberFormat="1" applyFont="1" applyFill="1" applyBorder="1" applyAlignment="1" quotePrefix="1">
      <alignment horizontal="center" vertical="center" wrapText="1"/>
    </xf>
    <xf numFmtId="3" fontId="12" fillId="33" borderId="10" xfId="49" applyNumberFormat="1" applyFont="1" applyFill="1" applyBorder="1" applyAlignment="1">
      <alignment horizontal="center" vertical="center" wrapText="1"/>
      <protection/>
    </xf>
    <xf numFmtId="4" fontId="10" fillId="0" borderId="10" xfId="0" applyNumberFormat="1" applyFont="1" applyFill="1" applyBorder="1" applyAlignment="1">
      <alignment vertical="center" wrapText="1"/>
    </xf>
    <xf numFmtId="4" fontId="12" fillId="33" borderId="10" xfId="0" applyNumberFormat="1" applyFont="1" applyFill="1" applyBorder="1" applyAlignment="1">
      <alignment horizontal="center" vertical="center" wrapText="1"/>
    </xf>
    <xf numFmtId="49" fontId="17" fillId="0" borderId="10" xfId="0" applyNumberFormat="1" applyFont="1" applyFill="1" applyBorder="1" applyAlignment="1" quotePrefix="1">
      <alignment horizontal="center" vertical="center" wrapText="1"/>
    </xf>
    <xf numFmtId="49" fontId="17" fillId="0" borderId="10" xfId="0" applyNumberFormat="1" applyFont="1" applyFill="1" applyBorder="1" applyAlignment="1">
      <alignment horizontal="center" vertical="center" wrapText="1"/>
    </xf>
    <xf numFmtId="3" fontId="17" fillId="0"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right" vertical="center" wrapText="1"/>
      <protection/>
    </xf>
    <xf numFmtId="4" fontId="17" fillId="0" borderId="10" xfId="0" applyNumberFormat="1" applyFont="1" applyFill="1" applyBorder="1" applyAlignment="1" applyProtection="1">
      <alignment horizontal="right" vertical="center" wrapText="1"/>
      <protection/>
    </xf>
    <xf numFmtId="0" fontId="17" fillId="0" borderId="0" xfId="0" applyFont="1" applyAlignment="1">
      <alignment vertical="center" wrapText="1"/>
    </xf>
    <xf numFmtId="0" fontId="12" fillId="0" borderId="10" xfId="0" applyFont="1" applyFill="1" applyBorder="1" applyAlignment="1" quotePrefix="1">
      <alignment horizontal="center" vertical="center" wrapText="1"/>
    </xf>
    <xf numFmtId="0" fontId="13" fillId="0" borderId="0" xfId="0" applyFont="1" applyFill="1" applyAlignment="1">
      <alignment vertical="center" wrapText="1"/>
    </xf>
    <xf numFmtId="0" fontId="12" fillId="33" borderId="10" xfId="0" applyFont="1" applyFill="1" applyBorder="1" applyAlignment="1">
      <alignment horizontal="center" vertical="center" wrapText="1"/>
    </xf>
    <xf numFmtId="0" fontId="12" fillId="0" borderId="10" xfId="0" applyFont="1" applyBorder="1" applyAlignment="1">
      <alignment horizontal="center" vertical="center" wrapText="1"/>
    </xf>
    <xf numFmtId="49" fontId="17" fillId="33" borderId="10" xfId="0" applyNumberFormat="1" applyFont="1" applyFill="1" applyBorder="1" applyAlignment="1" quotePrefix="1">
      <alignment horizontal="center" vertical="center" wrapText="1"/>
    </xf>
    <xf numFmtId="49" fontId="17" fillId="33" borderId="10" xfId="0" applyNumberFormat="1" applyFont="1" applyFill="1" applyBorder="1" applyAlignment="1">
      <alignment horizontal="center" vertical="center" wrapText="1"/>
    </xf>
    <xf numFmtId="2" fontId="17" fillId="33" borderId="10" xfId="0" applyNumberFormat="1" applyFont="1" applyFill="1" applyBorder="1" applyAlignment="1">
      <alignment horizontal="left" vertical="center" wrapText="1"/>
    </xf>
    <xf numFmtId="3" fontId="17" fillId="33" borderId="10" xfId="0" applyNumberFormat="1" applyFont="1" applyFill="1" applyBorder="1" applyAlignment="1" applyProtection="1">
      <alignment horizontal="center" vertical="center" wrapText="1"/>
      <protection/>
    </xf>
    <xf numFmtId="4" fontId="18" fillId="33" borderId="10" xfId="0" applyNumberFormat="1" applyFont="1" applyFill="1" applyBorder="1" applyAlignment="1" applyProtection="1">
      <alignment horizontal="right" vertical="center" wrapText="1"/>
      <protection/>
    </xf>
    <xf numFmtId="4" fontId="17" fillId="33" borderId="10" xfId="0" applyNumberFormat="1" applyFont="1" applyFill="1" applyBorder="1" applyAlignment="1" applyProtection="1">
      <alignment horizontal="right" vertical="center" wrapText="1"/>
      <protection/>
    </xf>
    <xf numFmtId="0" fontId="17" fillId="35" borderId="0" xfId="0" applyFont="1" applyFill="1" applyAlignment="1">
      <alignment vertical="center" wrapText="1"/>
    </xf>
    <xf numFmtId="4" fontId="10" fillId="33" borderId="10" xfId="49" applyNumberFormat="1" applyFont="1" applyFill="1" applyBorder="1" applyAlignment="1">
      <alignment horizontal="right" vertical="center" wrapText="1"/>
      <protection/>
    </xf>
    <xf numFmtId="0" fontId="12" fillId="33" borderId="0" xfId="0" applyFont="1" applyFill="1" applyAlignment="1">
      <alignment vertical="center" wrapText="1"/>
    </xf>
    <xf numFmtId="4" fontId="10" fillId="33" borderId="10" xfId="0" applyNumberFormat="1" applyFont="1" applyFill="1" applyBorder="1" applyAlignment="1" applyProtection="1">
      <alignment horizontal="right" vertical="center" wrapText="1"/>
      <protection/>
    </xf>
    <xf numFmtId="4" fontId="12" fillId="33" borderId="10" xfId="0" applyNumberFormat="1" applyFont="1" applyFill="1" applyBorder="1" applyAlignment="1" applyProtection="1">
      <alignment horizontal="right" vertical="center" wrapText="1"/>
      <protection/>
    </xf>
    <xf numFmtId="4" fontId="10" fillId="0" borderId="10" xfId="0" applyNumberFormat="1" applyFont="1" applyFill="1" applyBorder="1" applyAlignment="1" applyProtection="1">
      <alignment horizontal="right" vertical="center" wrapText="1"/>
      <protection/>
    </xf>
    <xf numFmtId="0" fontId="12" fillId="0" borderId="10" xfId="0" applyFont="1" applyFill="1" applyBorder="1" applyAlignment="1">
      <alignment horizontal="left" vertical="center" wrapText="1"/>
    </xf>
    <xf numFmtId="0" fontId="10" fillId="0" borderId="0" xfId="0" applyFont="1" applyFill="1" applyBorder="1" applyAlignment="1">
      <alignment vertical="center" wrapText="1"/>
    </xf>
    <xf numFmtId="4" fontId="12" fillId="33" borderId="10" xfId="0" applyNumberFormat="1" applyFont="1" applyFill="1" applyBorder="1" applyAlignment="1" quotePrefix="1">
      <alignment horizontal="right" vertical="center" wrapText="1"/>
    </xf>
    <xf numFmtId="0" fontId="10" fillId="0" borderId="0" xfId="0" applyFont="1" applyBorder="1" applyAlignment="1">
      <alignment vertical="center" wrapText="1"/>
    </xf>
    <xf numFmtId="0" fontId="12" fillId="0" borderId="10" xfId="0" applyFont="1" applyBorder="1" applyAlignment="1">
      <alignment horizontal="left" vertical="center" wrapText="1"/>
    </xf>
    <xf numFmtId="4" fontId="10" fillId="0" borderId="10" xfId="0" applyNumberFormat="1" applyFont="1" applyBorder="1" applyAlignment="1">
      <alignment horizontal="righ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4" borderId="10" xfId="0" applyFont="1" applyFill="1" applyBorder="1" applyAlignment="1" quotePrefix="1">
      <alignment horizontal="center" vertical="center" wrapText="1"/>
    </xf>
    <xf numFmtId="3" fontId="12" fillId="4" borderId="10" xfId="0" applyNumberFormat="1" applyFont="1" applyFill="1" applyBorder="1" applyAlignment="1" applyProtection="1">
      <alignment horizontal="center" vertical="center" wrapText="1"/>
      <protection/>
    </xf>
    <xf numFmtId="0" fontId="10" fillId="32" borderId="10" xfId="0" applyFont="1" applyFill="1" applyBorder="1" applyAlignment="1" quotePrefix="1">
      <alignment horizontal="center" vertical="center" wrapText="1"/>
    </xf>
    <xf numFmtId="4" fontId="10" fillId="36" borderId="10" xfId="0" applyNumberFormat="1" applyFont="1" applyFill="1" applyBorder="1" applyAlignment="1" applyProtection="1">
      <alignment horizontal="right" vertical="center" wrapText="1"/>
      <protection/>
    </xf>
    <xf numFmtId="0" fontId="12" fillId="0" borderId="10" xfId="0" applyFont="1" applyBorder="1" applyAlignment="1">
      <alignment vertical="center" wrapText="1"/>
    </xf>
    <xf numFmtId="4" fontId="10" fillId="36" borderId="10" xfId="0" applyNumberFormat="1" applyFont="1" applyFill="1" applyBorder="1" applyAlignment="1">
      <alignment vertical="center" wrapText="1"/>
    </xf>
    <xf numFmtId="2" fontId="12" fillId="33" borderId="10" xfId="0" applyNumberFormat="1" applyFont="1" applyFill="1" applyBorder="1" applyAlignment="1" quotePrefix="1">
      <alignment horizontal="left" vertical="center" wrapText="1"/>
    </xf>
    <xf numFmtId="49" fontId="19" fillId="0" borderId="10" xfId="0" applyNumberFormat="1" applyFont="1" applyBorder="1" applyAlignment="1">
      <alignment horizontal="center" vertical="center" wrapText="1"/>
    </xf>
    <xf numFmtId="2" fontId="17" fillId="0" borderId="10" xfId="0" applyNumberFormat="1" applyFont="1" applyBorder="1" applyAlignment="1">
      <alignment vertical="center" wrapText="1"/>
    </xf>
    <xf numFmtId="3" fontId="19" fillId="33" borderId="10" xfId="0" applyNumberFormat="1" applyFont="1" applyFill="1" applyBorder="1" applyAlignment="1" applyProtection="1">
      <alignment horizontal="center" vertical="center" wrapText="1"/>
      <protection/>
    </xf>
    <xf numFmtId="3" fontId="19" fillId="0" borderId="10" xfId="0" applyNumberFormat="1" applyFont="1" applyFill="1" applyBorder="1" applyAlignment="1" applyProtection="1">
      <alignment horizontal="center" vertical="center" wrapText="1"/>
      <protection/>
    </xf>
    <xf numFmtId="49" fontId="17" fillId="0" borderId="10" xfId="0" applyNumberFormat="1" applyFont="1" applyBorder="1" applyAlignment="1" quotePrefix="1">
      <alignment horizontal="center" vertical="center" wrapText="1"/>
    </xf>
    <xf numFmtId="49" fontId="17" fillId="0" borderId="10" xfId="0" applyNumberFormat="1" applyFont="1" applyBorder="1" applyAlignment="1">
      <alignment horizontal="center" vertical="center" wrapText="1"/>
    </xf>
    <xf numFmtId="2" fontId="17" fillId="33"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0" xfId="0" applyFont="1" applyFill="1" applyBorder="1" applyAlignment="1" quotePrefix="1">
      <alignment horizontal="left" vertical="center" wrapText="1"/>
    </xf>
    <xf numFmtId="0" fontId="12" fillId="35" borderId="0" xfId="0" applyFont="1" applyFill="1" applyAlignment="1">
      <alignment vertical="center" wrapText="1"/>
    </xf>
    <xf numFmtId="2" fontId="12" fillId="33" borderId="10" xfId="0" applyNumberFormat="1" applyFont="1" applyFill="1" applyBorder="1" applyAlignment="1" quotePrefix="1">
      <alignment horizontal="center" vertical="center" wrapText="1"/>
    </xf>
    <xf numFmtId="4" fontId="10" fillId="33" borderId="10" xfId="0" applyNumberFormat="1" applyFont="1" applyFill="1" applyBorder="1" applyAlignment="1">
      <alignment vertical="center" wrapText="1"/>
    </xf>
    <xf numFmtId="4" fontId="12" fillId="33" borderId="10" xfId="0" applyNumberFormat="1" applyFont="1" applyFill="1" applyBorder="1" applyAlignment="1">
      <alignment vertical="center" wrapText="1"/>
    </xf>
    <xf numFmtId="3" fontId="17" fillId="0" borderId="10" xfId="49" applyNumberFormat="1" applyFont="1" applyFill="1" applyBorder="1" applyAlignment="1">
      <alignment horizontal="left" vertical="center" wrapText="1"/>
      <protection/>
    </xf>
    <xf numFmtId="0" fontId="17" fillId="0" borderId="0" xfId="0" applyFont="1" applyFill="1" applyAlignment="1">
      <alignment vertical="center" wrapText="1"/>
    </xf>
    <xf numFmtId="1" fontId="12" fillId="0" borderId="10" xfId="0" applyNumberFormat="1" applyFont="1" applyFill="1" applyBorder="1" applyAlignment="1" quotePrefix="1">
      <alignment horizontal="center" vertical="center" wrapText="1"/>
    </xf>
    <xf numFmtId="49" fontId="21" fillId="0" borderId="10" xfId="0" applyNumberFormat="1" applyFont="1" applyBorder="1" applyAlignment="1" quotePrefix="1">
      <alignment horizontal="center" vertical="center" wrapText="1"/>
    </xf>
    <xf numFmtId="2" fontId="21" fillId="0" borderId="10" xfId="0" applyNumberFormat="1" applyFont="1" applyBorder="1" applyAlignment="1">
      <alignment horizontal="left" vertical="center" wrapText="1"/>
    </xf>
    <xf numFmtId="3" fontId="21" fillId="0" borderId="10" xfId="0" applyNumberFormat="1" applyFont="1" applyFill="1" applyBorder="1" applyAlignment="1" applyProtection="1">
      <alignment horizontal="center" vertical="center" wrapText="1"/>
      <protection/>
    </xf>
    <xf numFmtId="4" fontId="22" fillId="0" borderId="10" xfId="49" applyNumberFormat="1" applyFont="1" applyFill="1" applyBorder="1" applyAlignment="1">
      <alignment horizontal="right" vertical="center" wrapText="1"/>
      <protection/>
    </xf>
    <xf numFmtId="49" fontId="12" fillId="0" borderId="10" xfId="0" applyNumberFormat="1" applyFont="1" applyBorder="1" applyAlignment="1">
      <alignment horizontal="left" vertical="center" wrapText="1"/>
    </xf>
    <xf numFmtId="0" fontId="23" fillId="0" borderId="0" xfId="0" applyFont="1" applyAlignment="1">
      <alignment vertical="center" wrapText="1"/>
    </xf>
    <xf numFmtId="49" fontId="12" fillId="33" borderId="10" xfId="0" applyNumberFormat="1" applyFont="1" applyFill="1" applyBorder="1" applyAlignment="1">
      <alignment horizontal="left" vertical="center" wrapText="1"/>
    </xf>
    <xf numFmtId="0" fontId="13" fillId="33" borderId="0" xfId="0" applyFont="1" applyFill="1" applyAlignment="1">
      <alignment vertical="center" wrapText="1"/>
    </xf>
    <xf numFmtId="4" fontId="10" fillId="0" borderId="10" xfId="0" applyNumberFormat="1" applyFont="1" applyFill="1" applyBorder="1" applyAlignment="1" quotePrefix="1">
      <alignment horizontal="right" vertical="center" wrapText="1"/>
    </xf>
    <xf numFmtId="2" fontId="10" fillId="32"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49" fontId="24" fillId="0" borderId="0" xfId="0" applyNumberFormat="1" applyFont="1" applyAlignment="1">
      <alignment horizontal="center" vertical="center" wrapText="1"/>
    </xf>
    <xf numFmtId="49" fontId="24" fillId="0" borderId="0" xfId="0" applyNumberFormat="1"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14" fillId="0" borderId="0" xfId="0" applyFont="1" applyBorder="1" applyAlignment="1">
      <alignment horizontal="center" vertical="center" wrapText="1"/>
    </xf>
    <xf numFmtId="4" fontId="14" fillId="0" borderId="0" xfId="0" applyNumberFormat="1" applyFont="1" applyBorder="1" applyAlignment="1">
      <alignment horizontal="right" vertical="center" wrapText="1"/>
    </xf>
    <xf numFmtId="0" fontId="14" fillId="33" borderId="0" xfId="0" applyFont="1" applyFill="1" applyBorder="1" applyAlignment="1">
      <alignment horizontal="center" vertical="center" wrapText="1"/>
    </xf>
    <xf numFmtId="204" fontId="14" fillId="33" borderId="0" xfId="0" applyNumberFormat="1" applyFont="1" applyFill="1" applyBorder="1" applyAlignment="1">
      <alignment horizontal="right" vertical="center" wrapText="1"/>
    </xf>
    <xf numFmtId="0" fontId="24" fillId="0" borderId="0" xfId="0" applyFont="1" applyBorder="1" applyAlignment="1">
      <alignment horizontal="center" vertical="center" wrapText="1"/>
    </xf>
    <xf numFmtId="4" fontId="26" fillId="33" borderId="0" xfId="0" applyNumberFormat="1" applyFont="1" applyFill="1" applyBorder="1" applyAlignment="1">
      <alignment horizontal="right" vertical="center" wrapText="1"/>
    </xf>
    <xf numFmtId="4" fontId="24" fillId="33" borderId="0" xfId="0" applyNumberFormat="1" applyFont="1" applyFill="1" applyBorder="1" applyAlignment="1">
      <alignment horizontal="right" vertical="center" wrapText="1"/>
    </xf>
    <xf numFmtId="0" fontId="24" fillId="33" borderId="0" xfId="0" applyFont="1" applyFill="1" applyBorder="1" applyAlignment="1">
      <alignment vertical="center" wrapText="1"/>
    </xf>
    <xf numFmtId="4" fontId="26" fillId="0" borderId="0" xfId="0" applyNumberFormat="1" applyFont="1" applyAlignment="1">
      <alignment horizontal="right" vertical="center" wrapText="1"/>
    </xf>
    <xf numFmtId="4" fontId="24" fillId="0" borderId="0" xfId="0" applyNumberFormat="1" applyFont="1" applyAlignment="1">
      <alignment horizontal="right" vertical="center" wrapText="1"/>
    </xf>
    <xf numFmtId="49" fontId="12" fillId="33" borderId="10" xfId="0" applyNumberFormat="1" applyFont="1" applyFill="1" applyBorder="1" applyAlignment="1" applyProtection="1">
      <alignment horizontal="center" vertical="center" wrapText="1"/>
      <protection/>
    </xf>
    <xf numFmtId="9" fontId="12" fillId="33" borderId="10" xfId="58" applyFont="1" applyFill="1" applyBorder="1" applyAlignment="1">
      <alignment horizontal="center" vertical="center" wrapText="1"/>
    </xf>
    <xf numFmtId="4" fontId="9" fillId="0" borderId="0" xfId="0" applyNumberFormat="1" applyFont="1" applyBorder="1" applyAlignment="1">
      <alignment horizontal="right" vertical="center" wrapText="1"/>
    </xf>
    <xf numFmtId="2" fontId="19" fillId="35" borderId="10" xfId="0" applyNumberFormat="1" applyFont="1" applyFill="1" applyBorder="1" applyAlignment="1">
      <alignment horizontal="center" vertical="center" wrapText="1"/>
    </xf>
    <xf numFmtId="49" fontId="19" fillId="0" borderId="10" xfId="0" applyNumberFormat="1" applyFont="1" applyFill="1" applyBorder="1" applyAlignment="1" quotePrefix="1">
      <alignment horizontal="center" vertical="center" wrapText="1"/>
    </xf>
    <xf numFmtId="2" fontId="27" fillId="0" borderId="10" xfId="0" applyNumberFormat="1" applyFont="1" applyBorder="1" applyAlignment="1">
      <alignment horizontal="left" vertical="center" wrapText="1"/>
    </xf>
    <xf numFmtId="4" fontId="12" fillId="37" borderId="10" xfId="0" applyNumberFormat="1" applyFont="1" applyFill="1" applyBorder="1" applyAlignment="1" applyProtection="1">
      <alignment horizontal="right" vertical="center" wrapText="1"/>
      <protection/>
    </xf>
    <xf numFmtId="4" fontId="12" fillId="37" borderId="10" xfId="0" applyNumberFormat="1" applyFont="1" applyFill="1" applyBorder="1" applyAlignment="1">
      <alignment horizontal="right" vertical="center" wrapText="1"/>
    </xf>
    <xf numFmtId="2" fontId="12" fillId="0" borderId="10" xfId="0" applyNumberFormat="1" applyFont="1" applyBorder="1" applyAlignment="1">
      <alignment vertical="center" wrapText="1"/>
    </xf>
    <xf numFmtId="0" fontId="17" fillId="37" borderId="0" xfId="0" applyFont="1" applyFill="1" applyAlignment="1">
      <alignment vertical="center" wrapText="1"/>
    </xf>
    <xf numFmtId="49" fontId="12" fillId="0" borderId="10" xfId="0" applyNumberFormat="1" applyFont="1" applyFill="1" applyBorder="1" applyAlignment="1">
      <alignment horizontal="left" vertical="center" wrapText="1"/>
    </xf>
    <xf numFmtId="0" fontId="17" fillId="0" borderId="10" xfId="0" applyFont="1" applyBorder="1" applyAlignment="1">
      <alignment wrapText="1"/>
    </xf>
    <xf numFmtId="3" fontId="12"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3" fontId="12" fillId="33" borderId="10" xfId="0" applyNumberFormat="1" applyFont="1" applyFill="1" applyBorder="1" applyAlignment="1" applyProtection="1">
      <alignment vertical="center" wrapText="1"/>
      <protection/>
    </xf>
    <xf numFmtId="4" fontId="10" fillId="0" borderId="10" xfId="0" applyNumberFormat="1" applyFont="1" applyFill="1" applyBorder="1" applyAlignment="1" applyProtection="1">
      <alignment vertical="center" wrapText="1"/>
      <protection/>
    </xf>
    <xf numFmtId="4" fontId="33" fillId="0" borderId="10" xfId="0" applyNumberFormat="1" applyFont="1" applyFill="1" applyBorder="1" applyAlignment="1" applyProtection="1">
      <alignment horizontal="right" vertical="center" wrapText="1"/>
      <protection/>
    </xf>
    <xf numFmtId="4" fontId="31" fillId="0" borderId="10" xfId="0" applyNumberFormat="1" applyFont="1" applyFill="1" applyBorder="1" applyAlignment="1">
      <alignment horizontal="right" vertical="center" wrapText="1"/>
    </xf>
    <xf numFmtId="4" fontId="31" fillId="33" borderId="10" xfId="0" applyNumberFormat="1" applyFont="1" applyFill="1" applyBorder="1" applyAlignment="1" applyProtection="1">
      <alignment horizontal="right" vertical="center" wrapText="1"/>
      <protection/>
    </xf>
    <xf numFmtId="4" fontId="31" fillId="33" borderId="10" xfId="0" applyNumberFormat="1" applyFont="1" applyFill="1" applyBorder="1" applyAlignment="1">
      <alignment horizontal="right" vertical="center" wrapText="1"/>
    </xf>
    <xf numFmtId="2" fontId="31" fillId="0" borderId="10" xfId="0" applyNumberFormat="1" applyFont="1" applyBorder="1" applyAlignment="1">
      <alignment horizontal="left" vertical="center" wrapText="1"/>
    </xf>
    <xf numFmtId="2"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2" fontId="17" fillId="0" borderId="10" xfId="0" applyNumberFormat="1" applyFont="1" applyFill="1" applyBorder="1" applyAlignment="1">
      <alignment vertical="center" wrapText="1"/>
    </xf>
    <xf numFmtId="14" fontId="17" fillId="33" borderId="10" xfId="0" applyNumberFormat="1" applyFont="1" applyFill="1" applyBorder="1" applyAlignment="1">
      <alignment horizontal="center" vertical="center" wrapText="1"/>
    </xf>
    <xf numFmtId="4" fontId="18" fillId="0" borderId="10" xfId="0" applyNumberFormat="1" applyFont="1" applyBorder="1" applyAlignment="1">
      <alignment horizontal="right" vertical="center" wrapText="1"/>
    </xf>
    <xf numFmtId="0" fontId="17" fillId="33" borderId="10" xfId="0" applyFont="1" applyFill="1" applyBorder="1" applyAlignment="1" quotePrefix="1">
      <alignment horizontal="center" vertical="center" wrapText="1"/>
    </xf>
    <xf numFmtId="0" fontId="12" fillId="33" borderId="10" xfId="0" applyFont="1" applyFill="1" applyBorder="1" applyAlignment="1" quotePrefix="1">
      <alignment horizontal="center" vertical="center" wrapText="1"/>
    </xf>
    <xf numFmtId="49" fontId="34" fillId="0" borderId="10" xfId="0" applyNumberFormat="1" applyFont="1" applyFill="1" applyBorder="1" applyAlignment="1">
      <alignment horizontal="center" vertical="center" wrapText="1"/>
    </xf>
    <xf numFmtId="4" fontId="18" fillId="33" borderId="10"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2" fontId="17" fillId="0" borderId="10" xfId="0" applyNumberFormat="1" applyFont="1" applyBorder="1" applyAlignment="1">
      <alignment horizontal="center" vertical="center" wrapText="1"/>
    </xf>
    <xf numFmtId="2" fontId="35" fillId="0" borderId="10" xfId="0" applyNumberFormat="1" applyFont="1" applyFill="1" applyBorder="1" applyAlignment="1">
      <alignment vertical="center" wrapText="1"/>
    </xf>
    <xf numFmtId="4" fontId="23" fillId="33" borderId="10" xfId="0" applyNumberFormat="1" applyFont="1" applyFill="1" applyBorder="1" applyAlignment="1">
      <alignment horizontal="right" vertical="center" wrapText="1"/>
    </xf>
    <xf numFmtId="4" fontId="13" fillId="33" borderId="10" xfId="0" applyNumberFormat="1" applyFont="1" applyFill="1" applyBorder="1" applyAlignment="1">
      <alignment horizontal="right" vertical="center" wrapText="1"/>
    </xf>
    <xf numFmtId="4" fontId="18" fillId="0" borderId="10" xfId="0" applyNumberFormat="1" applyFont="1" applyFill="1" applyBorder="1" applyAlignment="1">
      <alignment vertical="center" wrapText="1"/>
    </xf>
    <xf numFmtId="0" fontId="31" fillId="0" borderId="0" xfId="0" applyFont="1" applyFill="1" applyAlignment="1">
      <alignment vertical="center" wrapText="1"/>
    </xf>
    <xf numFmtId="3" fontId="12" fillId="38" borderId="10" xfId="0" applyNumberFormat="1" applyFont="1" applyFill="1" applyBorder="1" applyAlignment="1" applyProtection="1">
      <alignment horizontal="center" vertical="center" wrapText="1"/>
      <protection/>
    </xf>
    <xf numFmtId="0" fontId="19" fillId="0" borderId="0" xfId="0" applyFont="1" applyAlignment="1">
      <alignment horizontal="center" vertical="center" wrapText="1"/>
    </xf>
    <xf numFmtId="4" fontId="19" fillId="0" borderId="0" xfId="0" applyNumberFormat="1" applyFont="1" applyAlignment="1">
      <alignment horizontal="right" vertical="center" wrapText="1"/>
    </xf>
    <xf numFmtId="49" fontId="19" fillId="0" borderId="0" xfId="0" applyNumberFormat="1" applyFont="1" applyAlignment="1">
      <alignment horizontal="center" vertical="center" wrapText="1"/>
    </xf>
    <xf numFmtId="49" fontId="19" fillId="0" borderId="0" xfId="0" applyNumberFormat="1" applyFont="1" applyAlignment="1">
      <alignment vertical="center" wrapText="1"/>
    </xf>
    <xf numFmtId="0" fontId="19" fillId="0" borderId="0" xfId="0" applyFont="1" applyAlignment="1">
      <alignment horizontal="left" vertical="center" wrapText="1"/>
    </xf>
    <xf numFmtId="4" fontId="36" fillId="0" borderId="0" xfId="0" applyNumberFormat="1" applyFont="1" applyAlignment="1">
      <alignment horizontal="right" vertical="center" wrapText="1"/>
    </xf>
    <xf numFmtId="0" fontId="34" fillId="0" borderId="0" xfId="0" applyFont="1" applyAlignment="1">
      <alignment vertical="center" wrapText="1"/>
    </xf>
    <xf numFmtId="204" fontId="34" fillId="0" borderId="0" xfId="0" applyNumberFormat="1" applyFont="1" applyAlignment="1">
      <alignment horizontal="center" vertical="center" wrapText="1"/>
    </xf>
    <xf numFmtId="4" fontId="9" fillId="0" borderId="0" xfId="0" applyNumberFormat="1" applyFont="1" applyAlignment="1">
      <alignment horizontal="left" vertical="center" wrapText="1"/>
    </xf>
    <xf numFmtId="0" fontId="35" fillId="0" borderId="0" xfId="0" applyFont="1" applyAlignment="1">
      <alignment horizontal="center" vertical="center" wrapText="1"/>
    </xf>
    <xf numFmtId="204" fontId="35" fillId="0" borderId="0" xfId="0" applyNumberFormat="1" applyFont="1" applyAlignment="1">
      <alignment horizontal="center" vertical="center" wrapText="1"/>
    </xf>
    <xf numFmtId="4" fontId="35" fillId="0" borderId="0" xfId="0" applyNumberFormat="1" applyFont="1" applyAlignment="1">
      <alignment horizontal="center" vertical="center" wrapText="1"/>
    </xf>
    <xf numFmtId="0" fontId="37" fillId="0" borderId="0" xfId="0" applyFont="1" applyBorder="1" applyAlignment="1">
      <alignment horizontal="center" wrapText="1"/>
    </xf>
    <xf numFmtId="204" fontId="37" fillId="0" borderId="0" xfId="0" applyNumberFormat="1" applyFont="1" applyBorder="1" applyAlignment="1">
      <alignment horizontal="center" wrapText="1"/>
    </xf>
    <xf numFmtId="4" fontId="35" fillId="33" borderId="10" xfId="0" applyNumberFormat="1" applyFont="1" applyFill="1" applyBorder="1" applyAlignment="1">
      <alignment horizontal="left" vertical="center" wrapText="1"/>
    </xf>
    <xf numFmtId="49" fontId="31" fillId="0" borderId="10" xfId="0" applyNumberFormat="1" applyFont="1" applyFill="1" applyBorder="1" applyAlignment="1" quotePrefix="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quotePrefix="1">
      <alignment horizontal="center" vertical="center" wrapText="1"/>
    </xf>
    <xf numFmtId="4" fontId="13" fillId="0" borderId="0" xfId="0" applyNumberFormat="1" applyFont="1" applyFill="1" applyBorder="1" applyAlignment="1">
      <alignment vertical="center" wrapText="1"/>
    </xf>
    <xf numFmtId="0" fontId="23" fillId="0" borderId="0" xfId="0" applyFont="1" applyFill="1" applyBorder="1" applyAlignment="1">
      <alignment vertical="center" wrapText="1"/>
    </xf>
    <xf numFmtId="0" fontId="23" fillId="0" borderId="0" xfId="0" applyFont="1" applyBorder="1" applyAlignment="1">
      <alignment vertical="center" wrapText="1"/>
    </xf>
    <xf numFmtId="4" fontId="13" fillId="0" borderId="0" xfId="0" applyNumberFormat="1" applyFont="1" applyBorder="1" applyAlignment="1">
      <alignment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3"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43" fillId="0" borderId="0" xfId="0" applyFont="1" applyAlignment="1">
      <alignment vertical="center" wrapText="1"/>
    </xf>
    <xf numFmtId="204" fontId="43" fillId="0" borderId="0" xfId="0" applyNumberFormat="1" applyFont="1" applyAlignment="1">
      <alignment horizontal="center" vertical="center" wrapText="1"/>
    </xf>
    <xf numFmtId="0" fontId="44" fillId="33" borderId="0" xfId="0" applyFont="1" applyFill="1" applyBorder="1" applyAlignment="1">
      <alignment horizontal="center" vertical="center" wrapText="1"/>
    </xf>
    <xf numFmtId="4" fontId="45" fillId="0" borderId="0" xfId="0" applyNumberFormat="1" applyFont="1" applyAlignment="1">
      <alignment horizontal="right" vertical="center" wrapText="1"/>
    </xf>
    <xf numFmtId="0" fontId="15"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16" fillId="0" borderId="0" xfId="0" applyFont="1" applyBorder="1" applyAlignment="1">
      <alignment horizontal="center" vertical="center" wrapText="1"/>
    </xf>
    <xf numFmtId="204" fontId="13" fillId="0" borderId="0" xfId="0" applyNumberFormat="1" applyFont="1" applyBorder="1" applyAlignment="1">
      <alignment horizontal="center" vertical="center" wrapText="1"/>
    </xf>
    <xf numFmtId="4" fontId="13" fillId="0" borderId="0" xfId="0" applyNumberFormat="1" applyFont="1" applyBorder="1" applyAlignment="1">
      <alignment horizontal="center" vertical="center" wrapText="1"/>
    </xf>
    <xf numFmtId="4" fontId="13" fillId="34" borderId="0" xfId="0" applyNumberFormat="1" applyFont="1" applyFill="1" applyBorder="1" applyAlignment="1">
      <alignment vertical="center" wrapText="1"/>
    </xf>
    <xf numFmtId="0" fontId="13" fillId="34" borderId="0" xfId="0" applyFont="1" applyFill="1" applyBorder="1" applyAlignment="1">
      <alignment vertical="center" wrapText="1"/>
    </xf>
    <xf numFmtId="204" fontId="13" fillId="34" borderId="0" xfId="0" applyNumberFormat="1" applyFont="1" applyFill="1" applyBorder="1" applyAlignment="1">
      <alignment horizontal="center" vertical="center" wrapText="1"/>
    </xf>
    <xf numFmtId="0" fontId="12" fillId="34" borderId="0" xfId="0" applyFont="1" applyFill="1" applyBorder="1" applyAlignment="1">
      <alignment vertical="center" wrapText="1"/>
    </xf>
    <xf numFmtId="0" fontId="13" fillId="33" borderId="0" xfId="0" applyFont="1" applyFill="1" applyBorder="1" applyAlignment="1">
      <alignment vertical="center" wrapText="1"/>
    </xf>
    <xf numFmtId="4" fontId="13" fillId="33" borderId="0" xfId="0" applyNumberFormat="1" applyFont="1" applyFill="1" applyBorder="1" applyAlignment="1">
      <alignment vertical="center" wrapText="1"/>
    </xf>
    <xf numFmtId="204" fontId="13" fillId="33" borderId="0" xfId="0" applyNumberFormat="1" applyFont="1" applyFill="1" applyBorder="1" applyAlignment="1">
      <alignment horizontal="center" vertical="center" wrapText="1"/>
    </xf>
    <xf numFmtId="0" fontId="12" fillId="33" borderId="0" xfId="0" applyFont="1" applyFill="1" applyBorder="1" applyAlignment="1">
      <alignment vertical="center" wrapText="1"/>
    </xf>
    <xf numFmtId="4" fontId="13" fillId="36" borderId="0" xfId="0" applyNumberFormat="1" applyFont="1" applyFill="1" applyBorder="1" applyAlignment="1">
      <alignment horizontal="right" vertical="center" wrapText="1"/>
    </xf>
    <xf numFmtId="3" fontId="13" fillId="0" borderId="0" xfId="0" applyNumberFormat="1" applyFont="1" applyBorder="1" applyAlignment="1">
      <alignment vertical="center" wrapText="1"/>
    </xf>
    <xf numFmtId="4" fontId="17" fillId="0" borderId="0" xfId="0" applyNumberFormat="1" applyFont="1" applyBorder="1" applyAlignment="1">
      <alignment vertical="center" wrapText="1"/>
    </xf>
    <xf numFmtId="0" fontId="17" fillId="0" borderId="0" xfId="0" applyFont="1" applyBorder="1" applyAlignment="1">
      <alignment vertical="center" wrapText="1"/>
    </xf>
    <xf numFmtId="204" fontId="17" fillId="0" borderId="0" xfId="0" applyNumberFormat="1" applyFont="1" applyBorder="1" applyAlignment="1">
      <alignment horizontal="center" vertical="center" wrapText="1"/>
    </xf>
    <xf numFmtId="0" fontId="19" fillId="0" borderId="0" xfId="0" applyFont="1" applyBorder="1" applyAlignment="1">
      <alignment vertical="center" wrapText="1"/>
    </xf>
    <xf numFmtId="4"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204" fontId="13"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204" fontId="17" fillId="0" borderId="0" xfId="0" applyNumberFormat="1" applyFont="1" applyFill="1" applyBorder="1" applyAlignment="1">
      <alignment horizontal="center" vertical="center" wrapText="1"/>
    </xf>
    <xf numFmtId="3" fontId="17" fillId="0" borderId="0" xfId="0" applyNumberFormat="1" applyFont="1" applyBorder="1" applyAlignment="1">
      <alignment vertical="center" wrapText="1"/>
    </xf>
    <xf numFmtId="0" fontId="1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4" fontId="39" fillId="0" borderId="0" xfId="0" applyNumberFormat="1" applyFont="1" applyFill="1" applyBorder="1" applyAlignment="1">
      <alignment vertical="center" wrapText="1"/>
    </xf>
    <xf numFmtId="4" fontId="13" fillId="0" borderId="0" xfId="0" applyNumberFormat="1" applyFont="1" applyBorder="1" applyAlignment="1">
      <alignment horizontal="right" vertical="center" wrapText="1"/>
    </xf>
    <xf numFmtId="4" fontId="13" fillId="0" borderId="0" xfId="0" applyNumberFormat="1" applyFont="1" applyFill="1" applyBorder="1" applyAlignment="1">
      <alignment horizontal="center" vertical="center" wrapText="1"/>
    </xf>
    <xf numFmtId="4" fontId="23" fillId="0" borderId="0" xfId="0" applyNumberFormat="1" applyFont="1" applyBorder="1" applyAlignment="1">
      <alignment vertical="center" wrapText="1"/>
    </xf>
    <xf numFmtId="1" fontId="13" fillId="33" borderId="0" xfId="0" applyNumberFormat="1" applyFont="1" applyFill="1" applyBorder="1" applyAlignment="1">
      <alignment horizontal="right" vertical="center" wrapText="1"/>
    </xf>
    <xf numFmtId="1" fontId="13" fillId="0" borderId="0" xfId="0" applyNumberFormat="1" applyFont="1" applyFill="1" applyBorder="1" applyAlignment="1">
      <alignment horizontal="right" vertical="center" wrapText="1"/>
    </xf>
    <xf numFmtId="1" fontId="17" fillId="0" borderId="0" xfId="0" applyNumberFormat="1" applyFont="1" applyFill="1" applyBorder="1" applyAlignment="1">
      <alignment horizontal="right" vertical="center" wrapText="1"/>
    </xf>
    <xf numFmtId="4" fontId="17" fillId="33" borderId="0" xfId="0" applyNumberFormat="1" applyFont="1" applyFill="1" applyBorder="1" applyAlignment="1">
      <alignment vertical="center" wrapText="1"/>
    </xf>
    <xf numFmtId="0" fontId="13" fillId="33" borderId="0" xfId="0" applyFont="1" applyFill="1" applyBorder="1" applyAlignment="1">
      <alignment horizontal="right" vertical="center" wrapText="1"/>
    </xf>
    <xf numFmtId="4" fontId="31" fillId="0" borderId="0" xfId="0" applyNumberFormat="1" applyFont="1" applyFill="1" applyBorder="1" applyAlignment="1">
      <alignment vertical="center" wrapText="1"/>
    </xf>
    <xf numFmtId="0" fontId="31" fillId="0" borderId="0" xfId="0" applyFont="1" applyFill="1" applyBorder="1" applyAlignment="1">
      <alignment vertical="center" wrapText="1"/>
    </xf>
    <xf numFmtId="204" fontId="31" fillId="0" borderId="0" xfId="0" applyNumberFormat="1" applyFont="1" applyFill="1" applyBorder="1" applyAlignment="1">
      <alignment horizontal="center" vertical="center" wrapText="1"/>
    </xf>
    <xf numFmtId="0" fontId="17" fillId="35" borderId="0" xfId="0" applyFont="1" applyFill="1" applyBorder="1" applyAlignment="1">
      <alignment vertical="center" wrapText="1"/>
    </xf>
    <xf numFmtId="204" fontId="17" fillId="35" borderId="0" xfId="0" applyNumberFormat="1" applyFont="1" applyFill="1" applyBorder="1" applyAlignment="1">
      <alignment horizontal="center" vertical="center" wrapText="1"/>
    </xf>
    <xf numFmtId="204" fontId="13" fillId="35" borderId="0" xfId="0" applyNumberFormat="1" applyFont="1" applyFill="1" applyBorder="1" applyAlignment="1">
      <alignment horizontal="center" vertical="center" wrapText="1"/>
    </xf>
    <xf numFmtId="0" fontId="40" fillId="0" borderId="0" xfId="0" applyFont="1" applyBorder="1" applyAlignment="1">
      <alignment vertical="center" wrapText="1"/>
    </xf>
    <xf numFmtId="4" fontId="14" fillId="32" borderId="0" xfId="0" applyNumberFormat="1" applyFont="1" applyFill="1" applyBorder="1" applyAlignment="1">
      <alignment vertical="center" wrapText="1"/>
    </xf>
    <xf numFmtId="4" fontId="14" fillId="0" borderId="0" xfId="0" applyNumberFormat="1" applyFont="1" applyBorder="1" applyAlignment="1">
      <alignment vertical="center" wrapText="1"/>
    </xf>
    <xf numFmtId="0" fontId="17" fillId="37" borderId="0" xfId="0" applyFont="1" applyFill="1" applyBorder="1" applyAlignment="1">
      <alignment vertical="center" wrapText="1"/>
    </xf>
    <xf numFmtId="204" fontId="13" fillId="37" borderId="0" xfId="0" applyNumberFormat="1" applyFont="1" applyFill="1" applyBorder="1" applyAlignment="1">
      <alignment horizontal="center" vertical="center" wrapText="1"/>
    </xf>
    <xf numFmtId="0" fontId="41" fillId="0" borderId="0" xfId="0" applyFont="1" applyBorder="1" applyAlignment="1">
      <alignment/>
    </xf>
    <xf numFmtId="0" fontId="13" fillId="0" borderId="0" xfId="0" applyFont="1" applyBorder="1" applyAlignment="1">
      <alignment horizontal="right" vertical="center" wrapText="1"/>
    </xf>
    <xf numFmtId="4" fontId="12" fillId="0" borderId="0" xfId="0" applyNumberFormat="1" applyFont="1" applyBorder="1" applyAlignment="1">
      <alignment vertical="center" wrapText="1"/>
    </xf>
    <xf numFmtId="4" fontId="17" fillId="37" borderId="0" xfId="0" applyNumberFormat="1" applyFont="1" applyFill="1" applyBorder="1" applyAlignment="1">
      <alignment vertical="center" wrapText="1"/>
    </xf>
    <xf numFmtId="4" fontId="13" fillId="35" borderId="0" xfId="0" applyNumberFormat="1" applyFont="1" applyFill="1" applyBorder="1" applyAlignment="1">
      <alignment vertical="center" wrapText="1"/>
    </xf>
    <xf numFmtId="0" fontId="13" fillId="35" borderId="0" xfId="0" applyFont="1" applyFill="1" applyBorder="1" applyAlignment="1">
      <alignment vertical="center" wrapText="1"/>
    </xf>
    <xf numFmtId="0" fontId="12" fillId="35" borderId="0" xfId="0" applyFont="1" applyFill="1" applyBorder="1" applyAlignment="1">
      <alignment vertical="center" wrapText="1"/>
    </xf>
    <xf numFmtId="0" fontId="13" fillId="33" borderId="0" xfId="0" applyFont="1" applyFill="1" applyBorder="1" applyAlignment="1">
      <alignment horizontal="center" vertical="center" wrapText="1"/>
    </xf>
    <xf numFmtId="0" fontId="23" fillId="33" borderId="0" xfId="0" applyFont="1" applyFill="1" applyBorder="1" applyAlignment="1">
      <alignment vertical="center" wrapText="1"/>
    </xf>
    <xf numFmtId="4" fontId="13" fillId="33" borderId="0" xfId="0" applyNumberFormat="1" applyFont="1" applyFill="1" applyBorder="1" applyAlignment="1">
      <alignment horizontal="center" vertical="center" wrapText="1"/>
    </xf>
    <xf numFmtId="204" fontId="23" fillId="0" borderId="0" xfId="0" applyNumberFormat="1" applyFont="1" applyBorder="1" applyAlignment="1">
      <alignment horizontal="center" vertical="center" wrapText="1"/>
    </xf>
    <xf numFmtId="4" fontId="14" fillId="0" borderId="0" xfId="0" applyNumberFormat="1" applyFont="1" applyBorder="1" applyAlignment="1">
      <alignment horizontal="center" vertical="center" wrapText="1"/>
    </xf>
    <xf numFmtId="0" fontId="3" fillId="0" borderId="0" xfId="0" applyFont="1" applyBorder="1" applyAlignment="1">
      <alignment vertical="center" wrapText="1"/>
    </xf>
    <xf numFmtId="4" fontId="42" fillId="0" borderId="0" xfId="0" applyNumberFormat="1" applyFont="1" applyFill="1" applyBorder="1" applyAlignment="1">
      <alignment vertical="center" wrapText="1"/>
    </xf>
    <xf numFmtId="0" fontId="42" fillId="0" borderId="0" xfId="0" applyFont="1" applyFill="1" applyBorder="1" applyAlignment="1">
      <alignment vertical="center" wrapText="1"/>
    </xf>
    <xf numFmtId="204" fontId="42"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34" fillId="0" borderId="0" xfId="0" applyFont="1" applyBorder="1" applyAlignment="1">
      <alignment vertical="center" wrapText="1"/>
    </xf>
    <xf numFmtId="204" fontId="34" fillId="0" borderId="0" xfId="0" applyNumberFormat="1" applyFont="1" applyBorder="1" applyAlignment="1">
      <alignment horizontal="center" vertical="center" wrapText="1"/>
    </xf>
    <xf numFmtId="0" fontId="43" fillId="0" borderId="0" xfId="0" applyFont="1" applyBorder="1" applyAlignment="1">
      <alignment vertical="center" wrapText="1"/>
    </xf>
    <xf numFmtId="204" fontId="43" fillId="0" borderId="0" xfId="0" applyNumberFormat="1" applyFont="1" applyBorder="1" applyAlignment="1">
      <alignment horizontal="center" vertical="center" wrapText="1"/>
    </xf>
    <xf numFmtId="0" fontId="24" fillId="0" borderId="0" xfId="0" applyFont="1" applyBorder="1" applyAlignment="1">
      <alignment vertical="center" wrapText="1"/>
    </xf>
    <xf numFmtId="4" fontId="43" fillId="0" borderId="0" xfId="0" applyNumberFormat="1" applyFont="1" applyBorder="1" applyAlignment="1">
      <alignment horizontal="center" vertical="center" wrapText="1"/>
    </xf>
    <xf numFmtId="0" fontId="33" fillId="0" borderId="0" xfId="0" applyFont="1" applyBorder="1" applyAlignment="1">
      <alignment vertical="center" wrapText="1"/>
    </xf>
    <xf numFmtId="204" fontId="33" fillId="0" borderId="0" xfId="0" applyNumberFormat="1" applyFont="1" applyBorder="1" applyAlignment="1">
      <alignment horizontal="center" vertical="center" wrapText="1"/>
    </xf>
    <xf numFmtId="0" fontId="22" fillId="0" borderId="0" xfId="0" applyFont="1" applyBorder="1" applyAlignment="1">
      <alignment vertical="center" wrapText="1"/>
    </xf>
    <xf numFmtId="0" fontId="43" fillId="0" borderId="0" xfId="0" applyFont="1" applyBorder="1" applyAlignment="1">
      <alignment horizontal="center" vertical="center" wrapText="1"/>
    </xf>
    <xf numFmtId="0" fontId="43" fillId="33" borderId="0" xfId="0" applyFont="1" applyFill="1" applyBorder="1" applyAlignment="1">
      <alignment vertical="center" wrapText="1"/>
    </xf>
    <xf numFmtId="4" fontId="43" fillId="33" borderId="0" xfId="0" applyNumberFormat="1" applyFont="1" applyFill="1" applyBorder="1" applyAlignment="1">
      <alignment vertical="center" wrapText="1"/>
    </xf>
    <xf numFmtId="4" fontId="43" fillId="0" borderId="0" xfId="0" applyNumberFormat="1" applyFont="1" applyBorder="1" applyAlignment="1">
      <alignment vertical="center" wrapText="1"/>
    </xf>
    <xf numFmtId="0" fontId="17" fillId="0" borderId="0" xfId="0" applyFont="1" applyBorder="1" applyAlignment="1">
      <alignment wrapText="1"/>
    </xf>
    <xf numFmtId="0" fontId="12" fillId="33" borderId="0" xfId="0" applyFont="1" applyFill="1" applyBorder="1" applyAlignment="1">
      <alignment horizontal="left" vertical="center" wrapText="1"/>
    </xf>
    <xf numFmtId="0" fontId="17" fillId="0" borderId="10" xfId="0" applyFont="1" applyFill="1" applyBorder="1" applyAlignment="1">
      <alignment vertical="center" wrapText="1"/>
    </xf>
    <xf numFmtId="3" fontId="17" fillId="0" borderId="10" xfId="49" applyNumberFormat="1" applyFont="1" applyFill="1" applyBorder="1" applyAlignment="1">
      <alignment horizontal="center" vertical="center" wrapText="1"/>
      <protection/>
    </xf>
    <xf numFmtId="4" fontId="17" fillId="0" borderId="10" xfId="0" applyNumberFormat="1" applyFont="1" applyFill="1" applyBorder="1" applyAlignment="1">
      <alignment vertical="center" wrapText="1"/>
    </xf>
    <xf numFmtId="9" fontId="12" fillId="0" borderId="10" xfId="58" applyFont="1" applyFill="1" applyBorder="1" applyAlignment="1">
      <alignment horizontal="center" vertical="center" wrapText="1"/>
    </xf>
    <xf numFmtId="4" fontId="13" fillId="0" borderId="0" xfId="0" applyNumberFormat="1" applyFont="1" applyFill="1" applyBorder="1" applyAlignment="1">
      <alignment horizontal="right" vertical="center" wrapText="1"/>
    </xf>
    <xf numFmtId="0" fontId="12" fillId="0" borderId="10" xfId="0" applyFont="1" applyFill="1" applyBorder="1" applyAlignment="1" quotePrefix="1">
      <alignment horizontal="left" vertical="center" wrapText="1"/>
    </xf>
    <xf numFmtId="49" fontId="24" fillId="0" borderId="0" xfId="0" applyNumberFormat="1" applyFont="1" applyBorder="1" applyAlignment="1">
      <alignment horizontal="center" vertical="center" wrapText="1"/>
    </xf>
    <xf numFmtId="49" fontId="24" fillId="0" borderId="0" xfId="0" applyNumberFormat="1" applyFont="1" applyBorder="1" applyAlignment="1">
      <alignment vertical="center" wrapText="1"/>
    </xf>
    <xf numFmtId="0" fontId="24" fillId="0" borderId="0" xfId="0" applyFont="1" applyBorder="1" applyAlignment="1">
      <alignment horizontal="left" vertical="center" wrapText="1"/>
    </xf>
    <xf numFmtId="4" fontId="25" fillId="0" borderId="0"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49" fontId="22" fillId="0" borderId="0" xfId="0" applyNumberFormat="1"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4" fontId="17" fillId="0" borderId="0" xfId="0" applyNumberFormat="1" applyFont="1" applyBorder="1" applyAlignment="1">
      <alignment horizontal="right" vertical="center" wrapText="1"/>
    </xf>
    <xf numFmtId="4" fontId="24" fillId="0" borderId="0" xfId="0" applyNumberFormat="1" applyFont="1" applyBorder="1" applyAlignment="1">
      <alignment vertical="center" wrapText="1"/>
    </xf>
    <xf numFmtId="4" fontId="26" fillId="0" borderId="0" xfId="0" applyNumberFormat="1" applyFont="1" applyBorder="1" applyAlignment="1">
      <alignment horizontal="right" vertical="center" wrapText="1"/>
    </xf>
    <xf numFmtId="4" fontId="24" fillId="0" borderId="0" xfId="0" applyNumberFormat="1" applyFont="1" applyBorder="1" applyAlignment="1">
      <alignment horizontal="right" vertical="center" wrapText="1"/>
    </xf>
    <xf numFmtId="0" fontId="19" fillId="33" borderId="0" xfId="0" applyFont="1" applyFill="1" applyBorder="1" applyAlignment="1">
      <alignment horizontal="center" vertical="center" wrapText="1"/>
    </xf>
    <xf numFmtId="4" fontId="22" fillId="33" borderId="0" xfId="0" applyNumberFormat="1" applyFont="1" applyFill="1" applyBorder="1" applyAlignment="1">
      <alignment horizontal="right" vertical="center" wrapText="1"/>
    </xf>
    <xf numFmtId="4" fontId="19" fillId="33" borderId="0" xfId="0" applyNumberFormat="1" applyFont="1" applyFill="1" applyBorder="1" applyAlignment="1">
      <alignment horizontal="right" vertical="center" wrapText="1"/>
    </xf>
    <xf numFmtId="0" fontId="24" fillId="33" borderId="0" xfId="0" applyFont="1" applyFill="1" applyBorder="1" applyAlignment="1">
      <alignment horizontal="center" vertical="center" wrapText="1"/>
    </xf>
    <xf numFmtId="4" fontId="24" fillId="0" borderId="0" xfId="0" applyNumberFormat="1" applyFont="1" applyBorder="1" applyAlignment="1">
      <alignment horizontal="center" vertical="center" wrapText="1"/>
    </xf>
    <xf numFmtId="4" fontId="44" fillId="0" borderId="0" xfId="0" applyNumberFormat="1" applyFont="1" applyBorder="1" applyAlignment="1">
      <alignment horizontal="right" vertical="center" wrapText="1"/>
    </xf>
    <xf numFmtId="3" fontId="12" fillId="38" borderId="12" xfId="0" applyNumberFormat="1" applyFont="1" applyFill="1" applyBorder="1" applyAlignment="1" applyProtection="1">
      <alignment vertical="center" wrapText="1"/>
      <protection/>
    </xf>
    <xf numFmtId="3" fontId="12" fillId="38" borderId="13" xfId="0" applyNumberFormat="1" applyFont="1" applyFill="1" applyBorder="1" applyAlignment="1" applyProtection="1">
      <alignment vertical="center" wrapText="1"/>
      <protection/>
    </xf>
    <xf numFmtId="0" fontId="12" fillId="33" borderId="12" xfId="0" applyFont="1" applyFill="1" applyBorder="1" applyAlignment="1">
      <alignment vertical="center" wrapText="1"/>
    </xf>
    <xf numFmtId="0" fontId="12" fillId="33" borderId="13" xfId="0" applyFont="1" applyFill="1" applyBorder="1" applyAlignment="1">
      <alignment vertical="center" wrapText="1"/>
    </xf>
    <xf numFmtId="49" fontId="12" fillId="0" borderId="14"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Border="1" applyAlignment="1">
      <alignment horizontal="center" vertical="center" wrapText="1"/>
    </xf>
    <xf numFmtId="49" fontId="12" fillId="0" borderId="10" xfId="0" applyNumberFormat="1" applyFont="1" applyFill="1" applyBorder="1" applyAlignment="1">
      <alignment horizontal="center" vertical="center" wrapText="1"/>
    </xf>
    <xf numFmtId="2" fontId="10" fillId="32" borderId="15" xfId="0" applyNumberFormat="1" applyFont="1" applyFill="1" applyBorder="1" applyAlignment="1" quotePrefix="1">
      <alignment horizontal="left" vertical="center" wrapText="1"/>
    </xf>
    <xf numFmtId="2" fontId="10" fillId="32" borderId="16" xfId="0" applyNumberFormat="1" applyFont="1" applyFill="1" applyBorder="1" applyAlignment="1" quotePrefix="1">
      <alignment horizontal="left" vertical="center" wrapText="1"/>
    </xf>
    <xf numFmtId="2" fontId="12" fillId="33" borderId="14" xfId="0" applyNumberFormat="1" applyFont="1" applyFill="1" applyBorder="1" applyAlignment="1">
      <alignment horizontal="center" vertical="center" wrapText="1"/>
    </xf>
    <xf numFmtId="2" fontId="12" fillId="33" borderId="13" xfId="0" applyNumberFormat="1"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4" fontId="19" fillId="0" borderId="0" xfId="0" applyNumberFormat="1" applyFont="1" applyAlignment="1">
      <alignment horizontal="right" vertical="center" wrapText="1"/>
    </xf>
    <xf numFmtId="2" fontId="12" fillId="4" borderId="15" xfId="0" applyNumberFormat="1" applyFont="1" applyFill="1" applyBorder="1" applyAlignment="1" quotePrefix="1">
      <alignment horizontal="left" vertical="center" wrapText="1"/>
    </xf>
    <xf numFmtId="2" fontId="12" fillId="4" borderId="16" xfId="0" applyNumberFormat="1" applyFont="1" applyFill="1" applyBorder="1" applyAlignment="1" quotePrefix="1">
      <alignment horizontal="left" vertical="center" wrapText="1"/>
    </xf>
    <xf numFmtId="2" fontId="10" fillId="32" borderId="15" xfId="0" applyNumberFormat="1" applyFont="1" applyFill="1" applyBorder="1" applyAlignment="1">
      <alignment horizontal="left" vertical="center" wrapText="1"/>
    </xf>
    <xf numFmtId="2" fontId="10" fillId="32" borderId="16" xfId="0" applyNumberFormat="1" applyFont="1" applyFill="1" applyBorder="1" applyAlignment="1">
      <alignment horizontal="left" vertical="center" wrapText="1"/>
    </xf>
    <xf numFmtId="4" fontId="25" fillId="0" borderId="0" xfId="0" applyNumberFormat="1" applyFont="1" applyBorder="1" applyAlignment="1">
      <alignment horizontal="center" vertical="center" wrapText="1"/>
    </xf>
    <xf numFmtId="0" fontId="19" fillId="0" borderId="0" xfId="0" applyFont="1" applyAlignment="1">
      <alignment horizontal="center" vertical="center" wrapText="1"/>
    </xf>
    <xf numFmtId="2" fontId="12" fillId="0" borderId="10" xfId="0" applyNumberFormat="1" applyFont="1" applyFill="1" applyBorder="1" applyAlignment="1">
      <alignment horizontal="center" vertical="center" wrapText="1"/>
    </xf>
    <xf numFmtId="3" fontId="12" fillId="0" borderId="14" xfId="0" applyNumberFormat="1" applyFont="1" applyFill="1" applyBorder="1" applyAlignment="1" applyProtection="1">
      <alignment horizontal="center" vertical="center" wrapText="1"/>
      <protection/>
    </xf>
    <xf numFmtId="3" fontId="12" fillId="0" borderId="13" xfId="0" applyNumberFormat="1" applyFont="1" applyFill="1" applyBorder="1" applyAlignment="1" applyProtection="1">
      <alignment horizontal="center" vertical="center" wrapText="1"/>
      <protection/>
    </xf>
    <xf numFmtId="2" fontId="12" fillId="4" borderId="15" xfId="0" applyNumberFormat="1" applyFont="1" applyFill="1" applyBorder="1" applyAlignment="1">
      <alignment horizontal="left" vertical="center" wrapText="1"/>
    </xf>
    <xf numFmtId="2" fontId="12" fillId="4" borderId="16" xfId="0" applyNumberFormat="1" applyFont="1" applyFill="1" applyBorder="1" applyAlignment="1">
      <alignment horizontal="left" vertical="center" wrapText="1"/>
    </xf>
    <xf numFmtId="49" fontId="12" fillId="0" borderId="14"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44" fillId="0" borderId="0" xfId="0" applyFont="1" applyAlignment="1">
      <alignment horizontal="center" vertical="center" wrapText="1"/>
    </xf>
    <xf numFmtId="4" fontId="8" fillId="0" borderId="0" xfId="0" applyNumberFormat="1" applyFont="1" applyFill="1" applyAlignment="1" applyProtection="1">
      <alignment horizontal="right" vertical="center" wrapText="1"/>
      <protection/>
    </xf>
    <xf numFmtId="4" fontId="11" fillId="0" borderId="0" xfId="0" applyNumberFormat="1" applyFont="1" applyAlignment="1">
      <alignment horizontal="right" vertical="center" wrapText="1"/>
    </xf>
    <xf numFmtId="3" fontId="12" fillId="0"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left" vertical="center" wrapText="1"/>
      <protection/>
    </xf>
    <xf numFmtId="3" fontId="12" fillId="38" borderId="10" xfId="0" applyNumberFormat="1" applyFont="1" applyFill="1" applyBorder="1" applyAlignment="1" applyProtection="1">
      <alignment horizontal="center" vertical="center" wrapText="1"/>
      <protection/>
    </xf>
    <xf numFmtId="0" fontId="13" fillId="0" borderId="0" xfId="0" applyFont="1" applyBorder="1" applyAlignment="1">
      <alignment horizontal="center" vertical="center" wrapText="1"/>
    </xf>
    <xf numFmtId="4" fontId="28" fillId="0" borderId="0" xfId="0" applyNumberFormat="1" applyFont="1" applyAlignment="1">
      <alignment horizontal="left" vertical="top" wrapText="1"/>
    </xf>
    <xf numFmtId="0" fontId="4" fillId="0" borderId="10" xfId="0" applyFont="1" applyBorder="1" applyAlignment="1">
      <alignment horizontal="center" vertical="center" wrapText="1"/>
    </xf>
    <xf numFmtId="2" fontId="12" fillId="0" borderId="10" xfId="0" applyNumberFormat="1" applyFont="1" applyBorder="1" applyAlignment="1">
      <alignment horizontal="center" vertical="center" wrapText="1"/>
    </xf>
    <xf numFmtId="2" fontId="12" fillId="4" borderId="10" xfId="0" applyNumberFormat="1" applyFont="1" applyFill="1" applyBorder="1" applyAlignment="1">
      <alignment horizontal="left" vertical="center" wrapText="1"/>
    </xf>
    <xf numFmtId="3" fontId="12" fillId="0" borderId="10" xfId="49"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2" fontId="10" fillId="32" borderId="10" xfId="0" applyNumberFormat="1" applyFont="1" applyFill="1" applyBorder="1" applyAlignment="1" quotePrefix="1">
      <alignment horizontal="left" vertical="center" wrapText="1"/>
    </xf>
    <xf numFmtId="3" fontId="12" fillId="33" borderId="14" xfId="0" applyNumberFormat="1" applyFont="1" applyFill="1" applyBorder="1" applyAlignment="1">
      <alignment horizontal="center" vertical="center" wrapText="1"/>
    </xf>
    <xf numFmtId="3" fontId="12" fillId="33" borderId="12"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49" fontId="32"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9" fillId="33" borderId="0" xfId="0" applyFont="1" applyFill="1" applyAlignment="1">
      <alignment horizontal="center" vertical="center"/>
    </xf>
    <xf numFmtId="49" fontId="12" fillId="0" borderId="10" xfId="0" applyNumberFormat="1" applyFont="1" applyBorder="1" applyAlignment="1" quotePrefix="1">
      <alignment horizontal="center" vertical="center" wrapText="1"/>
    </xf>
    <xf numFmtId="4" fontId="4" fillId="0" borderId="10" xfId="0" applyNumberFormat="1" applyFont="1" applyBorder="1" applyAlignment="1">
      <alignment horizontal="center" vertical="center" wrapText="1"/>
    </xf>
    <xf numFmtId="14" fontId="12" fillId="33" borderId="10" xfId="0" applyNumberFormat="1" applyFont="1" applyFill="1" applyBorder="1" applyAlignment="1">
      <alignment horizontal="center" vertical="center" wrapText="1"/>
    </xf>
    <xf numFmtId="2" fontId="12" fillId="33" borderId="12" xfId="0" applyNumberFormat="1" applyFont="1" applyFill="1" applyBorder="1" applyAlignment="1">
      <alignment horizontal="center" vertical="center" wrapText="1"/>
    </xf>
    <xf numFmtId="4" fontId="13" fillId="0" borderId="0" xfId="0" applyNumberFormat="1" applyFont="1" applyBorder="1" applyAlignment="1">
      <alignment horizontal="center" wrapText="1"/>
    </xf>
    <xf numFmtId="4" fontId="7"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12" fillId="0" borderId="14" xfId="0" applyNumberFormat="1" applyFont="1" applyBorder="1" applyAlignment="1">
      <alignment horizontal="center" vertical="top" wrapText="1"/>
    </xf>
    <xf numFmtId="49" fontId="12" fillId="0" borderId="12" xfId="0" applyNumberFormat="1" applyFont="1" applyBorder="1" applyAlignment="1">
      <alignment horizontal="center" vertical="top" wrapText="1"/>
    </xf>
    <xf numFmtId="49" fontId="12" fillId="0" borderId="13" xfId="0" applyNumberFormat="1" applyFont="1" applyBorder="1" applyAlignment="1">
      <alignment horizontal="center" vertical="top" wrapText="1"/>
    </xf>
    <xf numFmtId="0" fontId="12" fillId="0" borderId="10" xfId="0" applyFont="1" applyBorder="1" applyAlignment="1" quotePrefix="1">
      <alignment horizontal="center" vertical="center" wrapText="1"/>
    </xf>
    <xf numFmtId="49" fontId="12" fillId="0" borderId="14" xfId="0" applyNumberFormat="1" applyFont="1" applyBorder="1" applyAlignment="1" quotePrefix="1">
      <alignment horizontal="center" vertical="top" wrapText="1"/>
    </xf>
    <xf numFmtId="49" fontId="12" fillId="0" borderId="12" xfId="0" applyNumberFormat="1" applyFont="1" applyBorder="1" applyAlignment="1" quotePrefix="1">
      <alignment horizontal="center" vertical="top" wrapText="1"/>
    </xf>
    <xf numFmtId="49" fontId="12" fillId="0" borderId="13" xfId="0" applyNumberFormat="1" applyFont="1" applyBorder="1" applyAlignment="1" quotePrefix="1">
      <alignment horizontal="center" vertical="top" wrapText="1"/>
    </xf>
    <xf numFmtId="2" fontId="12" fillId="0" borderId="10" xfId="0" applyNumberFormat="1" applyFont="1" applyBorder="1" applyAlignment="1" quotePrefix="1">
      <alignment horizontal="left" vertical="center" wrapText="1"/>
    </xf>
    <xf numFmtId="3" fontId="12" fillId="38" borderId="14" xfId="0" applyNumberFormat="1" applyFont="1" applyFill="1" applyBorder="1" applyAlignment="1" applyProtection="1">
      <alignment horizontal="center" vertical="center" wrapText="1"/>
      <protection/>
    </xf>
    <xf numFmtId="3" fontId="12" fillId="38" borderId="12" xfId="0" applyNumberFormat="1" applyFont="1" applyFill="1" applyBorder="1" applyAlignment="1" applyProtection="1">
      <alignment horizontal="center" vertical="center" wrapText="1"/>
      <protection/>
    </xf>
    <xf numFmtId="201" fontId="12" fillId="33" borderId="14" xfId="0" applyNumberFormat="1" applyFont="1" applyFill="1" applyBorder="1" applyAlignment="1">
      <alignment horizontal="center" vertical="center" wrapText="1"/>
    </xf>
    <xf numFmtId="201" fontId="12" fillId="33" borderId="12" xfId="0" applyNumberFormat="1" applyFont="1" applyFill="1" applyBorder="1" applyAlignment="1">
      <alignment horizontal="center" vertical="center" wrapText="1"/>
    </xf>
    <xf numFmtId="201" fontId="12" fillId="33" borderId="13" xfId="0" applyNumberFormat="1" applyFont="1" applyFill="1" applyBorder="1" applyAlignment="1">
      <alignment horizontal="center" vertical="center" wrapText="1"/>
    </xf>
    <xf numFmtId="3" fontId="12" fillId="38" borderId="13" xfId="0" applyNumberFormat="1" applyFont="1" applyFill="1" applyBorder="1" applyAlignment="1" applyProtection="1">
      <alignment horizontal="center" vertical="center" wrapText="1"/>
      <protection/>
    </xf>
    <xf numFmtId="2" fontId="12" fillId="4" borderId="10" xfId="0" applyNumberFormat="1" applyFont="1" applyFill="1" applyBorder="1" applyAlignment="1" quotePrefix="1">
      <alignment horizontal="left" vertical="center" wrapText="1"/>
    </xf>
    <xf numFmtId="2" fontId="12" fillId="0" borderId="14" xfId="0" applyNumberFormat="1" applyFont="1" applyBorder="1" applyAlignment="1" quotePrefix="1">
      <alignment horizontal="left" vertical="center" wrapText="1"/>
    </xf>
    <xf numFmtId="2" fontId="12" fillId="0" borderId="13" xfId="0" applyNumberFormat="1" applyFont="1" applyBorder="1" applyAlignment="1" quotePrefix="1">
      <alignment horizontal="left" vertical="center" wrapText="1"/>
    </xf>
    <xf numFmtId="0" fontId="10" fillId="32" borderId="15" xfId="0" applyFont="1" applyFill="1" applyBorder="1" applyAlignment="1">
      <alignment horizontal="left" vertical="center" wrapText="1"/>
    </xf>
    <xf numFmtId="0" fontId="10" fillId="32" borderId="16" xfId="0" applyFont="1" applyFill="1" applyBorder="1" applyAlignment="1">
      <alignment horizontal="left" vertical="center" wrapText="1"/>
    </xf>
    <xf numFmtId="2" fontId="10" fillId="32" borderId="10" xfId="0" applyNumberFormat="1" applyFont="1" applyFill="1" applyBorder="1" applyAlignment="1">
      <alignment horizontal="left" vertical="center" wrapText="1"/>
    </xf>
    <xf numFmtId="2" fontId="12" fillId="0" borderId="14" xfId="0" applyNumberFormat="1" applyFont="1" applyBorder="1" applyAlignment="1">
      <alignment horizontal="left" vertical="center" wrapText="1"/>
    </xf>
    <xf numFmtId="2" fontId="12" fillId="0" borderId="12" xfId="0" applyNumberFormat="1" applyFont="1" applyBorder="1" applyAlignment="1">
      <alignment horizontal="left" vertical="center" wrapText="1"/>
    </xf>
    <xf numFmtId="2" fontId="12" fillId="0" borderId="13" xfId="0" applyNumberFormat="1" applyFont="1" applyBorder="1" applyAlignment="1">
      <alignment horizontal="left" vertical="center" wrapText="1"/>
    </xf>
    <xf numFmtId="2" fontId="10" fillId="36" borderId="15" xfId="0" applyNumberFormat="1" applyFont="1" applyFill="1" applyBorder="1" applyAlignment="1">
      <alignment horizontal="left" vertical="center" wrapText="1"/>
    </xf>
    <xf numFmtId="2" fontId="10" fillId="36" borderId="16" xfId="0" applyNumberFormat="1" applyFont="1" applyFill="1" applyBorder="1" applyAlignment="1">
      <alignment horizontal="left" vertical="center" wrapText="1"/>
    </xf>
    <xf numFmtId="2" fontId="12" fillId="0" borderId="12"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2" fontId="12" fillId="0" borderId="10" xfId="0" applyNumberFormat="1" applyFont="1" applyFill="1" applyBorder="1" applyAlignment="1" quotePrefix="1">
      <alignment horizontal="center" vertical="center" wrapText="1"/>
    </xf>
    <xf numFmtId="3" fontId="12" fillId="33" borderId="10" xfId="0" applyNumberFormat="1" applyFont="1" applyFill="1" applyBorder="1" applyAlignment="1">
      <alignment horizontal="center" vertical="center" wrapText="1"/>
    </xf>
    <xf numFmtId="3" fontId="12" fillId="0" borderId="14" xfId="49" applyNumberFormat="1" applyFont="1" applyFill="1" applyBorder="1" applyAlignment="1">
      <alignment horizontal="center" vertical="center" wrapText="1"/>
      <protection/>
    </xf>
    <xf numFmtId="0" fontId="0" fillId="0" borderId="12" xfId="0" applyFont="1" applyBorder="1" applyAlignment="1">
      <alignment vertical="center" wrapText="1"/>
    </xf>
    <xf numFmtId="0" fontId="0" fillId="0" borderId="13" xfId="0" applyFont="1" applyBorder="1" applyAlignment="1">
      <alignment vertical="center" wrapText="1"/>
    </xf>
    <xf numFmtId="3" fontId="12" fillId="0" borderId="10" xfId="0" applyNumberFormat="1" applyFont="1" applyFill="1" applyBorder="1" applyAlignment="1">
      <alignment horizontal="center" vertical="center" wrapText="1"/>
    </xf>
    <xf numFmtId="201" fontId="12" fillId="33"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20" fillId="33"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13"/>
  <sheetViews>
    <sheetView tabSelected="1" view="pageBreakPreview" zoomScale="65" zoomScaleSheetLayoutView="65" workbookViewId="0" topLeftCell="A345">
      <selection activeCell="F352" sqref="F352"/>
    </sheetView>
  </sheetViews>
  <sheetFormatPr defaultColWidth="9.00390625" defaultRowHeight="12.75"/>
  <cols>
    <col min="1" max="1" width="18.50390625" style="173" customWidth="1"/>
    <col min="2" max="2" width="15.375" style="174" customWidth="1"/>
    <col min="3" max="3" width="13.00390625" style="174" customWidth="1"/>
    <col min="4" max="4" width="51.375" style="175" customWidth="1"/>
    <col min="5" max="5" width="51.00390625" style="176" customWidth="1"/>
    <col min="6" max="6" width="23.125" style="176" customWidth="1"/>
    <col min="7" max="7" width="27.50390625" style="186" customWidth="1"/>
    <col min="8" max="8" width="27.375" style="187" customWidth="1"/>
    <col min="9" max="9" width="28.00390625" style="187" customWidth="1"/>
    <col min="10" max="10" width="32.50390625" style="187" customWidth="1"/>
    <col min="11" max="11" width="27.125" style="252" customWidth="1"/>
    <col min="12" max="12" width="26.00390625" style="252" customWidth="1"/>
    <col min="13" max="13" width="26.375" style="252" customWidth="1"/>
    <col min="14" max="14" width="27.875" style="253" customWidth="1"/>
    <col min="15" max="15" width="26.50390625" style="253" customWidth="1"/>
    <col min="16" max="16" width="33.00390625" style="177" customWidth="1"/>
    <col min="17" max="17" width="8.875" style="177" customWidth="1"/>
    <col min="18" max="18" width="24.50390625" style="177" bestFit="1" customWidth="1"/>
    <col min="19" max="16384" width="8.875" style="177" customWidth="1"/>
  </cols>
  <sheetData>
    <row r="1" spans="1:15" s="43" customFormat="1" ht="21" customHeight="1">
      <c r="A1" s="228"/>
      <c r="B1" s="229"/>
      <c r="C1" s="229"/>
      <c r="D1" s="230"/>
      <c r="E1" s="226"/>
      <c r="F1" s="226"/>
      <c r="G1" s="231"/>
      <c r="H1" s="227"/>
      <c r="I1" s="415"/>
      <c r="J1" s="415"/>
      <c r="K1" s="232"/>
      <c r="L1" s="232"/>
      <c r="M1" s="232"/>
      <c r="N1" s="233"/>
      <c r="O1" s="233"/>
    </row>
    <row r="2" spans="1:15" s="43" customFormat="1" ht="27" customHeight="1">
      <c r="A2" s="228"/>
      <c r="B2" s="229"/>
      <c r="C2" s="229"/>
      <c r="D2" s="230"/>
      <c r="E2" s="226"/>
      <c r="F2" s="226"/>
      <c r="I2" s="397" t="s">
        <v>585</v>
      </c>
      <c r="J2" s="397"/>
      <c r="K2" s="232"/>
      <c r="L2" s="232"/>
      <c r="M2" s="232"/>
      <c r="N2" s="233"/>
      <c r="O2" s="233"/>
    </row>
    <row r="3" spans="1:15" s="43" customFormat="1" ht="28.5" customHeight="1">
      <c r="A3" s="228"/>
      <c r="B3" s="229"/>
      <c r="C3" s="229"/>
      <c r="D3" s="230"/>
      <c r="E3" s="226"/>
      <c r="F3" s="226"/>
      <c r="I3" s="397" t="s">
        <v>347</v>
      </c>
      <c r="J3" s="397"/>
      <c r="K3" s="232"/>
      <c r="L3" s="232"/>
      <c r="M3" s="232"/>
      <c r="N3" s="233"/>
      <c r="O3" s="233"/>
    </row>
    <row r="4" spans="1:15" s="43" customFormat="1" ht="27" customHeight="1">
      <c r="A4" s="228"/>
      <c r="B4" s="229"/>
      <c r="C4" s="229"/>
      <c r="D4" s="230"/>
      <c r="E4" s="226"/>
      <c r="F4" s="226"/>
      <c r="I4" s="397" t="s">
        <v>525</v>
      </c>
      <c r="J4" s="397"/>
      <c r="K4" s="232"/>
      <c r="L4" s="232"/>
      <c r="M4" s="232"/>
      <c r="N4" s="233"/>
      <c r="O4" s="233"/>
    </row>
    <row r="5" spans="1:15" s="43" customFormat="1" ht="27" customHeight="1">
      <c r="A5" s="228"/>
      <c r="B5" s="229"/>
      <c r="C5" s="229"/>
      <c r="D5" s="230"/>
      <c r="E5" s="226"/>
      <c r="F5" s="226"/>
      <c r="I5" s="397" t="s">
        <v>659</v>
      </c>
      <c r="J5" s="397"/>
      <c r="K5" s="232"/>
      <c r="L5" s="232"/>
      <c r="M5" s="232"/>
      <c r="N5" s="233"/>
      <c r="O5" s="233"/>
    </row>
    <row r="6" spans="1:15" s="43" customFormat="1" ht="32.25" customHeight="1">
      <c r="A6" s="228"/>
      <c r="B6" s="229"/>
      <c r="C6" s="229"/>
      <c r="D6" s="230"/>
      <c r="E6" s="226"/>
      <c r="F6" s="226"/>
      <c r="I6" s="397" t="s">
        <v>691</v>
      </c>
      <c r="J6" s="397"/>
      <c r="K6" s="232"/>
      <c r="L6" s="232"/>
      <c r="M6" s="232"/>
      <c r="N6" s="233"/>
      <c r="O6" s="233"/>
    </row>
    <row r="7" spans="1:15" s="43" customFormat="1" ht="48" customHeight="1">
      <c r="A7" s="228"/>
      <c r="B7" s="229"/>
      <c r="C7" s="229"/>
      <c r="D7" s="230"/>
      <c r="E7" s="226"/>
      <c r="F7" s="226"/>
      <c r="G7" s="234"/>
      <c r="H7" s="234"/>
      <c r="I7" s="234"/>
      <c r="J7" s="234"/>
      <c r="K7" s="232"/>
      <c r="L7" s="232"/>
      <c r="M7" s="232"/>
      <c r="N7" s="233"/>
      <c r="O7" s="233"/>
    </row>
    <row r="8" spans="1:15" s="43" customFormat="1" ht="51.75" customHeight="1">
      <c r="A8" s="416" t="s">
        <v>214</v>
      </c>
      <c r="B8" s="416"/>
      <c r="C8" s="416"/>
      <c r="D8" s="416"/>
      <c r="E8" s="416"/>
      <c r="F8" s="416"/>
      <c r="G8" s="416"/>
      <c r="H8" s="416"/>
      <c r="I8" s="416"/>
      <c r="J8" s="416"/>
      <c r="K8" s="232"/>
      <c r="L8" s="232"/>
      <c r="M8" s="232"/>
      <c r="N8" s="233"/>
      <c r="O8" s="233"/>
    </row>
    <row r="9" spans="1:15" s="43" customFormat="1" ht="33" customHeight="1">
      <c r="A9" s="407" t="s">
        <v>215</v>
      </c>
      <c r="B9" s="408"/>
      <c r="C9" s="408"/>
      <c r="D9" s="408"/>
      <c r="E9" s="408"/>
      <c r="F9" s="408"/>
      <c r="G9" s="408"/>
      <c r="H9" s="408"/>
      <c r="I9" s="408"/>
      <c r="J9" s="408"/>
      <c r="K9" s="232"/>
      <c r="L9" s="232"/>
      <c r="M9" s="232"/>
      <c r="N9" s="233"/>
      <c r="O9" s="233"/>
    </row>
    <row r="10" spans="1:15" s="43" customFormat="1" ht="33" customHeight="1">
      <c r="A10" s="409" t="s">
        <v>462</v>
      </c>
      <c r="B10" s="409"/>
      <c r="C10" s="409"/>
      <c r="D10" s="409"/>
      <c r="E10" s="409"/>
      <c r="F10" s="409"/>
      <c r="G10" s="409"/>
      <c r="H10" s="409"/>
      <c r="I10" s="409"/>
      <c r="J10" s="409"/>
      <c r="K10" s="232"/>
      <c r="L10" s="232"/>
      <c r="M10" s="232"/>
      <c r="N10" s="233"/>
      <c r="O10" s="233"/>
    </row>
    <row r="11" spans="1:15" s="43" customFormat="1" ht="30">
      <c r="A11" s="44"/>
      <c r="B11" s="45"/>
      <c r="C11" s="45"/>
      <c r="D11" s="46"/>
      <c r="E11" s="47"/>
      <c r="F11" s="48"/>
      <c r="G11" s="49"/>
      <c r="H11" s="50"/>
      <c r="I11" s="50"/>
      <c r="J11" s="190" t="s">
        <v>314</v>
      </c>
      <c r="K11" s="232"/>
      <c r="L11" s="232"/>
      <c r="M11" s="232"/>
      <c r="N11" s="232"/>
      <c r="O11" s="232"/>
    </row>
    <row r="12" spans="1:15" s="51" customFormat="1" ht="15" customHeight="1">
      <c r="A12" s="417" t="s">
        <v>348</v>
      </c>
      <c r="B12" s="417" t="s">
        <v>349</v>
      </c>
      <c r="C12" s="417" t="s">
        <v>350</v>
      </c>
      <c r="D12" s="398" t="s">
        <v>315</v>
      </c>
      <c r="E12" s="398" t="s">
        <v>351</v>
      </c>
      <c r="F12" s="398" t="s">
        <v>378</v>
      </c>
      <c r="G12" s="411" t="s">
        <v>379</v>
      </c>
      <c r="H12" s="411" t="s">
        <v>361</v>
      </c>
      <c r="I12" s="411" t="s">
        <v>362</v>
      </c>
      <c r="J12" s="411"/>
      <c r="K12" s="235"/>
      <c r="L12" s="235"/>
      <c r="M12" s="235"/>
      <c r="N12" s="236"/>
      <c r="O12" s="236"/>
    </row>
    <row r="13" spans="1:15" s="51" customFormat="1" ht="62.25" customHeight="1">
      <c r="A13" s="417"/>
      <c r="B13" s="417"/>
      <c r="C13" s="417"/>
      <c r="D13" s="398"/>
      <c r="E13" s="398"/>
      <c r="F13" s="398"/>
      <c r="G13" s="411"/>
      <c r="H13" s="411"/>
      <c r="I13" s="411"/>
      <c r="J13" s="411"/>
      <c r="K13" s="235"/>
      <c r="L13" s="237"/>
      <c r="M13" s="237"/>
      <c r="N13" s="235"/>
      <c r="O13" s="235"/>
    </row>
    <row r="14" spans="1:15" s="51" customFormat="1" ht="35.25" customHeight="1">
      <c r="A14" s="417"/>
      <c r="B14" s="417"/>
      <c r="C14" s="417"/>
      <c r="D14" s="398"/>
      <c r="E14" s="398"/>
      <c r="F14" s="398"/>
      <c r="G14" s="411"/>
      <c r="H14" s="411"/>
      <c r="I14" s="411"/>
      <c r="J14" s="411"/>
      <c r="K14" s="235"/>
      <c r="L14" s="235"/>
      <c r="M14" s="235"/>
      <c r="N14" s="236"/>
      <c r="O14" s="236"/>
    </row>
    <row r="15" spans="1:16" s="51" customFormat="1" ht="44.25" customHeight="1">
      <c r="A15" s="417"/>
      <c r="B15" s="417"/>
      <c r="C15" s="417"/>
      <c r="D15" s="398"/>
      <c r="E15" s="398"/>
      <c r="F15" s="398"/>
      <c r="G15" s="411"/>
      <c r="H15" s="411"/>
      <c r="I15" s="1" t="s">
        <v>380</v>
      </c>
      <c r="J15" s="1" t="s">
        <v>381</v>
      </c>
      <c r="K15" s="238"/>
      <c r="L15" s="238"/>
      <c r="M15" s="238"/>
      <c r="N15" s="239"/>
      <c r="O15" s="239"/>
      <c r="P15" s="256"/>
    </row>
    <row r="16" spans="1:16" s="52" customFormat="1" ht="20.25" customHeight="1">
      <c r="A16" s="3">
        <v>1</v>
      </c>
      <c r="B16" s="3">
        <v>2</v>
      </c>
      <c r="C16" s="3">
        <v>3</v>
      </c>
      <c r="D16" s="2">
        <v>4</v>
      </c>
      <c r="E16" s="2">
        <v>5</v>
      </c>
      <c r="F16" s="2">
        <v>6</v>
      </c>
      <c r="G16" s="2">
        <v>7</v>
      </c>
      <c r="H16" s="2">
        <v>8</v>
      </c>
      <c r="I16" s="2">
        <v>9</v>
      </c>
      <c r="J16" s="2">
        <v>10</v>
      </c>
      <c r="K16" s="257"/>
      <c r="L16" s="257"/>
      <c r="M16" s="257"/>
      <c r="N16" s="257"/>
      <c r="O16" s="257"/>
      <c r="P16" s="258"/>
    </row>
    <row r="17" spans="1:16" s="15" customFormat="1" ht="120" customHeight="1">
      <c r="A17" s="53" t="s">
        <v>363</v>
      </c>
      <c r="B17" s="54"/>
      <c r="C17" s="54"/>
      <c r="D17" s="400" t="s">
        <v>248</v>
      </c>
      <c r="E17" s="400"/>
      <c r="F17" s="55" t="s">
        <v>552</v>
      </c>
      <c r="G17" s="39">
        <f>G18</f>
        <v>24941633.73</v>
      </c>
      <c r="H17" s="39">
        <f>H18</f>
        <v>24731542.73</v>
      </c>
      <c r="I17" s="39">
        <f>I18</f>
        <v>210091</v>
      </c>
      <c r="J17" s="39">
        <f>J18</f>
        <v>210091</v>
      </c>
      <c r="K17" s="247"/>
      <c r="L17" s="248"/>
      <c r="M17" s="247"/>
      <c r="N17" s="259"/>
      <c r="O17" s="259"/>
      <c r="P17" s="128"/>
    </row>
    <row r="18" spans="1:16" s="15" customFormat="1" ht="47.25" customHeight="1">
      <c r="A18" s="19" t="s">
        <v>364</v>
      </c>
      <c r="B18" s="18"/>
      <c r="C18" s="18"/>
      <c r="D18" s="437" t="s">
        <v>179</v>
      </c>
      <c r="E18" s="437"/>
      <c r="F18" s="20" t="s">
        <v>552</v>
      </c>
      <c r="G18" s="21">
        <f>H18+I18</f>
        <v>24941633.73</v>
      </c>
      <c r="H18" s="21">
        <f>H19+H21+H23+H24+H25+H20+H22+H26+H27+H28+H29+H30</f>
        <v>24731542.73</v>
      </c>
      <c r="I18" s="21">
        <f>I19+I21+I23+I24+I25+I20+I22+I26+I27+I28+I29+I30</f>
        <v>210091</v>
      </c>
      <c r="J18" s="21">
        <f>J19+J21+J23+J24+J25+J20+J22+J26+J27+J28+J29+J30</f>
        <v>210091</v>
      </c>
      <c r="K18" s="260"/>
      <c r="L18" s="260"/>
      <c r="M18" s="260"/>
      <c r="N18" s="260"/>
      <c r="O18" s="260"/>
      <c r="P18" s="128"/>
    </row>
    <row r="19" spans="1:16" s="56" customFormat="1" ht="123" customHeight="1">
      <c r="A19" s="410" t="s">
        <v>447</v>
      </c>
      <c r="B19" s="410">
        <v>8410</v>
      </c>
      <c r="C19" s="410" t="s">
        <v>365</v>
      </c>
      <c r="D19" s="438" t="s">
        <v>448</v>
      </c>
      <c r="E19" s="61" t="s">
        <v>653</v>
      </c>
      <c r="F19" s="6" t="s">
        <v>12</v>
      </c>
      <c r="G19" s="11">
        <f>SUM(H19+I19)</f>
        <v>6729283</v>
      </c>
      <c r="H19" s="13">
        <v>6729283</v>
      </c>
      <c r="I19" s="13">
        <v>0</v>
      </c>
      <c r="J19" s="13">
        <v>0</v>
      </c>
      <c r="K19" s="261"/>
      <c r="L19" s="262"/>
      <c r="M19" s="261"/>
      <c r="N19" s="263"/>
      <c r="O19" s="263"/>
      <c r="P19" s="264"/>
    </row>
    <row r="20" spans="1:16" s="15" customFormat="1" ht="181.5" customHeight="1" hidden="1">
      <c r="A20" s="410"/>
      <c r="B20" s="410"/>
      <c r="C20" s="410"/>
      <c r="D20" s="439"/>
      <c r="E20" s="10" t="s">
        <v>274</v>
      </c>
      <c r="F20" s="10" t="s">
        <v>675</v>
      </c>
      <c r="G20" s="11">
        <f>SUM(H20+I20)</f>
        <v>0</v>
      </c>
      <c r="H20" s="12"/>
      <c r="I20" s="12"/>
      <c r="J20" s="57"/>
      <c r="K20" s="249"/>
      <c r="L20" s="248"/>
      <c r="M20" s="247"/>
      <c r="N20" s="259"/>
      <c r="O20" s="259"/>
      <c r="P20" s="128"/>
    </row>
    <row r="21" spans="1:16" s="15" customFormat="1" ht="73.5" customHeight="1">
      <c r="A21" s="410"/>
      <c r="B21" s="410"/>
      <c r="C21" s="410"/>
      <c r="D21" s="440"/>
      <c r="E21" s="61" t="s">
        <v>283</v>
      </c>
      <c r="F21" s="61" t="s">
        <v>284</v>
      </c>
      <c r="G21" s="11">
        <f>SUM(H21+I21)</f>
        <v>4170217</v>
      </c>
      <c r="H21" s="12">
        <f>2270717+1000000+210000-100000+200000+589500</f>
        <v>4170217</v>
      </c>
      <c r="I21" s="12">
        <v>0</v>
      </c>
      <c r="J21" s="57">
        <v>0</v>
      </c>
      <c r="K21" s="249"/>
      <c r="L21" s="248"/>
      <c r="M21" s="247"/>
      <c r="N21" s="259"/>
      <c r="O21" s="259"/>
      <c r="P21" s="128"/>
    </row>
    <row r="22" spans="1:16" s="15" customFormat="1" ht="119.25" customHeight="1">
      <c r="A22" s="7" t="s">
        <v>534</v>
      </c>
      <c r="B22" s="8" t="s">
        <v>410</v>
      </c>
      <c r="C22" s="7" t="s">
        <v>366</v>
      </c>
      <c r="D22" s="9" t="s">
        <v>50</v>
      </c>
      <c r="E22" s="6" t="s">
        <v>650</v>
      </c>
      <c r="F22" s="10" t="s">
        <v>396</v>
      </c>
      <c r="G22" s="11">
        <f aca="true" t="shared" si="0" ref="G22:G28">SUM(H22+I22)</f>
        <v>2654400</v>
      </c>
      <c r="H22" s="12">
        <v>2654400</v>
      </c>
      <c r="I22" s="12">
        <v>0</v>
      </c>
      <c r="J22" s="13">
        <v>0</v>
      </c>
      <c r="K22" s="244"/>
      <c r="L22" s="248"/>
      <c r="M22" s="247"/>
      <c r="N22" s="259"/>
      <c r="O22" s="259"/>
      <c r="P22" s="128"/>
    </row>
    <row r="23" spans="1:16" s="15" customFormat="1" ht="96" customHeight="1">
      <c r="A23" s="7" t="s">
        <v>534</v>
      </c>
      <c r="B23" s="8" t="s">
        <v>410</v>
      </c>
      <c r="C23" s="7" t="s">
        <v>366</v>
      </c>
      <c r="D23" s="9" t="s">
        <v>50</v>
      </c>
      <c r="E23" s="401" t="s">
        <v>535</v>
      </c>
      <c r="F23" s="401" t="s">
        <v>591</v>
      </c>
      <c r="G23" s="11">
        <f t="shared" si="0"/>
        <v>1463719.88</v>
      </c>
      <c r="H23" s="17">
        <f>298700+1271200+350000-350000-421700+129404+49000+49000+41063.88-100000+49900+45840+48900+49000-46588</f>
        <v>1463719.88</v>
      </c>
      <c r="I23" s="12">
        <v>0</v>
      </c>
      <c r="J23" s="12">
        <v>0</v>
      </c>
      <c r="K23" s="248"/>
      <c r="L23" s="248"/>
      <c r="M23" s="247"/>
      <c r="N23" s="259"/>
      <c r="O23" s="259"/>
      <c r="P23" s="128"/>
    </row>
    <row r="24" spans="1:16" s="15" customFormat="1" ht="96.75" customHeight="1" hidden="1">
      <c r="A24" s="8" t="s">
        <v>241</v>
      </c>
      <c r="B24" s="8" t="s">
        <v>240</v>
      </c>
      <c r="C24" s="8" t="s">
        <v>382</v>
      </c>
      <c r="D24" s="9" t="s">
        <v>242</v>
      </c>
      <c r="E24" s="401"/>
      <c r="F24" s="401"/>
      <c r="G24" s="11">
        <f t="shared" si="0"/>
        <v>0</v>
      </c>
      <c r="H24" s="17"/>
      <c r="I24" s="12"/>
      <c r="J24" s="12"/>
      <c r="K24" s="248"/>
      <c r="L24" s="248"/>
      <c r="M24" s="247"/>
      <c r="N24" s="259"/>
      <c r="O24" s="259"/>
      <c r="P24" s="128"/>
    </row>
    <row r="25" spans="1:16" s="118" customFormat="1" ht="125.25" customHeight="1">
      <c r="A25" s="58" t="s">
        <v>562</v>
      </c>
      <c r="B25" s="188" t="s">
        <v>49</v>
      </c>
      <c r="C25" s="188" t="s">
        <v>375</v>
      </c>
      <c r="D25" s="63" t="s">
        <v>415</v>
      </c>
      <c r="E25" s="61" t="s">
        <v>651</v>
      </c>
      <c r="F25" s="61" t="s">
        <v>45</v>
      </c>
      <c r="G25" s="117">
        <f t="shared" si="0"/>
        <v>1000000</v>
      </c>
      <c r="H25" s="62">
        <v>1000000</v>
      </c>
      <c r="I25" s="57">
        <v>0</v>
      </c>
      <c r="J25" s="57">
        <v>0</v>
      </c>
      <c r="K25" s="265"/>
      <c r="L25" s="265"/>
      <c r="M25" s="266"/>
      <c r="N25" s="267"/>
      <c r="O25" s="267"/>
      <c r="P25" s="268"/>
    </row>
    <row r="26" spans="1:16" s="15" customFormat="1" ht="119.25" customHeight="1">
      <c r="A26" s="58" t="s">
        <v>560</v>
      </c>
      <c r="B26" s="59">
        <v>6017</v>
      </c>
      <c r="C26" s="58" t="s">
        <v>369</v>
      </c>
      <c r="D26" s="60" t="s">
        <v>239</v>
      </c>
      <c r="E26" s="61" t="s">
        <v>331</v>
      </c>
      <c r="F26" s="61" t="s">
        <v>7</v>
      </c>
      <c r="G26" s="11">
        <f t="shared" si="0"/>
        <v>4329576.85</v>
      </c>
      <c r="H26" s="17">
        <f>5517007+141064+634200-85000-6700-55000-24364-1938465.15-13256</f>
        <v>4169485.85</v>
      </c>
      <c r="I26" s="12">
        <f>1297275-775264-361920</f>
        <v>160091</v>
      </c>
      <c r="J26" s="12">
        <f>I26</f>
        <v>160091</v>
      </c>
      <c r="K26" s="247"/>
      <c r="L26" s="247"/>
      <c r="M26" s="247"/>
      <c r="N26" s="259"/>
      <c r="O26" s="259"/>
      <c r="P26" s="128"/>
    </row>
    <row r="27" spans="1:16" s="15" customFormat="1" ht="227.25" customHeight="1" hidden="1">
      <c r="A27" s="58" t="s">
        <v>560</v>
      </c>
      <c r="B27" s="59">
        <v>6017</v>
      </c>
      <c r="C27" s="58" t="s">
        <v>369</v>
      </c>
      <c r="D27" s="60" t="s">
        <v>239</v>
      </c>
      <c r="E27" s="61" t="s">
        <v>145</v>
      </c>
      <c r="F27" s="61" t="s">
        <v>136</v>
      </c>
      <c r="G27" s="11">
        <f t="shared" si="0"/>
        <v>0</v>
      </c>
      <c r="H27" s="62"/>
      <c r="I27" s="12">
        <v>0</v>
      </c>
      <c r="J27" s="12">
        <v>0</v>
      </c>
      <c r="K27" s="248"/>
      <c r="L27" s="248"/>
      <c r="M27" s="247"/>
      <c r="N27" s="259"/>
      <c r="O27" s="259"/>
      <c r="P27" s="128"/>
    </row>
    <row r="28" spans="1:16" s="15" customFormat="1" ht="208.5" customHeight="1">
      <c r="A28" s="58" t="s">
        <v>561</v>
      </c>
      <c r="B28" s="59">
        <v>6030</v>
      </c>
      <c r="C28" s="59" t="s">
        <v>369</v>
      </c>
      <c r="D28" s="63" t="s">
        <v>603</v>
      </c>
      <c r="E28" s="61" t="s">
        <v>611</v>
      </c>
      <c r="F28" s="61" t="s">
        <v>137</v>
      </c>
      <c r="G28" s="11">
        <f t="shared" si="0"/>
        <v>4494191</v>
      </c>
      <c r="H28" s="62">
        <f>3000000+1500000-5809</f>
        <v>4494191</v>
      </c>
      <c r="I28" s="12">
        <v>0</v>
      </c>
      <c r="J28" s="12">
        <v>0</v>
      </c>
      <c r="K28" s="248"/>
      <c r="L28" s="248"/>
      <c r="M28" s="247"/>
      <c r="N28" s="259"/>
      <c r="O28" s="259"/>
      <c r="P28" s="128"/>
    </row>
    <row r="29" spans="1:16" s="38" customFormat="1" ht="100.5" customHeight="1">
      <c r="A29" s="25" t="s">
        <v>185</v>
      </c>
      <c r="B29" s="8" t="s">
        <v>11</v>
      </c>
      <c r="C29" s="7" t="s">
        <v>413</v>
      </c>
      <c r="D29" s="9" t="s">
        <v>37</v>
      </c>
      <c r="E29" s="97" t="s">
        <v>535</v>
      </c>
      <c r="F29" s="24" t="s">
        <v>591</v>
      </c>
      <c r="G29" s="11">
        <f>SUM(H29+I29)</f>
        <v>50000</v>
      </c>
      <c r="H29" s="17">
        <v>0</v>
      </c>
      <c r="I29" s="13">
        <v>50000</v>
      </c>
      <c r="J29" s="13">
        <f>I29</f>
        <v>50000</v>
      </c>
      <c r="K29" s="247"/>
      <c r="L29" s="248"/>
      <c r="M29" s="248"/>
      <c r="N29" s="259"/>
      <c r="O29" s="259"/>
      <c r="P29" s="248"/>
    </row>
    <row r="30" spans="1:16" s="15" customFormat="1" ht="103.5" customHeight="1">
      <c r="A30" s="7" t="s">
        <v>90</v>
      </c>
      <c r="B30" s="7" t="s">
        <v>211</v>
      </c>
      <c r="C30" s="7" t="s">
        <v>421</v>
      </c>
      <c r="D30" s="9" t="s">
        <v>438</v>
      </c>
      <c r="E30" s="42" t="s">
        <v>48</v>
      </c>
      <c r="F30" s="42" t="s">
        <v>115</v>
      </c>
      <c r="G30" s="11">
        <f>SUM(H30+I30)</f>
        <v>50246</v>
      </c>
      <c r="H30" s="41">
        <f>55000-4754</f>
        <v>50246</v>
      </c>
      <c r="I30" s="12">
        <v>0</v>
      </c>
      <c r="J30" s="12">
        <f>I30</f>
        <v>0</v>
      </c>
      <c r="K30" s="248"/>
      <c r="L30" s="248"/>
      <c r="M30" s="248"/>
      <c r="N30" s="259"/>
      <c r="O30" s="259"/>
      <c r="P30" s="128"/>
    </row>
    <row r="31" spans="1:16" s="15" customFormat="1" ht="109.5" customHeight="1">
      <c r="A31" s="34" t="s">
        <v>549</v>
      </c>
      <c r="B31" s="35"/>
      <c r="C31" s="35"/>
      <c r="D31" s="400" t="s">
        <v>230</v>
      </c>
      <c r="E31" s="400"/>
      <c r="F31" s="66" t="s">
        <v>552</v>
      </c>
      <c r="G31" s="67">
        <f>G32+G34</f>
        <v>2212700</v>
      </c>
      <c r="H31" s="67">
        <f>H32+H34</f>
        <v>2212700</v>
      </c>
      <c r="I31" s="67">
        <f>I32+I34</f>
        <v>0</v>
      </c>
      <c r="J31" s="67">
        <f>J32+J34</f>
        <v>0</v>
      </c>
      <c r="K31" s="248"/>
      <c r="L31" s="248"/>
      <c r="M31" s="247"/>
      <c r="N31" s="259"/>
      <c r="O31" s="259"/>
      <c r="P31" s="128"/>
    </row>
    <row r="32" spans="1:16" s="23" customFormat="1" ht="51" customHeight="1">
      <c r="A32" s="18" t="s">
        <v>550</v>
      </c>
      <c r="B32" s="19"/>
      <c r="C32" s="19"/>
      <c r="D32" s="437" t="s">
        <v>229</v>
      </c>
      <c r="E32" s="437"/>
      <c r="F32" s="20" t="s">
        <v>552</v>
      </c>
      <c r="G32" s="21">
        <f>G33</f>
        <v>181300</v>
      </c>
      <c r="H32" s="21">
        <f>H33</f>
        <v>181300</v>
      </c>
      <c r="I32" s="21">
        <f>I33</f>
        <v>0</v>
      </c>
      <c r="J32" s="21">
        <f>J33</f>
        <v>0</v>
      </c>
      <c r="K32" s="260"/>
      <c r="L32" s="260"/>
      <c r="M32" s="260"/>
      <c r="N32" s="260"/>
      <c r="O32" s="260"/>
      <c r="P32" s="125"/>
    </row>
    <row r="33" spans="1:16" s="15" customFormat="1" ht="114" customHeight="1">
      <c r="A33" s="8" t="s">
        <v>160</v>
      </c>
      <c r="B33" s="8" t="s">
        <v>410</v>
      </c>
      <c r="C33" s="8" t="s">
        <v>366</v>
      </c>
      <c r="D33" s="9" t="s">
        <v>50</v>
      </c>
      <c r="E33" s="24" t="s">
        <v>649</v>
      </c>
      <c r="F33" s="24" t="s">
        <v>592</v>
      </c>
      <c r="G33" s="11">
        <f>SUM(H33+I33)</f>
        <v>181300</v>
      </c>
      <c r="H33" s="17">
        <f>334100-261800+49000+20000+40000</f>
        <v>181300</v>
      </c>
      <c r="I33" s="12">
        <v>0</v>
      </c>
      <c r="J33" s="12">
        <v>0</v>
      </c>
      <c r="K33" s="248"/>
      <c r="L33" s="247"/>
      <c r="M33" s="247"/>
      <c r="N33" s="259"/>
      <c r="O33" s="259"/>
      <c r="P33" s="128"/>
    </row>
    <row r="34" spans="1:16" s="15" customFormat="1" ht="73.5" customHeight="1">
      <c r="A34" s="18" t="s">
        <v>550</v>
      </c>
      <c r="B34" s="19"/>
      <c r="C34" s="19"/>
      <c r="D34" s="437" t="s">
        <v>129</v>
      </c>
      <c r="E34" s="437"/>
      <c r="F34" s="20" t="s">
        <v>552</v>
      </c>
      <c r="G34" s="21">
        <f>H34+I34</f>
        <v>2031400</v>
      </c>
      <c r="H34" s="21">
        <f>H35+H36+H37</f>
        <v>2031400</v>
      </c>
      <c r="I34" s="21">
        <f>I35+I36+I37</f>
        <v>0</v>
      </c>
      <c r="J34" s="21">
        <f>J35+J36+J37</f>
        <v>0</v>
      </c>
      <c r="K34" s="260"/>
      <c r="L34" s="260"/>
      <c r="M34" s="260"/>
      <c r="N34" s="260"/>
      <c r="O34" s="260"/>
      <c r="P34" s="128"/>
    </row>
    <row r="35" spans="1:16" s="15" customFormat="1" ht="120" customHeight="1" hidden="1">
      <c r="A35" s="8"/>
      <c r="B35" s="8"/>
      <c r="C35" s="8"/>
      <c r="D35" s="9"/>
      <c r="E35" s="24"/>
      <c r="F35" s="24"/>
      <c r="G35" s="11">
        <f>SUM(H35+I35)</f>
        <v>0</v>
      </c>
      <c r="H35" s="17"/>
      <c r="I35" s="12"/>
      <c r="J35" s="12"/>
      <c r="K35" s="248"/>
      <c r="L35" s="247"/>
      <c r="M35" s="247"/>
      <c r="N35" s="259"/>
      <c r="O35" s="259"/>
      <c r="P35" s="128"/>
    </row>
    <row r="36" spans="1:16" s="15" customFormat="1" ht="81.75" customHeight="1">
      <c r="A36" s="8" t="s">
        <v>132</v>
      </c>
      <c r="B36" s="8" t="s">
        <v>257</v>
      </c>
      <c r="C36" s="8" t="s">
        <v>299</v>
      </c>
      <c r="D36" s="9" t="s">
        <v>258</v>
      </c>
      <c r="E36" s="24" t="s">
        <v>75</v>
      </c>
      <c r="F36" s="24" t="s">
        <v>602</v>
      </c>
      <c r="G36" s="11">
        <f>SUM(H36+I36)</f>
        <v>200000</v>
      </c>
      <c r="H36" s="62">
        <v>200000</v>
      </c>
      <c r="I36" s="12">
        <v>0</v>
      </c>
      <c r="J36" s="12">
        <v>0</v>
      </c>
      <c r="K36" s="248"/>
      <c r="L36" s="247"/>
      <c r="M36" s="247"/>
      <c r="N36" s="259"/>
      <c r="O36" s="259"/>
      <c r="P36" s="128"/>
    </row>
    <row r="37" spans="1:16" s="15" customFormat="1" ht="57.75" customHeight="1">
      <c r="A37" s="7" t="s">
        <v>130</v>
      </c>
      <c r="B37" s="68" t="s">
        <v>131</v>
      </c>
      <c r="C37" s="7" t="s">
        <v>369</v>
      </c>
      <c r="D37" s="69" t="s">
        <v>603</v>
      </c>
      <c r="E37" s="8" t="s">
        <v>51</v>
      </c>
      <c r="F37" s="6" t="s">
        <v>146</v>
      </c>
      <c r="G37" s="11">
        <f>SUM(H37+I37)</f>
        <v>1831400</v>
      </c>
      <c r="H37" s="17">
        <f>1931400-100000</f>
        <v>1831400</v>
      </c>
      <c r="I37" s="12">
        <v>0</v>
      </c>
      <c r="J37" s="12">
        <v>0</v>
      </c>
      <c r="K37" s="248"/>
      <c r="L37" s="247"/>
      <c r="M37" s="247"/>
      <c r="N37" s="259"/>
      <c r="O37" s="259"/>
      <c r="P37" s="128"/>
    </row>
    <row r="38" spans="1:16" s="15" customFormat="1" ht="39" customHeight="1">
      <c r="A38" s="35" t="s">
        <v>449</v>
      </c>
      <c r="B38" s="34"/>
      <c r="C38" s="34"/>
      <c r="D38" s="432" t="s">
        <v>463</v>
      </c>
      <c r="E38" s="432"/>
      <c r="F38" s="66" t="s">
        <v>552</v>
      </c>
      <c r="G38" s="70">
        <f>G39</f>
        <v>155926347.61999997</v>
      </c>
      <c r="H38" s="70">
        <f>H39</f>
        <v>100081125.64999999</v>
      </c>
      <c r="I38" s="70">
        <f>I39</f>
        <v>55845221.97</v>
      </c>
      <c r="J38" s="70">
        <f>J39</f>
        <v>54845221.97</v>
      </c>
      <c r="K38" s="247"/>
      <c r="L38" s="248"/>
      <c r="M38" s="247"/>
      <c r="N38" s="259"/>
      <c r="O38" s="259"/>
      <c r="P38" s="128"/>
    </row>
    <row r="39" spans="1:16" s="23" customFormat="1" ht="42.75" customHeight="1">
      <c r="A39" s="19" t="s">
        <v>464</v>
      </c>
      <c r="B39" s="18"/>
      <c r="C39" s="18"/>
      <c r="D39" s="403" t="s">
        <v>370</v>
      </c>
      <c r="E39" s="403"/>
      <c r="F39" s="20" t="s">
        <v>552</v>
      </c>
      <c r="G39" s="71">
        <f>SUM(G40+G41+G44+G55+G57+G58+G60+G61+G62+G68+G73+G77+G78+G79+G80+G85+G86+G87+G88+G89+G91+G98+G99+G100+G101+G102+G103+G104+G105+G106+G107+G108+G110+G113+G114+G115+G117+G118+G121)+G93+G52+G81+G94+G69+G70+G109+G74+G75+G76+G92+G111+G53+G54+G71+G72+G63+G64+G65+G66+G83</f>
        <v>155926347.61999997</v>
      </c>
      <c r="H39" s="71">
        <f>SUM(H40+H41+H44+H55+H57+H58+H60+H61+H62+H68+H73+H77+H78+H79+H80+H85+H86+H87+H88+H89+H91+H98+H99+H100+H101+H102+H103+H104+H105+H106+H107+H108+H110+H113+H114+H115+H117+H118+H121)+H93+H52+H81+H94+H69+H70+H109+H74+H75+H76+H92+H111+H53+H54+H71+H72+H63+H64+H65+H66+H83</f>
        <v>100081125.64999999</v>
      </c>
      <c r="I39" s="71">
        <f>SUM(I40+I41+I44+I55+I57+I58+I60+I61+I62+I68+I73+I77+I78+I79+I80+I85+I86+I87+I88+I89+I91+I98+I99+I100+I101+I102+I103+I104+I105+I106+I107+I108+I110+I113+I114+I115+I117+I118+I121)+I93+I52+I81+I94+I69+I70+I109+I74+I75+I76+I92+I111+I53+I54+I71+I72+I63+I64+I65+I66+I83</f>
        <v>55845221.97</v>
      </c>
      <c r="J39" s="71">
        <f>SUM(J40+J41+J44+J55+J57+J58+J60+J61+J62+J68+J73+J77+J78+J79+J80+J85+J86+J87+J88+J89+J91+J98+J99+J100+J101+J102+J103+J104+J105+J106+J107+J108+J110+J113+J114+J115+J117+J118+J121)+J93+J52+J81+J94+J69+J70+J109+J74+J75+J76+J92+J111+J53+J54+J71+J72+J63+J64+J65+J66+J83</f>
        <v>54845221.97</v>
      </c>
      <c r="K39" s="269"/>
      <c r="L39" s="269"/>
      <c r="M39" s="269"/>
      <c r="N39" s="260"/>
      <c r="O39" s="260"/>
      <c r="P39" s="125"/>
    </row>
    <row r="40" spans="1:16" s="15" customFormat="1" ht="99.75" customHeight="1">
      <c r="A40" s="8" t="s">
        <v>545</v>
      </c>
      <c r="B40" s="8" t="s">
        <v>410</v>
      </c>
      <c r="C40" s="8" t="s">
        <v>366</v>
      </c>
      <c r="D40" s="9" t="s">
        <v>50</v>
      </c>
      <c r="E40" s="24" t="s">
        <v>649</v>
      </c>
      <c r="F40" s="24" t="s">
        <v>592</v>
      </c>
      <c r="G40" s="11">
        <f>SUM(H40+I40)</f>
        <v>991356</v>
      </c>
      <c r="H40" s="17">
        <f>748700+29656+49000+49000+49000+66000</f>
        <v>991356</v>
      </c>
      <c r="I40" s="12">
        <v>0</v>
      </c>
      <c r="J40" s="12">
        <v>0</v>
      </c>
      <c r="K40" s="247"/>
      <c r="L40" s="248"/>
      <c r="M40" s="247"/>
      <c r="N40" s="259"/>
      <c r="O40" s="259"/>
      <c r="P40" s="128"/>
    </row>
    <row r="41" spans="1:16" s="15" customFormat="1" ht="54.75" customHeight="1">
      <c r="A41" s="8" t="s">
        <v>505</v>
      </c>
      <c r="B41" s="59">
        <v>1010</v>
      </c>
      <c r="C41" s="7" t="s">
        <v>371</v>
      </c>
      <c r="D41" s="9" t="s">
        <v>91</v>
      </c>
      <c r="E41" s="371" t="s">
        <v>47</v>
      </c>
      <c r="F41" s="61" t="s">
        <v>631</v>
      </c>
      <c r="G41" s="11">
        <f>SUM(H41+I41)</f>
        <v>18948342.75</v>
      </c>
      <c r="H41" s="12">
        <f>2594100-37700+8346145+51354+257520.91+15000+55800+17000+38500+3839450+274234+399800+92922.6-602200+54600+20000+25000+94316.24-28000+1668000+1670600</f>
        <v>18846442.75</v>
      </c>
      <c r="I41" s="12">
        <f>37000+36900+28000</f>
        <v>101900</v>
      </c>
      <c r="J41" s="57">
        <f>37000+36900+28000</f>
        <v>101900</v>
      </c>
      <c r="K41" s="247"/>
      <c r="L41" s="247"/>
      <c r="M41" s="270"/>
      <c r="N41" s="259"/>
      <c r="O41" s="259"/>
      <c r="P41" s="128"/>
    </row>
    <row r="42" spans="1:16" s="77" customFormat="1" ht="100.5" customHeight="1">
      <c r="A42" s="137"/>
      <c r="B42" s="76"/>
      <c r="C42" s="76"/>
      <c r="D42" s="72" t="s">
        <v>245</v>
      </c>
      <c r="E42" s="413"/>
      <c r="F42" s="209"/>
      <c r="G42" s="73">
        <f aca="true" t="shared" si="1" ref="G42:G77">SUM(H42+I42)</f>
        <v>60000</v>
      </c>
      <c r="H42" s="74">
        <f>15000+20000+25000</f>
        <v>60000</v>
      </c>
      <c r="I42" s="74">
        <v>0</v>
      </c>
      <c r="J42" s="75">
        <v>0</v>
      </c>
      <c r="K42" s="271"/>
      <c r="L42" s="272"/>
      <c r="M42" s="271"/>
      <c r="N42" s="273"/>
      <c r="O42" s="273"/>
      <c r="P42" s="274"/>
    </row>
    <row r="43" spans="1:16" s="15" customFormat="1" ht="84" customHeight="1" hidden="1">
      <c r="A43" s="8"/>
      <c r="B43" s="7"/>
      <c r="C43" s="7"/>
      <c r="D43" s="72" t="s">
        <v>140</v>
      </c>
      <c r="E43" s="413"/>
      <c r="F43" s="61"/>
      <c r="G43" s="73">
        <f t="shared" si="1"/>
        <v>0</v>
      </c>
      <c r="H43" s="74"/>
      <c r="I43" s="74"/>
      <c r="J43" s="75"/>
      <c r="K43" s="247"/>
      <c r="L43" s="248"/>
      <c r="M43" s="247"/>
      <c r="N43" s="259"/>
      <c r="O43" s="259"/>
      <c r="P43" s="128"/>
    </row>
    <row r="44" spans="1:16" s="15" customFormat="1" ht="73.5" customHeight="1">
      <c r="A44" s="7" t="s">
        <v>20</v>
      </c>
      <c r="B44" s="8" t="s">
        <v>21</v>
      </c>
      <c r="C44" s="7" t="s">
        <v>372</v>
      </c>
      <c r="D44" s="134" t="s">
        <v>22</v>
      </c>
      <c r="E44" s="413"/>
      <c r="F44" s="61" t="s">
        <v>631</v>
      </c>
      <c r="G44" s="11">
        <f t="shared" si="1"/>
        <v>21609509.49</v>
      </c>
      <c r="H44" s="12">
        <f>2899600+40000-750000+9141639+1109735+10000+91695.52+109100+89546.24+54236.36+63416.12+238497+45231.6+1682550+213999-799900-138800-238997+57498+19647.88+21096+50519+12000+87751.77+189013+36000+378000+1835000-30000+50000+17629+40000+2690800+372890-299289</f>
        <v>19390104.49</v>
      </c>
      <c r="I44" s="12">
        <f>3000000+81000+173370-261000-378000-549000+153035</f>
        <v>2219405</v>
      </c>
      <c r="J44" s="12">
        <f>3000000+81000+173370-261000-378000-549000+153035</f>
        <v>2219405</v>
      </c>
      <c r="K44" s="247"/>
      <c r="L44" s="248"/>
      <c r="M44" s="270"/>
      <c r="N44" s="259"/>
      <c r="O44" s="259"/>
      <c r="P44" s="128"/>
    </row>
    <row r="45" spans="1:16" s="77" customFormat="1" ht="86.25" customHeight="1" hidden="1">
      <c r="A45" s="76"/>
      <c r="B45" s="76"/>
      <c r="C45" s="76"/>
      <c r="D45" s="72" t="s">
        <v>337</v>
      </c>
      <c r="E45" s="413"/>
      <c r="F45" s="191" t="s">
        <v>6</v>
      </c>
      <c r="G45" s="73">
        <f t="shared" si="1"/>
        <v>0</v>
      </c>
      <c r="H45" s="74"/>
      <c r="I45" s="74"/>
      <c r="J45" s="74"/>
      <c r="K45" s="271"/>
      <c r="L45" s="272"/>
      <c r="M45" s="271"/>
      <c r="N45" s="259"/>
      <c r="O45" s="259"/>
      <c r="P45" s="274"/>
    </row>
    <row r="46" spans="1:16" s="80" customFormat="1" ht="99.75" customHeight="1" hidden="1">
      <c r="A46" s="192"/>
      <c r="B46" s="192"/>
      <c r="C46" s="192"/>
      <c r="D46" s="78" t="s">
        <v>332</v>
      </c>
      <c r="E46" s="413"/>
      <c r="F46" s="191" t="s">
        <v>55</v>
      </c>
      <c r="G46" s="73">
        <f t="shared" si="1"/>
        <v>0</v>
      </c>
      <c r="H46" s="79"/>
      <c r="I46" s="79"/>
      <c r="J46" s="79"/>
      <c r="K46" s="275"/>
      <c r="L46" s="276"/>
      <c r="M46" s="275"/>
      <c r="N46" s="277"/>
      <c r="O46" s="277"/>
      <c r="P46" s="278"/>
    </row>
    <row r="47" spans="1:16" s="80" customFormat="1" ht="56.25" customHeight="1" hidden="1">
      <c r="A47" s="192"/>
      <c r="B47" s="192"/>
      <c r="C47" s="192"/>
      <c r="D47" s="78" t="s">
        <v>450</v>
      </c>
      <c r="E47" s="413"/>
      <c r="F47" s="191" t="s">
        <v>55</v>
      </c>
      <c r="G47" s="73">
        <f t="shared" si="1"/>
        <v>0</v>
      </c>
      <c r="H47" s="79"/>
      <c r="I47" s="79"/>
      <c r="J47" s="79"/>
      <c r="K47" s="275"/>
      <c r="L47" s="276"/>
      <c r="M47" s="275"/>
      <c r="N47" s="277"/>
      <c r="O47" s="277"/>
      <c r="P47" s="278"/>
    </row>
    <row r="48" spans="1:16" s="80" customFormat="1" ht="132" customHeight="1" hidden="1">
      <c r="A48" s="192"/>
      <c r="B48" s="192"/>
      <c r="C48" s="192"/>
      <c r="D48" s="78" t="s">
        <v>338</v>
      </c>
      <c r="E48" s="413"/>
      <c r="F48" s="191" t="s">
        <v>55</v>
      </c>
      <c r="G48" s="73">
        <f t="shared" si="1"/>
        <v>0</v>
      </c>
      <c r="H48" s="79">
        <v>0</v>
      </c>
      <c r="I48" s="79"/>
      <c r="J48" s="79"/>
      <c r="K48" s="275"/>
      <c r="L48" s="276"/>
      <c r="M48" s="275"/>
      <c r="N48" s="277"/>
      <c r="O48" s="277"/>
      <c r="P48" s="278"/>
    </row>
    <row r="49" spans="1:16" s="80" customFormat="1" ht="119.25" customHeight="1" hidden="1">
      <c r="A49" s="192"/>
      <c r="B49" s="192"/>
      <c r="C49" s="192"/>
      <c r="D49" s="78" t="s">
        <v>89</v>
      </c>
      <c r="E49" s="413"/>
      <c r="F49" s="191" t="s">
        <v>55</v>
      </c>
      <c r="G49" s="73">
        <f t="shared" si="1"/>
        <v>0</v>
      </c>
      <c r="H49" s="79"/>
      <c r="I49" s="79"/>
      <c r="J49" s="79"/>
      <c r="K49" s="275"/>
      <c r="L49" s="276"/>
      <c r="M49" s="275"/>
      <c r="N49" s="277"/>
      <c r="O49" s="277"/>
      <c r="P49" s="278"/>
    </row>
    <row r="50" spans="1:16" s="80" customFormat="1" ht="99.75" customHeight="1" hidden="1">
      <c r="A50" s="192"/>
      <c r="B50" s="192"/>
      <c r="C50" s="192"/>
      <c r="D50" s="78" t="s">
        <v>140</v>
      </c>
      <c r="E50" s="413"/>
      <c r="F50" s="191" t="s">
        <v>55</v>
      </c>
      <c r="G50" s="73">
        <f t="shared" si="1"/>
        <v>0</v>
      </c>
      <c r="H50" s="79"/>
      <c r="I50" s="79"/>
      <c r="J50" s="79"/>
      <c r="K50" s="275"/>
      <c r="L50" s="276"/>
      <c r="M50" s="275"/>
      <c r="N50" s="277"/>
      <c r="O50" s="277"/>
      <c r="P50" s="278"/>
    </row>
    <row r="51" spans="1:16" s="152" customFormat="1" ht="99.75" customHeight="1">
      <c r="A51" s="100"/>
      <c r="B51" s="100"/>
      <c r="C51" s="100"/>
      <c r="D51" s="78" t="s">
        <v>245</v>
      </c>
      <c r="E51" s="413"/>
      <c r="F51" s="143"/>
      <c r="G51" s="73">
        <f t="shared" si="1"/>
        <v>49276.880000000005</v>
      </c>
      <c r="H51" s="79">
        <f>19647.88+12000+17629</f>
        <v>49276.880000000005</v>
      </c>
      <c r="I51" s="79">
        <f>0</f>
        <v>0</v>
      </c>
      <c r="J51" s="79">
        <f>0</f>
        <v>0</v>
      </c>
      <c r="K51" s="275"/>
      <c r="L51" s="276"/>
      <c r="M51" s="275"/>
      <c r="N51" s="279"/>
      <c r="O51" s="279"/>
      <c r="P51" s="276"/>
    </row>
    <row r="52" spans="1:16" s="80" customFormat="1" ht="136.5">
      <c r="A52" s="25" t="s">
        <v>23</v>
      </c>
      <c r="B52" s="25" t="s">
        <v>24</v>
      </c>
      <c r="C52" s="25" t="s">
        <v>152</v>
      </c>
      <c r="D52" s="26" t="s">
        <v>153</v>
      </c>
      <c r="E52" s="413"/>
      <c r="F52" s="61" t="s">
        <v>631</v>
      </c>
      <c r="G52" s="11">
        <f t="shared" si="1"/>
        <v>1926599</v>
      </c>
      <c r="H52" s="13">
        <f>800000-800000+1912799+13800</f>
        <v>1926599</v>
      </c>
      <c r="I52" s="13">
        <v>0</v>
      </c>
      <c r="J52" s="13">
        <v>0</v>
      </c>
      <c r="K52" s="275"/>
      <c r="L52" s="276"/>
      <c r="M52" s="270"/>
      <c r="N52" s="277"/>
      <c r="O52" s="277"/>
      <c r="P52" s="278"/>
    </row>
    <row r="53" spans="1:16" s="80" customFormat="1" ht="73.5" customHeight="1">
      <c r="A53" s="25" t="s">
        <v>540</v>
      </c>
      <c r="B53" s="25" t="s">
        <v>542</v>
      </c>
      <c r="C53" s="25" t="s">
        <v>372</v>
      </c>
      <c r="D53" s="26" t="s">
        <v>22</v>
      </c>
      <c r="E53" s="371" t="s">
        <v>47</v>
      </c>
      <c r="F53" s="61" t="s">
        <v>631</v>
      </c>
      <c r="G53" s="11">
        <f t="shared" si="1"/>
        <v>1687022.82</v>
      </c>
      <c r="H53" s="13">
        <f>1680000+7022.82</f>
        <v>1687022.82</v>
      </c>
      <c r="I53" s="13">
        <v>0</v>
      </c>
      <c r="J53" s="13">
        <v>0</v>
      </c>
      <c r="K53" s="275"/>
      <c r="L53" s="276"/>
      <c r="M53" s="270"/>
      <c r="N53" s="277"/>
      <c r="O53" s="277"/>
      <c r="P53" s="278"/>
    </row>
    <row r="54" spans="1:16" s="80" customFormat="1" ht="136.5">
      <c r="A54" s="25" t="s">
        <v>541</v>
      </c>
      <c r="B54" s="25" t="s">
        <v>543</v>
      </c>
      <c r="C54" s="25" t="s">
        <v>152</v>
      </c>
      <c r="D54" s="26" t="s">
        <v>153</v>
      </c>
      <c r="E54" s="413"/>
      <c r="F54" s="61" t="s">
        <v>631</v>
      </c>
      <c r="G54" s="11">
        <f t="shared" si="1"/>
        <v>410821.44</v>
      </c>
      <c r="H54" s="13">
        <f>417844.26-7022.82</f>
        <v>410821.44</v>
      </c>
      <c r="I54" s="13">
        <v>0</v>
      </c>
      <c r="J54" s="13">
        <v>0</v>
      </c>
      <c r="K54" s="275"/>
      <c r="L54" s="276"/>
      <c r="M54" s="270"/>
      <c r="N54" s="277"/>
      <c r="O54" s="277"/>
      <c r="P54" s="278"/>
    </row>
    <row r="55" spans="1:16" s="14" customFormat="1" ht="99" customHeight="1">
      <c r="A55" s="30" t="s">
        <v>618</v>
      </c>
      <c r="B55" s="25" t="s">
        <v>65</v>
      </c>
      <c r="C55" s="30" t="s">
        <v>373</v>
      </c>
      <c r="D55" s="26" t="s">
        <v>600</v>
      </c>
      <c r="E55" s="413"/>
      <c r="F55" s="61" t="s">
        <v>631</v>
      </c>
      <c r="G55" s="11">
        <f t="shared" si="1"/>
        <v>326686.32</v>
      </c>
      <c r="H55" s="13">
        <f>399800+3000+3000+49830-199900+30000+40956.32</f>
        <v>326686.32</v>
      </c>
      <c r="I55" s="13">
        <v>0</v>
      </c>
      <c r="J55" s="13">
        <v>0</v>
      </c>
      <c r="K55" s="244"/>
      <c r="L55" s="249"/>
      <c r="M55" s="270"/>
      <c r="N55" s="277"/>
      <c r="O55" s="277"/>
      <c r="P55" s="129"/>
    </row>
    <row r="56" spans="1:16" s="14" customFormat="1" ht="79.5" customHeight="1" hidden="1">
      <c r="A56" s="30"/>
      <c r="B56" s="30"/>
      <c r="C56" s="30"/>
      <c r="D56" s="78" t="s">
        <v>140</v>
      </c>
      <c r="E56" s="413"/>
      <c r="F56" s="61"/>
      <c r="G56" s="73">
        <f t="shared" si="1"/>
        <v>0</v>
      </c>
      <c r="H56" s="79"/>
      <c r="I56" s="79">
        <f>0</f>
        <v>0</v>
      </c>
      <c r="J56" s="79">
        <f>0</f>
        <v>0</v>
      </c>
      <c r="K56" s="244"/>
      <c r="L56" s="249"/>
      <c r="M56" s="244"/>
      <c r="N56" s="277"/>
      <c r="O56" s="277"/>
      <c r="P56" s="129"/>
    </row>
    <row r="57" spans="1:16" s="14" customFormat="1" ht="55.5" customHeight="1">
      <c r="A57" s="25" t="s">
        <v>29</v>
      </c>
      <c r="B57" s="25" t="s">
        <v>30</v>
      </c>
      <c r="C57" s="25" t="s">
        <v>374</v>
      </c>
      <c r="D57" s="26" t="s">
        <v>265</v>
      </c>
      <c r="E57" s="413"/>
      <c r="F57" s="61" t="s">
        <v>631</v>
      </c>
      <c r="G57" s="11">
        <f t="shared" si="1"/>
        <v>676464</v>
      </c>
      <c r="H57" s="13">
        <f>785800+49593-110997-29832-18100</f>
        <v>676464</v>
      </c>
      <c r="I57" s="13">
        <v>0</v>
      </c>
      <c r="J57" s="13">
        <v>0</v>
      </c>
      <c r="K57" s="244"/>
      <c r="L57" s="249"/>
      <c r="M57" s="270"/>
      <c r="N57" s="277"/>
      <c r="O57" s="277"/>
      <c r="P57" s="129"/>
    </row>
    <row r="58" spans="1:16" s="15" customFormat="1" ht="77.25" customHeight="1" hidden="1">
      <c r="A58" s="8" t="s">
        <v>333</v>
      </c>
      <c r="B58" s="8" t="s">
        <v>334</v>
      </c>
      <c r="C58" s="8" t="s">
        <v>374</v>
      </c>
      <c r="D58" s="9" t="s">
        <v>335</v>
      </c>
      <c r="E58" s="413"/>
      <c r="F58" s="61" t="s">
        <v>55</v>
      </c>
      <c r="G58" s="11">
        <f t="shared" si="1"/>
        <v>0</v>
      </c>
      <c r="H58" s="12"/>
      <c r="I58" s="12">
        <f>1689800-1689800</f>
        <v>0</v>
      </c>
      <c r="J58" s="57">
        <f>1689800-1689800</f>
        <v>0</v>
      </c>
      <c r="K58" s="247"/>
      <c r="L58" s="248"/>
      <c r="M58" s="247"/>
      <c r="N58" s="259"/>
      <c r="O58" s="259"/>
      <c r="P58" s="128"/>
    </row>
    <row r="59" spans="1:16" s="15" customFormat="1" ht="126" customHeight="1" hidden="1">
      <c r="A59" s="8"/>
      <c r="B59" s="8"/>
      <c r="C59" s="8"/>
      <c r="D59" s="72" t="s">
        <v>451</v>
      </c>
      <c r="E59" s="413"/>
      <c r="F59" s="61" t="s">
        <v>55</v>
      </c>
      <c r="G59" s="73">
        <f t="shared" si="1"/>
        <v>0</v>
      </c>
      <c r="H59" s="74"/>
      <c r="I59" s="74"/>
      <c r="J59" s="75"/>
      <c r="K59" s="247"/>
      <c r="L59" s="248"/>
      <c r="M59" s="247"/>
      <c r="N59" s="259"/>
      <c r="O59" s="259"/>
      <c r="P59" s="128"/>
    </row>
    <row r="60" spans="1:16" s="15" customFormat="1" ht="132" customHeight="1" hidden="1">
      <c r="A60" s="7" t="s">
        <v>526</v>
      </c>
      <c r="B60" s="7">
        <v>1090</v>
      </c>
      <c r="C60" s="7" t="s">
        <v>373</v>
      </c>
      <c r="D60" s="9" t="s">
        <v>527</v>
      </c>
      <c r="E60" s="413"/>
      <c r="F60" s="65" t="s">
        <v>3</v>
      </c>
      <c r="G60" s="11">
        <f t="shared" si="1"/>
        <v>0</v>
      </c>
      <c r="H60" s="12"/>
      <c r="I60" s="12"/>
      <c r="J60" s="57"/>
      <c r="K60" s="247"/>
      <c r="L60" s="248"/>
      <c r="M60" s="247"/>
      <c r="N60" s="259"/>
      <c r="O60" s="259"/>
      <c r="P60" s="128"/>
    </row>
    <row r="61" spans="1:16" s="15" customFormat="1" ht="231" customHeight="1" hidden="1">
      <c r="A61" s="7" t="s">
        <v>506</v>
      </c>
      <c r="B61" s="7">
        <v>1020</v>
      </c>
      <c r="C61" s="7" t="s">
        <v>372</v>
      </c>
      <c r="D61" s="9" t="s">
        <v>508</v>
      </c>
      <c r="E61" s="413"/>
      <c r="F61" s="65" t="s">
        <v>3</v>
      </c>
      <c r="G61" s="11">
        <f t="shared" si="1"/>
        <v>0</v>
      </c>
      <c r="H61" s="12"/>
      <c r="I61" s="12"/>
      <c r="J61" s="12"/>
      <c r="K61" s="247"/>
      <c r="L61" s="248"/>
      <c r="M61" s="247"/>
      <c r="N61" s="259"/>
      <c r="O61" s="259"/>
      <c r="P61" s="128"/>
    </row>
    <row r="62" spans="1:16" s="15" customFormat="1" ht="57.75" customHeight="1">
      <c r="A62" s="8" t="s">
        <v>27</v>
      </c>
      <c r="B62" s="8" t="s">
        <v>28</v>
      </c>
      <c r="C62" s="8" t="s">
        <v>374</v>
      </c>
      <c r="D62" s="9" t="s">
        <v>335</v>
      </c>
      <c r="E62" s="413"/>
      <c r="F62" s="61" t="s">
        <v>631</v>
      </c>
      <c r="G62" s="11">
        <f t="shared" si="1"/>
        <v>308119.36</v>
      </c>
      <c r="H62" s="12">
        <f>199900+22896+85323.36</f>
        <v>308119.36</v>
      </c>
      <c r="I62" s="12">
        <v>0</v>
      </c>
      <c r="J62" s="12">
        <v>0</v>
      </c>
      <c r="K62" s="247"/>
      <c r="L62" s="248"/>
      <c r="M62" s="270"/>
      <c r="N62" s="259"/>
      <c r="O62" s="259"/>
      <c r="P62" s="128"/>
    </row>
    <row r="63" spans="1:16" s="15" customFormat="1" ht="165.75" customHeight="1">
      <c r="A63" s="8" t="s">
        <v>512</v>
      </c>
      <c r="B63" s="8" t="s">
        <v>515</v>
      </c>
      <c r="C63" s="8" t="s">
        <v>374</v>
      </c>
      <c r="D63" s="9" t="s">
        <v>518</v>
      </c>
      <c r="E63" s="413"/>
      <c r="F63" s="61" t="s">
        <v>631</v>
      </c>
      <c r="G63" s="11">
        <f t="shared" si="1"/>
        <v>1593805</v>
      </c>
      <c r="H63" s="12">
        <f>1593805</f>
        <v>1593805</v>
      </c>
      <c r="I63" s="12">
        <v>0</v>
      </c>
      <c r="J63" s="12">
        <v>0</v>
      </c>
      <c r="K63" s="247"/>
      <c r="L63" s="248"/>
      <c r="M63" s="270"/>
      <c r="N63" s="259"/>
      <c r="O63" s="259"/>
      <c r="P63" s="128"/>
    </row>
    <row r="64" spans="1:16" s="15" customFormat="1" ht="174" customHeight="1">
      <c r="A64" s="8" t="s">
        <v>513</v>
      </c>
      <c r="B64" s="8" t="s">
        <v>516</v>
      </c>
      <c r="C64" s="8" t="s">
        <v>374</v>
      </c>
      <c r="D64" s="134" t="s">
        <v>80</v>
      </c>
      <c r="E64" s="413"/>
      <c r="F64" s="61" t="s">
        <v>631</v>
      </c>
      <c r="G64" s="11">
        <f t="shared" si="1"/>
        <v>3989304</v>
      </c>
      <c r="H64" s="12">
        <f>3989304</f>
        <v>3989304</v>
      </c>
      <c r="I64" s="12">
        <v>0</v>
      </c>
      <c r="J64" s="12">
        <v>0</v>
      </c>
      <c r="K64" s="247"/>
      <c r="L64" s="248"/>
      <c r="M64" s="270"/>
      <c r="N64" s="259"/>
      <c r="O64" s="259"/>
      <c r="P64" s="128"/>
    </row>
    <row r="65" spans="1:16" s="15" customFormat="1" ht="145.5" customHeight="1">
      <c r="A65" s="8" t="s">
        <v>514</v>
      </c>
      <c r="B65" s="8" t="s">
        <v>517</v>
      </c>
      <c r="C65" s="8" t="s">
        <v>374</v>
      </c>
      <c r="D65" s="208" t="s">
        <v>519</v>
      </c>
      <c r="E65" s="413"/>
      <c r="F65" s="61" t="s">
        <v>631</v>
      </c>
      <c r="G65" s="11">
        <f t="shared" si="1"/>
        <v>183333</v>
      </c>
      <c r="H65" s="12">
        <f>183333-49900</f>
        <v>133433</v>
      </c>
      <c r="I65" s="12">
        <f>49900</f>
        <v>49900</v>
      </c>
      <c r="J65" s="12">
        <f>49900</f>
        <v>49900</v>
      </c>
      <c r="K65" s="247"/>
      <c r="L65" s="248"/>
      <c r="M65" s="270"/>
      <c r="N65" s="259"/>
      <c r="O65" s="259"/>
      <c r="P65" s="128"/>
    </row>
    <row r="66" spans="1:16" s="15" customFormat="1" ht="62.25" customHeight="1">
      <c r="A66" s="8" t="s">
        <v>521</v>
      </c>
      <c r="B66" s="8" t="s">
        <v>522</v>
      </c>
      <c r="C66" s="8" t="s">
        <v>410</v>
      </c>
      <c r="D66" s="9" t="s">
        <v>523</v>
      </c>
      <c r="E66" s="413"/>
      <c r="F66" s="61" t="s">
        <v>631</v>
      </c>
      <c r="G66" s="11">
        <f t="shared" si="1"/>
        <v>1002000</v>
      </c>
      <c r="H66" s="12">
        <v>0</v>
      </c>
      <c r="I66" s="12">
        <f>1002000</f>
        <v>1002000</v>
      </c>
      <c r="J66" s="12">
        <f>1002000</f>
        <v>1002000</v>
      </c>
      <c r="K66" s="247"/>
      <c r="L66" s="248"/>
      <c r="M66" s="270"/>
      <c r="N66" s="259"/>
      <c r="O66" s="259"/>
      <c r="P66" s="128"/>
    </row>
    <row r="67" spans="1:16" s="77" customFormat="1" ht="58.5" customHeight="1">
      <c r="A67" s="137"/>
      <c r="B67" s="137"/>
      <c r="C67" s="137"/>
      <c r="D67" s="112" t="s">
        <v>524</v>
      </c>
      <c r="E67" s="372"/>
      <c r="F67" s="209"/>
      <c r="G67" s="73">
        <f t="shared" si="1"/>
        <v>1002000</v>
      </c>
      <c r="H67" s="74">
        <v>0</v>
      </c>
      <c r="I67" s="74">
        <v>1002000</v>
      </c>
      <c r="J67" s="74">
        <v>1002000</v>
      </c>
      <c r="K67" s="271"/>
      <c r="L67" s="272"/>
      <c r="M67" s="280"/>
      <c r="N67" s="273"/>
      <c r="O67" s="273"/>
      <c r="P67" s="274"/>
    </row>
    <row r="68" spans="1:16" s="15" customFormat="1" ht="68.25" customHeight="1">
      <c r="A68" s="7" t="s">
        <v>20</v>
      </c>
      <c r="B68" s="8" t="s">
        <v>21</v>
      </c>
      <c r="C68" s="7" t="s">
        <v>372</v>
      </c>
      <c r="D68" s="134" t="s">
        <v>22</v>
      </c>
      <c r="E68" s="61" t="s">
        <v>658</v>
      </c>
      <c r="F68" s="61" t="s">
        <v>630</v>
      </c>
      <c r="G68" s="11">
        <f>SUM(H68+I68)</f>
        <v>1504916</v>
      </c>
      <c r="H68" s="12">
        <f>1504916</f>
        <v>1504916</v>
      </c>
      <c r="I68" s="33">
        <v>0</v>
      </c>
      <c r="J68" s="12">
        <v>0</v>
      </c>
      <c r="K68" s="247"/>
      <c r="L68" s="248"/>
      <c r="M68" s="270"/>
      <c r="N68" s="259"/>
      <c r="O68" s="259"/>
      <c r="P68" s="128"/>
    </row>
    <row r="69" spans="1:16" s="15" customFormat="1" ht="83.25" customHeight="1" hidden="1">
      <c r="A69" s="8" t="s">
        <v>505</v>
      </c>
      <c r="B69" s="7">
        <v>1010</v>
      </c>
      <c r="C69" s="7" t="s">
        <v>371</v>
      </c>
      <c r="D69" s="9" t="s">
        <v>91</v>
      </c>
      <c r="E69" s="395" t="s">
        <v>557</v>
      </c>
      <c r="F69" s="393" t="s">
        <v>3</v>
      </c>
      <c r="G69" s="11">
        <f>SUM(H69+I69)</f>
        <v>0</v>
      </c>
      <c r="H69" s="12"/>
      <c r="I69" s="33"/>
      <c r="J69" s="12"/>
      <c r="K69" s="247"/>
      <c r="L69" s="248"/>
      <c r="M69" s="247"/>
      <c r="N69" s="259"/>
      <c r="O69" s="259"/>
      <c r="P69" s="128"/>
    </row>
    <row r="70" spans="1:16" s="15" customFormat="1" ht="158.25" customHeight="1" hidden="1">
      <c r="A70" s="7" t="s">
        <v>506</v>
      </c>
      <c r="B70" s="7">
        <v>1020</v>
      </c>
      <c r="C70" s="7" t="s">
        <v>372</v>
      </c>
      <c r="D70" s="9" t="s">
        <v>599</v>
      </c>
      <c r="E70" s="402"/>
      <c r="F70" s="402"/>
      <c r="G70" s="11">
        <f>SUM(H70+I70)</f>
        <v>0</v>
      </c>
      <c r="H70" s="12"/>
      <c r="I70" s="33"/>
      <c r="J70" s="33"/>
      <c r="K70" s="247"/>
      <c r="L70" s="248"/>
      <c r="M70" s="247"/>
      <c r="N70" s="259"/>
      <c r="O70" s="259"/>
      <c r="P70" s="128"/>
    </row>
    <row r="71" spans="1:16" s="15" customFormat="1" ht="76.5" customHeight="1">
      <c r="A71" s="7" t="s">
        <v>20</v>
      </c>
      <c r="B71" s="8" t="s">
        <v>21</v>
      </c>
      <c r="C71" s="7" t="s">
        <v>372</v>
      </c>
      <c r="D71" s="134" t="s">
        <v>22</v>
      </c>
      <c r="E71" s="395" t="s">
        <v>67</v>
      </c>
      <c r="F71" s="393" t="s">
        <v>3</v>
      </c>
      <c r="G71" s="11">
        <f>SUM(H71+I71)</f>
        <v>775897</v>
      </c>
      <c r="H71" s="12">
        <f>596212+179685</f>
        <v>775897</v>
      </c>
      <c r="I71" s="33">
        <v>0</v>
      </c>
      <c r="J71" s="33">
        <v>0</v>
      </c>
      <c r="K71" s="247"/>
      <c r="L71" s="248"/>
      <c r="M71" s="247"/>
      <c r="N71" s="259"/>
      <c r="O71" s="259"/>
      <c r="P71" s="128"/>
    </row>
    <row r="72" spans="1:16" s="15" customFormat="1" ht="80.25" customHeight="1">
      <c r="A72" s="59" t="s">
        <v>322</v>
      </c>
      <c r="B72" s="8" t="s">
        <v>667</v>
      </c>
      <c r="C72" s="8" t="s">
        <v>326</v>
      </c>
      <c r="D72" s="89" t="s">
        <v>323</v>
      </c>
      <c r="E72" s="395"/>
      <c r="F72" s="393"/>
      <c r="G72" s="11">
        <f>SUM(H72+I72)</f>
        <v>568874.99</v>
      </c>
      <c r="H72" s="12">
        <f>300000</f>
        <v>300000</v>
      </c>
      <c r="I72" s="33">
        <f>274302-5427.01</f>
        <v>268874.99</v>
      </c>
      <c r="J72" s="33">
        <f>274302-5427.01</f>
        <v>268874.99</v>
      </c>
      <c r="K72" s="247"/>
      <c r="L72" s="248"/>
      <c r="M72" s="247"/>
      <c r="N72" s="259"/>
      <c r="O72" s="259"/>
      <c r="P72" s="128"/>
    </row>
    <row r="73" spans="1:16" s="15" customFormat="1" ht="75" customHeight="1">
      <c r="A73" s="7" t="s">
        <v>20</v>
      </c>
      <c r="B73" s="8" t="s">
        <v>21</v>
      </c>
      <c r="C73" s="7" t="s">
        <v>372</v>
      </c>
      <c r="D73" s="134" t="s">
        <v>22</v>
      </c>
      <c r="E73" s="399" t="s">
        <v>606</v>
      </c>
      <c r="F73" s="399" t="s">
        <v>654</v>
      </c>
      <c r="G73" s="11">
        <f t="shared" si="1"/>
        <v>805931</v>
      </c>
      <c r="H73" s="12">
        <f>3691000-2038-2035962-270000+32550-879619</f>
        <v>535931</v>
      </c>
      <c r="I73" s="12">
        <f>270000</f>
        <v>270000</v>
      </c>
      <c r="J73" s="12">
        <f>270000</f>
        <v>270000</v>
      </c>
      <c r="K73" s="247"/>
      <c r="L73" s="247"/>
      <c r="M73" s="270"/>
      <c r="N73" s="259"/>
      <c r="O73" s="267"/>
      <c r="P73" s="128"/>
    </row>
    <row r="74" spans="1:16" s="15" customFormat="1" ht="118.5" customHeight="1">
      <c r="A74" s="25" t="s">
        <v>23</v>
      </c>
      <c r="B74" s="25" t="s">
        <v>24</v>
      </c>
      <c r="C74" s="25" t="s">
        <v>152</v>
      </c>
      <c r="D74" s="26" t="s">
        <v>153</v>
      </c>
      <c r="E74" s="399"/>
      <c r="F74" s="399"/>
      <c r="G74" s="11">
        <f t="shared" si="1"/>
        <v>99898</v>
      </c>
      <c r="H74" s="12">
        <f>130000-30102</f>
        <v>99898</v>
      </c>
      <c r="I74" s="12">
        <v>0</v>
      </c>
      <c r="J74" s="12">
        <v>0</v>
      </c>
      <c r="K74" s="247"/>
      <c r="L74" s="247"/>
      <c r="M74" s="270"/>
      <c r="N74" s="259"/>
      <c r="O74" s="267"/>
      <c r="P74" s="128"/>
    </row>
    <row r="75" spans="1:16" s="15" customFormat="1" ht="99" customHeight="1">
      <c r="A75" s="30" t="s">
        <v>618</v>
      </c>
      <c r="B75" s="25" t="s">
        <v>65</v>
      </c>
      <c r="C75" s="30" t="s">
        <v>373</v>
      </c>
      <c r="D75" s="26" t="s">
        <v>600</v>
      </c>
      <c r="E75" s="399"/>
      <c r="F75" s="399"/>
      <c r="G75" s="11">
        <f t="shared" si="1"/>
        <v>98484</v>
      </c>
      <c r="H75" s="12">
        <f>100000-1516</f>
        <v>98484</v>
      </c>
      <c r="I75" s="12">
        <v>0</v>
      </c>
      <c r="J75" s="12">
        <v>0</v>
      </c>
      <c r="K75" s="247"/>
      <c r="L75" s="247"/>
      <c r="M75" s="270"/>
      <c r="N75" s="259"/>
      <c r="O75" s="267"/>
      <c r="P75" s="128"/>
    </row>
    <row r="76" spans="1:16" s="15" customFormat="1" ht="62.25" customHeight="1">
      <c r="A76" s="8" t="s">
        <v>25</v>
      </c>
      <c r="B76" s="8" t="s">
        <v>26</v>
      </c>
      <c r="C76" s="8" t="s">
        <v>373</v>
      </c>
      <c r="D76" s="9" t="s">
        <v>139</v>
      </c>
      <c r="E76" s="399"/>
      <c r="F76" s="399"/>
      <c r="G76" s="11">
        <f t="shared" si="1"/>
        <v>51000</v>
      </c>
      <c r="H76" s="12">
        <f>51000</f>
        <v>51000</v>
      </c>
      <c r="I76" s="12">
        <v>0</v>
      </c>
      <c r="J76" s="12">
        <v>0</v>
      </c>
      <c r="K76" s="247"/>
      <c r="L76" s="247"/>
      <c r="M76" s="270"/>
      <c r="N76" s="259"/>
      <c r="O76" s="259"/>
      <c r="P76" s="128"/>
    </row>
    <row r="77" spans="1:16" s="15" customFormat="1" ht="41.25" customHeight="1">
      <c r="A77" s="8" t="s">
        <v>505</v>
      </c>
      <c r="B77" s="59">
        <v>1010</v>
      </c>
      <c r="C77" s="7" t="s">
        <v>371</v>
      </c>
      <c r="D77" s="9" t="s">
        <v>507</v>
      </c>
      <c r="E77" s="399"/>
      <c r="F77" s="399"/>
      <c r="G77" s="11">
        <f t="shared" si="1"/>
        <v>596909</v>
      </c>
      <c r="H77" s="12">
        <f>460000+58967+77942</f>
        <v>596909</v>
      </c>
      <c r="I77" s="12">
        <v>0</v>
      </c>
      <c r="J77" s="12">
        <v>0</v>
      </c>
      <c r="K77" s="247"/>
      <c r="L77" s="248"/>
      <c r="M77" s="270"/>
      <c r="N77" s="259"/>
      <c r="O77" s="259"/>
      <c r="P77" s="128"/>
    </row>
    <row r="78" spans="1:16" s="83" customFormat="1" ht="144" customHeight="1" hidden="1">
      <c r="A78" s="25" t="s">
        <v>465</v>
      </c>
      <c r="B78" s="25" t="s">
        <v>466</v>
      </c>
      <c r="C78" s="30" t="s">
        <v>375</v>
      </c>
      <c r="D78" s="82" t="s">
        <v>426</v>
      </c>
      <c r="E78" s="42" t="s">
        <v>71</v>
      </c>
      <c r="F78" s="42" t="s">
        <v>454</v>
      </c>
      <c r="G78" s="40">
        <f aca="true" t="shared" si="2" ref="G78:G85">H78+I78</f>
        <v>0</v>
      </c>
      <c r="H78" s="41"/>
      <c r="I78" s="13"/>
      <c r="J78" s="13"/>
      <c r="K78" s="244"/>
      <c r="L78" s="281"/>
      <c r="M78" s="244"/>
      <c r="N78" s="277"/>
      <c r="O78" s="277"/>
      <c r="P78" s="282"/>
    </row>
    <row r="79" spans="1:16" s="15" customFormat="1" ht="171.75" customHeight="1">
      <c r="A79" s="8" t="s">
        <v>467</v>
      </c>
      <c r="B79" s="8" t="s">
        <v>468</v>
      </c>
      <c r="C79" s="7" t="s">
        <v>375</v>
      </c>
      <c r="D79" s="84" t="s">
        <v>427</v>
      </c>
      <c r="E79" s="97" t="s">
        <v>47</v>
      </c>
      <c r="F79" s="61" t="s">
        <v>631</v>
      </c>
      <c r="G79" s="40">
        <f t="shared" si="2"/>
        <v>6636551.47</v>
      </c>
      <c r="H79" s="17">
        <f>6049540-36000-376988.53</f>
        <v>5636551.47</v>
      </c>
      <c r="I79" s="12">
        <v>1000000</v>
      </c>
      <c r="J79" s="12">
        <v>0</v>
      </c>
      <c r="K79" s="247"/>
      <c r="L79" s="248"/>
      <c r="M79" s="270"/>
      <c r="N79" s="259"/>
      <c r="O79" s="259"/>
      <c r="P79" s="128"/>
    </row>
    <row r="80" spans="1:16" s="83" customFormat="1" ht="120.75" customHeight="1" hidden="1">
      <c r="A80" s="30" t="s">
        <v>259</v>
      </c>
      <c r="B80" s="25" t="s">
        <v>257</v>
      </c>
      <c r="C80" s="30">
        <v>1090</v>
      </c>
      <c r="D80" s="82" t="s">
        <v>258</v>
      </c>
      <c r="E80" s="42" t="s">
        <v>72</v>
      </c>
      <c r="F80" s="42" t="s">
        <v>453</v>
      </c>
      <c r="G80" s="40">
        <f t="shared" si="2"/>
        <v>0</v>
      </c>
      <c r="H80" s="17"/>
      <c r="I80" s="13"/>
      <c r="J80" s="13"/>
      <c r="K80" s="244"/>
      <c r="L80" s="281"/>
      <c r="M80" s="244"/>
      <c r="N80" s="277"/>
      <c r="O80" s="277"/>
      <c r="P80" s="282"/>
    </row>
    <row r="81" spans="1:16" s="83" customFormat="1" ht="54" customHeight="1">
      <c r="A81" s="25" t="s">
        <v>25</v>
      </c>
      <c r="B81" s="25" t="s">
        <v>26</v>
      </c>
      <c r="C81" s="25" t="s">
        <v>373</v>
      </c>
      <c r="D81" s="26" t="s">
        <v>139</v>
      </c>
      <c r="E81" s="428" t="s">
        <v>621</v>
      </c>
      <c r="F81" s="428" t="s">
        <v>620</v>
      </c>
      <c r="G81" s="40">
        <f t="shared" si="2"/>
        <v>489410</v>
      </c>
      <c r="H81" s="17">
        <f>399800+199000-199900+23890+29620</f>
        <v>452410</v>
      </c>
      <c r="I81" s="13">
        <f>37000</f>
        <v>37000</v>
      </c>
      <c r="J81" s="13">
        <f>37000</f>
        <v>37000</v>
      </c>
      <c r="K81" s="244"/>
      <c r="L81" s="281"/>
      <c r="M81" s="244"/>
      <c r="N81" s="277"/>
      <c r="O81" s="277"/>
      <c r="P81" s="282"/>
    </row>
    <row r="82" spans="1:16" s="83" customFormat="1" ht="105.75" customHeight="1" hidden="1">
      <c r="A82" s="25"/>
      <c r="B82" s="25"/>
      <c r="C82" s="25"/>
      <c r="D82" s="78" t="s">
        <v>140</v>
      </c>
      <c r="E82" s="429"/>
      <c r="F82" s="429"/>
      <c r="G82" s="40">
        <f t="shared" si="2"/>
        <v>0</v>
      </c>
      <c r="H82" s="87"/>
      <c r="I82" s="79"/>
      <c r="J82" s="88"/>
      <c r="K82" s="244"/>
      <c r="L82" s="281"/>
      <c r="M82" s="244"/>
      <c r="N82" s="277"/>
      <c r="O82" s="277"/>
      <c r="P82" s="282"/>
    </row>
    <row r="83" spans="1:16" s="83" customFormat="1" ht="39.75" customHeight="1">
      <c r="A83" s="25" t="s">
        <v>664</v>
      </c>
      <c r="B83" s="25" t="s">
        <v>665</v>
      </c>
      <c r="C83" s="59" t="s">
        <v>666</v>
      </c>
      <c r="D83" s="89" t="s">
        <v>672</v>
      </c>
      <c r="E83" s="429"/>
      <c r="F83" s="429"/>
      <c r="G83" s="40">
        <f t="shared" si="2"/>
        <v>37311126</v>
      </c>
      <c r="H83" s="17">
        <f>H84+32016332+1800000+3474100</f>
        <v>37311126</v>
      </c>
      <c r="I83" s="13">
        <v>0</v>
      </c>
      <c r="J83" s="13">
        <v>0</v>
      </c>
      <c r="K83" s="244"/>
      <c r="L83" s="281"/>
      <c r="M83" s="244"/>
      <c r="N83" s="277"/>
      <c r="O83" s="277"/>
      <c r="P83" s="282"/>
    </row>
    <row r="84" spans="1:16" s="83" customFormat="1" ht="100.5" customHeight="1">
      <c r="A84" s="25"/>
      <c r="B84" s="25"/>
      <c r="C84" s="59"/>
      <c r="D84" s="138" t="s">
        <v>245</v>
      </c>
      <c r="E84" s="429"/>
      <c r="F84" s="429"/>
      <c r="G84" s="40">
        <f t="shared" si="2"/>
        <v>20694</v>
      </c>
      <c r="H84" s="87">
        <v>20694</v>
      </c>
      <c r="I84" s="79">
        <v>0</v>
      </c>
      <c r="J84" s="88">
        <v>0</v>
      </c>
      <c r="K84" s="244"/>
      <c r="L84" s="281"/>
      <c r="M84" s="244"/>
      <c r="N84" s="277"/>
      <c r="O84" s="277"/>
      <c r="P84" s="282"/>
    </row>
    <row r="85" spans="1:16" s="14" customFormat="1" ht="45">
      <c r="A85" s="8" t="s">
        <v>311</v>
      </c>
      <c r="B85" s="7">
        <v>4082</v>
      </c>
      <c r="C85" s="7" t="s">
        <v>312</v>
      </c>
      <c r="D85" s="26" t="s">
        <v>313</v>
      </c>
      <c r="E85" s="429"/>
      <c r="F85" s="429"/>
      <c r="G85" s="40">
        <f t="shared" si="2"/>
        <v>1914765</v>
      </c>
      <c r="H85" s="13">
        <f>2750000-39010-796225</f>
        <v>1914765</v>
      </c>
      <c r="I85" s="13">
        <f>J85</f>
        <v>0</v>
      </c>
      <c r="J85" s="13">
        <v>0</v>
      </c>
      <c r="K85" s="244"/>
      <c r="L85" s="249"/>
      <c r="M85" s="244"/>
      <c r="N85" s="277"/>
      <c r="O85" s="277"/>
      <c r="P85" s="129"/>
    </row>
    <row r="86" spans="1:16" s="14" customFormat="1" ht="174" customHeight="1" hidden="1">
      <c r="A86" s="30" t="s">
        <v>662</v>
      </c>
      <c r="B86" s="25" t="s">
        <v>663</v>
      </c>
      <c r="C86" s="25" t="s">
        <v>373</v>
      </c>
      <c r="D86" s="82" t="s">
        <v>661</v>
      </c>
      <c r="E86" s="429"/>
      <c r="F86" s="429"/>
      <c r="G86" s="40">
        <f aca="true" t="shared" si="3" ref="G86:G97">H86+I86</f>
        <v>0</v>
      </c>
      <c r="H86" s="13"/>
      <c r="I86" s="13"/>
      <c r="J86" s="13"/>
      <c r="K86" s="244"/>
      <c r="L86" s="244"/>
      <c r="M86" s="244"/>
      <c r="N86" s="277"/>
      <c r="O86" s="277"/>
      <c r="P86" s="129"/>
    </row>
    <row r="87" spans="1:16" s="14" customFormat="1" ht="63" customHeight="1" hidden="1">
      <c r="A87" s="25" t="s">
        <v>664</v>
      </c>
      <c r="B87" s="25" t="s">
        <v>665</v>
      </c>
      <c r="C87" s="25" t="s">
        <v>666</v>
      </c>
      <c r="D87" s="82" t="s">
        <v>672</v>
      </c>
      <c r="E87" s="429"/>
      <c r="F87" s="429"/>
      <c r="G87" s="40">
        <f t="shared" si="3"/>
        <v>0</v>
      </c>
      <c r="H87" s="13"/>
      <c r="I87" s="13">
        <v>0</v>
      </c>
      <c r="J87" s="13">
        <v>0</v>
      </c>
      <c r="K87" s="244"/>
      <c r="L87" s="249"/>
      <c r="M87" s="244"/>
      <c r="N87" s="277"/>
      <c r="O87" s="277"/>
      <c r="P87" s="129"/>
    </row>
    <row r="88" spans="1:16" s="15" customFormat="1" ht="63" customHeight="1" hidden="1">
      <c r="A88" s="8" t="s">
        <v>322</v>
      </c>
      <c r="B88" s="8" t="s">
        <v>667</v>
      </c>
      <c r="C88" s="8" t="s">
        <v>326</v>
      </c>
      <c r="D88" s="84" t="s">
        <v>323</v>
      </c>
      <c r="E88" s="429"/>
      <c r="F88" s="429"/>
      <c r="G88" s="40">
        <f t="shared" si="3"/>
        <v>0</v>
      </c>
      <c r="H88" s="13"/>
      <c r="I88" s="12">
        <v>0</v>
      </c>
      <c r="J88" s="12">
        <v>0</v>
      </c>
      <c r="K88" s="247"/>
      <c r="L88" s="248"/>
      <c r="M88" s="247"/>
      <c r="N88" s="259"/>
      <c r="O88" s="259"/>
      <c r="P88" s="128"/>
    </row>
    <row r="89" spans="1:16" s="15" customFormat="1" ht="63" customHeight="1" hidden="1">
      <c r="A89" s="8" t="s">
        <v>324</v>
      </c>
      <c r="B89" s="8" t="s">
        <v>325</v>
      </c>
      <c r="C89" s="8" t="s">
        <v>326</v>
      </c>
      <c r="D89" s="84" t="s">
        <v>327</v>
      </c>
      <c r="E89" s="429"/>
      <c r="F89" s="429"/>
      <c r="G89" s="40">
        <f t="shared" si="3"/>
        <v>0</v>
      </c>
      <c r="H89" s="13"/>
      <c r="I89" s="12">
        <f>J89</f>
        <v>0</v>
      </c>
      <c r="J89" s="12">
        <f>1957700-1957700</f>
        <v>0</v>
      </c>
      <c r="K89" s="247"/>
      <c r="L89" s="248"/>
      <c r="M89" s="247"/>
      <c r="N89" s="259"/>
      <c r="O89" s="259"/>
      <c r="P89" s="128"/>
    </row>
    <row r="90" spans="1:16" s="15" customFormat="1" ht="127.5" customHeight="1" hidden="1">
      <c r="A90" s="8" t="s">
        <v>124</v>
      </c>
      <c r="B90" s="8" t="s">
        <v>125</v>
      </c>
      <c r="C90" s="8" t="s">
        <v>128</v>
      </c>
      <c r="D90" s="84" t="s">
        <v>123</v>
      </c>
      <c r="E90" s="429"/>
      <c r="F90" s="429"/>
      <c r="G90" s="40">
        <f t="shared" si="3"/>
        <v>0</v>
      </c>
      <c r="H90" s="13"/>
      <c r="I90" s="12">
        <f>J90</f>
        <v>0</v>
      </c>
      <c r="J90" s="12">
        <v>0</v>
      </c>
      <c r="K90" s="247"/>
      <c r="L90" s="248"/>
      <c r="M90" s="247"/>
      <c r="N90" s="259"/>
      <c r="O90" s="259"/>
      <c r="P90" s="128"/>
    </row>
    <row r="91" spans="1:16" s="15" customFormat="1" ht="63" customHeight="1" hidden="1">
      <c r="A91" s="8" t="s">
        <v>668</v>
      </c>
      <c r="B91" s="8" t="s">
        <v>669</v>
      </c>
      <c r="C91" s="8" t="s">
        <v>670</v>
      </c>
      <c r="D91" s="9" t="s">
        <v>673</v>
      </c>
      <c r="E91" s="429"/>
      <c r="F91" s="429"/>
      <c r="G91" s="40">
        <f t="shared" si="3"/>
        <v>0</v>
      </c>
      <c r="H91" s="13"/>
      <c r="I91" s="12">
        <f>J91</f>
        <v>0</v>
      </c>
      <c r="J91" s="12">
        <f>1500000-1500000</f>
        <v>0</v>
      </c>
      <c r="K91" s="247"/>
      <c r="L91" s="248"/>
      <c r="M91" s="247"/>
      <c r="N91" s="259"/>
      <c r="O91" s="259"/>
      <c r="P91" s="128"/>
    </row>
    <row r="92" spans="1:16" s="15" customFormat="1" ht="23.25" customHeight="1" hidden="1">
      <c r="A92" s="8" t="s">
        <v>664</v>
      </c>
      <c r="B92" s="8" t="s">
        <v>665</v>
      </c>
      <c r="C92" s="8" t="s">
        <v>666</v>
      </c>
      <c r="D92" s="9" t="s">
        <v>672</v>
      </c>
      <c r="E92" s="429"/>
      <c r="F92" s="429"/>
      <c r="G92" s="40">
        <f>H92+I92</f>
        <v>0</v>
      </c>
      <c r="H92" s="13">
        <f>1200000-1200000</f>
        <v>0</v>
      </c>
      <c r="I92" s="12">
        <v>0</v>
      </c>
      <c r="J92" s="12">
        <v>0</v>
      </c>
      <c r="K92" s="247"/>
      <c r="L92" s="248"/>
      <c r="M92" s="247"/>
      <c r="N92" s="259"/>
      <c r="O92" s="259"/>
      <c r="P92" s="128"/>
    </row>
    <row r="93" spans="1:16" s="15" customFormat="1" ht="43.5" customHeight="1">
      <c r="A93" s="59" t="s">
        <v>322</v>
      </c>
      <c r="B93" s="8" t="s">
        <v>667</v>
      </c>
      <c r="C93" s="8" t="s">
        <v>326</v>
      </c>
      <c r="D93" s="89" t="s">
        <v>323</v>
      </c>
      <c r="E93" s="429"/>
      <c r="F93" s="429"/>
      <c r="G93" s="40">
        <f t="shared" si="3"/>
        <v>151560</v>
      </c>
      <c r="H93" s="13">
        <v>151560</v>
      </c>
      <c r="I93" s="12">
        <v>0</v>
      </c>
      <c r="J93" s="12">
        <v>0</v>
      </c>
      <c r="K93" s="247"/>
      <c r="L93" s="248"/>
      <c r="M93" s="247"/>
      <c r="N93" s="259"/>
      <c r="O93" s="259"/>
      <c r="P93" s="128"/>
    </row>
    <row r="94" spans="1:16" s="15" customFormat="1" ht="45">
      <c r="A94" s="58" t="s">
        <v>324</v>
      </c>
      <c r="B94" s="8" t="s">
        <v>325</v>
      </c>
      <c r="C94" s="7" t="s">
        <v>326</v>
      </c>
      <c r="D94" s="69" t="s">
        <v>327</v>
      </c>
      <c r="E94" s="429"/>
      <c r="F94" s="429"/>
      <c r="G94" s="40">
        <f t="shared" si="3"/>
        <v>216100</v>
      </c>
      <c r="H94" s="13">
        <f>201100+15000</f>
        <v>216100</v>
      </c>
      <c r="I94" s="12">
        <v>0</v>
      </c>
      <c r="J94" s="12">
        <v>0</v>
      </c>
      <c r="K94" s="247"/>
      <c r="L94" s="248"/>
      <c r="M94" s="247"/>
      <c r="N94" s="259"/>
      <c r="O94" s="259"/>
      <c r="P94" s="128"/>
    </row>
    <row r="95" spans="1:16" s="15" customFormat="1" ht="23.25" customHeight="1" hidden="1">
      <c r="A95" s="58"/>
      <c r="B95" s="8"/>
      <c r="C95" s="8"/>
      <c r="D95" s="196"/>
      <c r="E95" s="429"/>
      <c r="F95" s="429"/>
      <c r="G95" s="40">
        <f t="shared" si="3"/>
        <v>0</v>
      </c>
      <c r="H95" s="13"/>
      <c r="I95" s="12"/>
      <c r="J95" s="12"/>
      <c r="K95" s="247"/>
      <c r="L95" s="248"/>
      <c r="M95" s="247"/>
      <c r="N95" s="259"/>
      <c r="O95" s="259"/>
      <c r="P95" s="128"/>
    </row>
    <row r="96" spans="1:16" s="15" customFormat="1" ht="23.25" customHeight="1" hidden="1">
      <c r="A96" s="58"/>
      <c r="B96" s="8"/>
      <c r="C96" s="8"/>
      <c r="D96" s="196"/>
      <c r="E96" s="429"/>
      <c r="F96" s="429"/>
      <c r="G96" s="40">
        <f t="shared" si="3"/>
        <v>0</v>
      </c>
      <c r="H96" s="13"/>
      <c r="I96" s="12"/>
      <c r="J96" s="12"/>
      <c r="K96" s="247"/>
      <c r="L96" s="248"/>
      <c r="M96" s="247"/>
      <c r="N96" s="259"/>
      <c r="O96" s="259"/>
      <c r="P96" s="128"/>
    </row>
    <row r="97" spans="1:16" s="77" customFormat="1" ht="96" customHeight="1">
      <c r="A97" s="210"/>
      <c r="B97" s="137"/>
      <c r="C97" s="137"/>
      <c r="D97" s="138" t="s">
        <v>245</v>
      </c>
      <c r="E97" s="430"/>
      <c r="F97" s="430"/>
      <c r="G97" s="86">
        <f t="shared" si="3"/>
        <v>15000</v>
      </c>
      <c r="H97" s="79">
        <f>15000</f>
        <v>15000</v>
      </c>
      <c r="I97" s="74">
        <v>0</v>
      </c>
      <c r="J97" s="74">
        <v>0</v>
      </c>
      <c r="K97" s="271"/>
      <c r="L97" s="272"/>
      <c r="M97" s="271"/>
      <c r="N97" s="273"/>
      <c r="O97" s="273"/>
      <c r="P97" s="274"/>
    </row>
    <row r="98" spans="1:16" s="14" customFormat="1" ht="72" customHeight="1">
      <c r="A98" s="25" t="s">
        <v>311</v>
      </c>
      <c r="B98" s="25" t="s">
        <v>671</v>
      </c>
      <c r="C98" s="25" t="s">
        <v>312</v>
      </c>
      <c r="D98" s="26" t="s">
        <v>313</v>
      </c>
      <c r="E98" s="90" t="s">
        <v>216</v>
      </c>
      <c r="F98" s="91" t="s">
        <v>656</v>
      </c>
      <c r="G98" s="40">
        <f>H98+I98</f>
        <v>61000</v>
      </c>
      <c r="H98" s="13">
        <v>61000</v>
      </c>
      <c r="I98" s="57">
        <v>0</v>
      </c>
      <c r="J98" s="57">
        <v>0</v>
      </c>
      <c r="K98" s="283"/>
      <c r="L98" s="249"/>
      <c r="M98" s="244"/>
      <c r="N98" s="277"/>
      <c r="O98" s="277"/>
      <c r="P98" s="129"/>
    </row>
    <row r="99" spans="1:16" s="14" customFormat="1" ht="115.5" customHeight="1" hidden="1">
      <c r="A99" s="25" t="s">
        <v>322</v>
      </c>
      <c r="B99" s="25" t="s">
        <v>667</v>
      </c>
      <c r="C99" s="25" t="s">
        <v>326</v>
      </c>
      <c r="D99" s="82" t="s">
        <v>323</v>
      </c>
      <c r="E99" s="42" t="s">
        <v>557</v>
      </c>
      <c r="F99" s="42" t="s">
        <v>3</v>
      </c>
      <c r="G99" s="40">
        <f aca="true" t="shared" si="4" ref="G99:G109">H99+I99</f>
        <v>0</v>
      </c>
      <c r="H99" s="13"/>
      <c r="I99" s="57"/>
      <c r="J99" s="57"/>
      <c r="K99" s="244"/>
      <c r="L99" s="249"/>
      <c r="M99" s="244"/>
      <c r="N99" s="277"/>
      <c r="O99" s="277"/>
      <c r="P99" s="129"/>
    </row>
    <row r="100" spans="1:16" s="15" customFormat="1" ht="110.25" customHeight="1" hidden="1">
      <c r="A100" s="7" t="s">
        <v>530</v>
      </c>
      <c r="B100" s="7">
        <v>5011</v>
      </c>
      <c r="C100" s="7" t="s">
        <v>376</v>
      </c>
      <c r="D100" s="9" t="s">
        <v>433</v>
      </c>
      <c r="E100" s="450" t="s">
        <v>273</v>
      </c>
      <c r="F100" s="450" t="s">
        <v>455</v>
      </c>
      <c r="G100" s="40">
        <f t="shared" si="4"/>
        <v>0</v>
      </c>
      <c r="H100" s="13"/>
      <c r="I100" s="57"/>
      <c r="J100" s="57"/>
      <c r="K100" s="247"/>
      <c r="L100" s="248"/>
      <c r="M100" s="247"/>
      <c r="N100" s="259"/>
      <c r="O100" s="259"/>
      <c r="P100" s="128"/>
    </row>
    <row r="101" spans="1:16" s="15" customFormat="1" ht="106.5" customHeight="1" hidden="1">
      <c r="A101" s="7" t="s">
        <v>531</v>
      </c>
      <c r="B101" s="7">
        <v>5012</v>
      </c>
      <c r="C101" s="7" t="s">
        <v>376</v>
      </c>
      <c r="D101" s="9" t="s">
        <v>377</v>
      </c>
      <c r="E101" s="450"/>
      <c r="F101" s="450"/>
      <c r="G101" s="40">
        <f t="shared" si="4"/>
        <v>0</v>
      </c>
      <c r="H101" s="13"/>
      <c r="I101" s="57"/>
      <c r="J101" s="57"/>
      <c r="K101" s="247"/>
      <c r="L101" s="248"/>
      <c r="M101" s="247"/>
      <c r="N101" s="259"/>
      <c r="O101" s="259"/>
      <c r="P101" s="128"/>
    </row>
    <row r="102" spans="1:16" s="14" customFormat="1" ht="117" customHeight="1" hidden="1">
      <c r="A102" s="25" t="s">
        <v>452</v>
      </c>
      <c r="B102" s="25" t="s">
        <v>571</v>
      </c>
      <c r="C102" s="25" t="s">
        <v>376</v>
      </c>
      <c r="D102" s="92" t="s">
        <v>574</v>
      </c>
      <c r="E102" s="450"/>
      <c r="F102" s="450"/>
      <c r="G102" s="40">
        <f t="shared" si="4"/>
        <v>0</v>
      </c>
      <c r="H102" s="93"/>
      <c r="I102" s="57"/>
      <c r="J102" s="57"/>
      <c r="K102" s="244"/>
      <c r="L102" s="249"/>
      <c r="M102" s="244"/>
      <c r="N102" s="277"/>
      <c r="O102" s="277"/>
      <c r="P102" s="129"/>
    </row>
    <row r="103" spans="1:16" s="15" customFormat="1" ht="105" customHeight="1" hidden="1">
      <c r="A103" s="7" t="s">
        <v>532</v>
      </c>
      <c r="B103" s="7">
        <v>5022</v>
      </c>
      <c r="C103" s="7" t="s">
        <v>376</v>
      </c>
      <c r="D103" s="9" t="s">
        <v>243</v>
      </c>
      <c r="E103" s="450"/>
      <c r="F103" s="450"/>
      <c r="G103" s="40">
        <f t="shared" si="4"/>
        <v>0</v>
      </c>
      <c r="H103" s="13"/>
      <c r="I103" s="57"/>
      <c r="J103" s="57"/>
      <c r="K103" s="247"/>
      <c r="L103" s="248"/>
      <c r="M103" s="247"/>
      <c r="N103" s="259"/>
      <c r="O103" s="259"/>
      <c r="P103" s="128"/>
    </row>
    <row r="104" spans="1:16" s="14" customFormat="1" ht="126" customHeight="1" hidden="1">
      <c r="A104" s="25" t="s">
        <v>328</v>
      </c>
      <c r="B104" s="25" t="s">
        <v>343</v>
      </c>
      <c r="C104" s="25" t="s">
        <v>376</v>
      </c>
      <c r="D104" s="198" t="s">
        <v>344</v>
      </c>
      <c r="E104" s="450"/>
      <c r="F104" s="450"/>
      <c r="G104" s="40">
        <f t="shared" si="4"/>
        <v>0</v>
      </c>
      <c r="H104" s="93"/>
      <c r="I104" s="57"/>
      <c r="J104" s="57"/>
      <c r="K104" s="244"/>
      <c r="L104" s="249"/>
      <c r="M104" s="244"/>
      <c r="N104" s="277"/>
      <c r="O104" s="277"/>
      <c r="P104" s="129"/>
    </row>
    <row r="105" spans="1:16" s="14" customFormat="1" ht="121.5" customHeight="1" hidden="1">
      <c r="A105" s="25" t="s">
        <v>578</v>
      </c>
      <c r="B105" s="25" t="s">
        <v>579</v>
      </c>
      <c r="C105" s="25" t="s">
        <v>376</v>
      </c>
      <c r="D105" s="92" t="s">
        <v>580</v>
      </c>
      <c r="E105" s="450"/>
      <c r="F105" s="450"/>
      <c r="G105" s="40">
        <f t="shared" si="4"/>
        <v>0</v>
      </c>
      <c r="H105" s="93"/>
      <c r="I105" s="57"/>
      <c r="J105" s="57"/>
      <c r="K105" s="244"/>
      <c r="L105" s="249"/>
      <c r="M105" s="244"/>
      <c r="N105" s="277"/>
      <c r="O105" s="277"/>
      <c r="P105" s="129"/>
    </row>
    <row r="106" spans="1:16" s="14" customFormat="1" ht="179.25" customHeight="1" hidden="1">
      <c r="A106" s="30" t="s">
        <v>533</v>
      </c>
      <c r="B106" s="30">
        <v>5061</v>
      </c>
      <c r="C106" s="30" t="s">
        <v>376</v>
      </c>
      <c r="D106" s="26" t="s">
        <v>435</v>
      </c>
      <c r="E106" s="450"/>
      <c r="F106" s="450"/>
      <c r="G106" s="40">
        <f t="shared" si="4"/>
        <v>0</v>
      </c>
      <c r="H106" s="13"/>
      <c r="I106" s="57"/>
      <c r="J106" s="57"/>
      <c r="K106" s="244"/>
      <c r="L106" s="249"/>
      <c r="M106" s="244"/>
      <c r="N106" s="277"/>
      <c r="O106" s="277"/>
      <c r="P106" s="129"/>
    </row>
    <row r="107" spans="1:16" s="14" customFormat="1" ht="143.25" customHeight="1" hidden="1">
      <c r="A107" s="25" t="s">
        <v>576</v>
      </c>
      <c r="B107" s="91">
        <v>5062</v>
      </c>
      <c r="C107" s="94">
        <v>810</v>
      </c>
      <c r="D107" s="92" t="s">
        <v>577</v>
      </c>
      <c r="E107" s="450"/>
      <c r="F107" s="450"/>
      <c r="G107" s="40">
        <f t="shared" si="4"/>
        <v>0</v>
      </c>
      <c r="H107" s="95"/>
      <c r="I107" s="150"/>
      <c r="J107" s="150"/>
      <c r="K107" s="244"/>
      <c r="L107" s="249"/>
      <c r="M107" s="244"/>
      <c r="N107" s="277"/>
      <c r="O107" s="277"/>
      <c r="P107" s="129"/>
    </row>
    <row r="108" spans="1:16" s="14" customFormat="1" ht="102.75" customHeight="1" hidden="1">
      <c r="A108" s="30" t="s">
        <v>199</v>
      </c>
      <c r="B108" s="91">
        <v>7321</v>
      </c>
      <c r="C108" s="96" t="s">
        <v>413</v>
      </c>
      <c r="D108" s="26" t="s">
        <v>200</v>
      </c>
      <c r="E108" s="97" t="s">
        <v>4</v>
      </c>
      <c r="F108" s="6" t="s">
        <v>151</v>
      </c>
      <c r="G108" s="40">
        <f t="shared" si="4"/>
        <v>0</v>
      </c>
      <c r="H108" s="95"/>
      <c r="I108" s="150">
        <f>6500000-6500000</f>
        <v>0</v>
      </c>
      <c r="J108" s="57">
        <f>I108</f>
        <v>0</v>
      </c>
      <c r="K108" s="247"/>
      <c r="L108" s="249"/>
      <c r="M108" s="247"/>
      <c r="N108" s="259"/>
      <c r="O108" s="259"/>
      <c r="P108" s="129"/>
    </row>
    <row r="109" spans="1:16" s="14" customFormat="1" ht="102.75" customHeight="1" hidden="1">
      <c r="A109" s="59" t="s">
        <v>322</v>
      </c>
      <c r="B109" s="8" t="s">
        <v>667</v>
      </c>
      <c r="C109" s="8" t="s">
        <v>326</v>
      </c>
      <c r="D109" s="89" t="s">
        <v>323</v>
      </c>
      <c r="E109" s="65" t="s">
        <v>557</v>
      </c>
      <c r="F109" s="42" t="s">
        <v>3</v>
      </c>
      <c r="G109" s="40">
        <f t="shared" si="4"/>
        <v>0</v>
      </c>
      <c r="H109" s="95">
        <v>0</v>
      </c>
      <c r="I109" s="150">
        <f>J109</f>
        <v>0</v>
      </c>
      <c r="J109" s="57"/>
      <c r="K109" s="247"/>
      <c r="L109" s="249"/>
      <c r="M109" s="247"/>
      <c r="N109" s="259"/>
      <c r="O109" s="259"/>
      <c r="P109" s="129"/>
    </row>
    <row r="110" spans="1:16" s="14" customFormat="1" ht="69.75" customHeight="1">
      <c r="A110" s="59" t="s">
        <v>199</v>
      </c>
      <c r="B110" s="91">
        <v>7321</v>
      </c>
      <c r="C110" s="96" t="s">
        <v>413</v>
      </c>
      <c r="D110" s="26" t="s">
        <v>32</v>
      </c>
      <c r="E110" s="97" t="s">
        <v>47</v>
      </c>
      <c r="F110" s="61" t="s">
        <v>631</v>
      </c>
      <c r="G110" s="98">
        <f aca="true" t="shared" si="5" ref="G110:G121">H110+I110</f>
        <v>20131251.509999994</v>
      </c>
      <c r="H110" s="95">
        <v>0</v>
      </c>
      <c r="I110" s="57">
        <f>33413054-3069990-5000000-2496438.91+1073553-322897.11+322897.11-1116855.09-141593.21-539695.17-50100+100+115185.59+566102.79-765243.43-1829833.1-26994.96</f>
        <v>20131251.509999994</v>
      </c>
      <c r="J110" s="57">
        <f aca="true" t="shared" si="6" ref="J110:J121">I110</f>
        <v>20131251.509999994</v>
      </c>
      <c r="K110" s="284"/>
      <c r="L110" s="285"/>
      <c r="M110" s="247"/>
      <c r="N110" s="259"/>
      <c r="O110" s="259"/>
      <c r="P110" s="129"/>
    </row>
    <row r="111" spans="1:16" s="14" customFormat="1" ht="84" customHeight="1">
      <c r="A111" s="59" t="s">
        <v>199</v>
      </c>
      <c r="B111" s="91">
        <v>7321</v>
      </c>
      <c r="C111" s="96" t="s">
        <v>413</v>
      </c>
      <c r="D111" s="26" t="s">
        <v>32</v>
      </c>
      <c r="E111" s="24" t="s">
        <v>632</v>
      </c>
      <c r="F111" s="61" t="s">
        <v>393</v>
      </c>
      <c r="G111" s="98">
        <f>H111+I111</f>
        <v>8198443.99</v>
      </c>
      <c r="H111" s="95">
        <v>0</v>
      </c>
      <c r="I111" s="57">
        <f>1900000-1900000+50000+I112+1116855.09-1116855.09</f>
        <v>8198443.99</v>
      </c>
      <c r="J111" s="57">
        <f t="shared" si="6"/>
        <v>8198443.99</v>
      </c>
      <c r="K111" s="247"/>
      <c r="L111" s="249"/>
      <c r="M111" s="247"/>
      <c r="N111" s="259"/>
      <c r="O111" s="259"/>
      <c r="P111" s="129"/>
    </row>
    <row r="112" spans="1:16" s="224" customFormat="1" ht="106.5" customHeight="1">
      <c r="A112" s="241"/>
      <c r="B112" s="242"/>
      <c r="C112" s="243"/>
      <c r="D112" s="335" t="s">
        <v>573</v>
      </c>
      <c r="E112" s="336"/>
      <c r="F112" s="144"/>
      <c r="G112" s="223">
        <f>H112+I112</f>
        <v>8148443.99</v>
      </c>
      <c r="H112" s="337">
        <v>0</v>
      </c>
      <c r="I112" s="79">
        <f>3500000+996438.91+1500000-132803.92+2937474.89-652649.49-16.4</f>
        <v>8148443.99</v>
      </c>
      <c r="J112" s="79">
        <f t="shared" si="6"/>
        <v>8148443.99</v>
      </c>
      <c r="K112" s="292"/>
      <c r="L112" s="293"/>
      <c r="M112" s="292"/>
      <c r="N112" s="294"/>
      <c r="O112" s="294"/>
      <c r="P112" s="293"/>
    </row>
    <row r="113" spans="1:16" s="14" customFormat="1" ht="57.75" customHeight="1" hidden="1">
      <c r="A113" s="30" t="s">
        <v>199</v>
      </c>
      <c r="B113" s="91">
        <v>7321</v>
      </c>
      <c r="C113" s="96" t="s">
        <v>413</v>
      </c>
      <c r="D113" s="26" t="s">
        <v>32</v>
      </c>
      <c r="E113" s="24" t="s">
        <v>621</v>
      </c>
      <c r="F113" s="6" t="s">
        <v>637</v>
      </c>
      <c r="G113" s="98">
        <f>H113+I113</f>
        <v>0</v>
      </c>
      <c r="H113" s="95">
        <v>0</v>
      </c>
      <c r="I113" s="13">
        <f>800000-800000</f>
        <v>0</v>
      </c>
      <c r="J113" s="13">
        <f t="shared" si="6"/>
        <v>0</v>
      </c>
      <c r="K113" s="244"/>
      <c r="L113" s="129"/>
      <c r="M113" s="244"/>
      <c r="N113" s="277"/>
      <c r="O113" s="277"/>
      <c r="P113" s="129"/>
    </row>
    <row r="114" spans="1:16" s="14" customFormat="1" ht="57" customHeight="1">
      <c r="A114" s="30" t="s">
        <v>601</v>
      </c>
      <c r="B114" s="91" t="s">
        <v>102</v>
      </c>
      <c r="C114" s="96" t="s">
        <v>413</v>
      </c>
      <c r="D114" s="26" t="s">
        <v>33</v>
      </c>
      <c r="E114" s="338" t="s">
        <v>621</v>
      </c>
      <c r="F114" s="6" t="s">
        <v>637</v>
      </c>
      <c r="G114" s="98">
        <f t="shared" si="5"/>
        <v>746610</v>
      </c>
      <c r="H114" s="95">
        <v>0</v>
      </c>
      <c r="I114" s="13">
        <f>2198610-2000-50000-1450000+50000</f>
        <v>746610</v>
      </c>
      <c r="J114" s="13">
        <f t="shared" si="6"/>
        <v>746610</v>
      </c>
      <c r="K114" s="339"/>
      <c r="L114" s="285"/>
      <c r="M114" s="244"/>
      <c r="N114" s="277"/>
      <c r="O114" s="277"/>
      <c r="P114" s="129"/>
    </row>
    <row r="115" spans="1:16" s="14" customFormat="1" ht="73.5" customHeight="1">
      <c r="A115" s="30" t="s">
        <v>601</v>
      </c>
      <c r="B115" s="91" t="s">
        <v>102</v>
      </c>
      <c r="C115" s="96" t="s">
        <v>413</v>
      </c>
      <c r="D115" s="26" t="s">
        <v>33</v>
      </c>
      <c r="E115" s="24" t="s">
        <v>632</v>
      </c>
      <c r="F115" s="6" t="s">
        <v>393</v>
      </c>
      <c r="G115" s="98">
        <f>H115+I115</f>
        <v>21819836.479999997</v>
      </c>
      <c r="H115" s="95">
        <v>0</v>
      </c>
      <c r="I115" s="13">
        <f>I116</f>
        <v>21819836.479999997</v>
      </c>
      <c r="J115" s="13">
        <f t="shared" si="6"/>
        <v>21819836.479999997</v>
      </c>
      <c r="K115" s="244"/>
      <c r="L115" s="249"/>
      <c r="M115" s="244"/>
      <c r="N115" s="277"/>
      <c r="O115" s="277"/>
      <c r="P115" s="129"/>
    </row>
    <row r="116" spans="1:16" s="224" customFormat="1" ht="102.75" customHeight="1">
      <c r="A116" s="241"/>
      <c r="B116" s="242"/>
      <c r="C116" s="243"/>
      <c r="D116" s="335" t="s">
        <v>573</v>
      </c>
      <c r="E116" s="336"/>
      <c r="F116" s="144"/>
      <c r="G116" s="223">
        <f>H116+I116</f>
        <v>21819836.479999997</v>
      </c>
      <c r="H116" s="337">
        <v>0</v>
      </c>
      <c r="I116" s="79">
        <f>12302349+7581119-956008+956008+1905443.86-267519.78+298444.4</f>
        <v>21819836.479999997</v>
      </c>
      <c r="J116" s="79">
        <f t="shared" si="6"/>
        <v>21819836.479999997</v>
      </c>
      <c r="K116" s="292"/>
      <c r="L116" s="293"/>
      <c r="M116" s="292"/>
      <c r="N116" s="294"/>
      <c r="O116" s="294"/>
      <c r="P116" s="293"/>
    </row>
    <row r="117" spans="1:16" s="14" customFormat="1" ht="57.75" customHeight="1">
      <c r="A117" s="30" t="s">
        <v>607</v>
      </c>
      <c r="B117" s="91">
        <v>7340</v>
      </c>
      <c r="C117" s="96" t="s">
        <v>413</v>
      </c>
      <c r="D117" s="26" t="s">
        <v>608</v>
      </c>
      <c r="E117" s="189" t="s">
        <v>621</v>
      </c>
      <c r="F117" s="61" t="s">
        <v>637</v>
      </c>
      <c r="G117" s="98">
        <f t="shared" si="5"/>
        <v>94420</v>
      </c>
      <c r="H117" s="95">
        <f>100000-5580</f>
        <v>94420</v>
      </c>
      <c r="I117" s="95">
        <v>0</v>
      </c>
      <c r="J117" s="13">
        <f t="shared" si="6"/>
        <v>0</v>
      </c>
      <c r="K117" s="247"/>
      <c r="L117" s="249"/>
      <c r="M117" s="247"/>
      <c r="N117" s="259"/>
      <c r="O117" s="259"/>
      <c r="P117" s="129"/>
    </row>
    <row r="118" spans="1:16" s="14" customFormat="1" ht="150" customHeight="1" hidden="1">
      <c r="A118" s="30" t="s">
        <v>133</v>
      </c>
      <c r="B118" s="91">
        <v>7363</v>
      </c>
      <c r="C118" s="96" t="s">
        <v>382</v>
      </c>
      <c r="D118" s="26" t="s">
        <v>154</v>
      </c>
      <c r="E118" s="97" t="s">
        <v>605</v>
      </c>
      <c r="F118" s="6" t="s">
        <v>13</v>
      </c>
      <c r="G118" s="98">
        <f t="shared" si="5"/>
        <v>0</v>
      </c>
      <c r="H118" s="95"/>
      <c r="I118" s="95"/>
      <c r="J118" s="13">
        <f t="shared" si="6"/>
        <v>0</v>
      </c>
      <c r="K118" s="247"/>
      <c r="L118" s="249"/>
      <c r="M118" s="247"/>
      <c r="N118" s="259"/>
      <c r="O118" s="259"/>
      <c r="P118" s="129"/>
    </row>
    <row r="119" spans="1:16" s="105" customFormat="1" ht="135" customHeight="1" hidden="1">
      <c r="A119" s="100"/>
      <c r="B119" s="101"/>
      <c r="C119" s="101"/>
      <c r="D119" s="72" t="s">
        <v>155</v>
      </c>
      <c r="E119" s="102"/>
      <c r="F119" s="102"/>
      <c r="G119" s="103">
        <f t="shared" si="5"/>
        <v>0</v>
      </c>
      <c r="H119" s="104"/>
      <c r="I119" s="79"/>
      <c r="J119" s="13">
        <f t="shared" si="6"/>
        <v>0</v>
      </c>
      <c r="K119" s="271"/>
      <c r="L119" s="272"/>
      <c r="M119" s="271"/>
      <c r="N119" s="259"/>
      <c r="O119" s="259"/>
      <c r="P119" s="272"/>
    </row>
    <row r="120" spans="1:16" s="105" customFormat="1" ht="116.25" customHeight="1" hidden="1">
      <c r="A120" s="100"/>
      <c r="B120" s="101"/>
      <c r="C120" s="101"/>
      <c r="D120" s="72" t="s">
        <v>52</v>
      </c>
      <c r="E120" s="102"/>
      <c r="F120" s="102"/>
      <c r="G120" s="103">
        <f t="shared" si="5"/>
        <v>0</v>
      </c>
      <c r="H120" s="104"/>
      <c r="I120" s="79"/>
      <c r="J120" s="13">
        <f t="shared" si="6"/>
        <v>0</v>
      </c>
      <c r="K120" s="271"/>
      <c r="L120" s="272"/>
      <c r="M120" s="271"/>
      <c r="N120" s="259"/>
      <c r="O120" s="259"/>
      <c r="P120" s="272"/>
    </row>
    <row r="121" spans="1:16" s="15" customFormat="1" ht="102" customHeight="1" hidden="1">
      <c r="A121" s="8" t="s">
        <v>492</v>
      </c>
      <c r="B121" s="7">
        <v>7670</v>
      </c>
      <c r="C121" s="8" t="s">
        <v>382</v>
      </c>
      <c r="D121" s="9" t="s">
        <v>437</v>
      </c>
      <c r="E121" s="97" t="s">
        <v>88</v>
      </c>
      <c r="F121" s="6" t="s">
        <v>13</v>
      </c>
      <c r="G121" s="11">
        <f t="shared" si="5"/>
        <v>0</v>
      </c>
      <c r="H121" s="17">
        <v>0</v>
      </c>
      <c r="I121" s="12"/>
      <c r="J121" s="12">
        <f t="shared" si="6"/>
        <v>0</v>
      </c>
      <c r="K121" s="247"/>
      <c r="L121" s="248"/>
      <c r="M121" s="247"/>
      <c r="N121" s="259"/>
      <c r="O121" s="259"/>
      <c r="P121" s="128"/>
    </row>
    <row r="122" spans="1:16" s="15" customFormat="1" ht="42" customHeight="1">
      <c r="A122" s="35" t="s">
        <v>469</v>
      </c>
      <c r="B122" s="34"/>
      <c r="C122" s="34"/>
      <c r="D122" s="432" t="s">
        <v>470</v>
      </c>
      <c r="E122" s="432"/>
      <c r="F122" s="36" t="s">
        <v>552</v>
      </c>
      <c r="G122" s="70">
        <f>G123</f>
        <v>296636154.95</v>
      </c>
      <c r="H122" s="70">
        <f>H123</f>
        <v>125898965.15999998</v>
      </c>
      <c r="I122" s="70">
        <f>I123</f>
        <v>170737189.79</v>
      </c>
      <c r="J122" s="70">
        <f>J123</f>
        <v>170006689.79</v>
      </c>
      <c r="K122" s="286"/>
      <c r="L122" s="248"/>
      <c r="M122" s="286"/>
      <c r="N122" s="259"/>
      <c r="O122" s="259"/>
      <c r="P122" s="128"/>
    </row>
    <row r="123" spans="1:16" s="23" customFormat="1" ht="43.5" customHeight="1">
      <c r="A123" s="19" t="s">
        <v>442</v>
      </c>
      <c r="B123" s="18"/>
      <c r="C123" s="18"/>
      <c r="D123" s="403" t="s">
        <v>441</v>
      </c>
      <c r="E123" s="403"/>
      <c r="F123" s="20" t="s">
        <v>552</v>
      </c>
      <c r="G123" s="32">
        <f>H123+I123</f>
        <v>296636154.95</v>
      </c>
      <c r="H123" s="32">
        <f>H124+H125+H131+H132+H137+H139+H142+H145+H146+H157+H160+H162</f>
        <v>125898965.15999998</v>
      </c>
      <c r="I123" s="32">
        <f>I124+I125+I131+I132+I137+I139+I142+I145+I146+I157+I160+I162</f>
        <v>170737189.79</v>
      </c>
      <c r="J123" s="32">
        <f>J124+J125+J131+J132+J137+J139+J142+J145+J146+J157+J160+J162</f>
        <v>170006689.79</v>
      </c>
      <c r="K123" s="247"/>
      <c r="L123" s="247"/>
      <c r="M123" s="247"/>
      <c r="N123" s="260"/>
      <c r="O123" s="260"/>
      <c r="P123" s="125"/>
    </row>
    <row r="124" spans="1:16" s="15" customFormat="1" ht="90.75">
      <c r="A124" s="8" t="s">
        <v>546</v>
      </c>
      <c r="B124" s="8" t="s">
        <v>410</v>
      </c>
      <c r="C124" s="8" t="s">
        <v>366</v>
      </c>
      <c r="D124" s="9" t="s">
        <v>50</v>
      </c>
      <c r="E124" s="24" t="s">
        <v>233</v>
      </c>
      <c r="F124" s="24" t="s">
        <v>592</v>
      </c>
      <c r="G124" s="11">
        <f>SUM(H124+I124)</f>
        <v>496500</v>
      </c>
      <c r="H124" s="17">
        <f>619000-358400+49000+49000+49000+48900+40000</f>
        <v>496500</v>
      </c>
      <c r="I124" s="12">
        <v>0</v>
      </c>
      <c r="J124" s="12">
        <v>0</v>
      </c>
      <c r="K124" s="287"/>
      <c r="L124" s="266"/>
      <c r="M124" s="266"/>
      <c r="N124" s="266"/>
      <c r="O124" s="266"/>
      <c r="P124" s="128"/>
    </row>
    <row r="125" spans="1:16" s="15" customFormat="1" ht="51.75" customHeight="1">
      <c r="A125" s="7" t="s">
        <v>443</v>
      </c>
      <c r="B125" s="7">
        <v>2010</v>
      </c>
      <c r="C125" s="7" t="s">
        <v>383</v>
      </c>
      <c r="D125" s="9" t="s">
        <v>430</v>
      </c>
      <c r="E125" s="404" t="s">
        <v>217</v>
      </c>
      <c r="F125" s="412" t="s">
        <v>623</v>
      </c>
      <c r="G125" s="11">
        <f>SUM(H125+I125)</f>
        <v>64287494.849999994</v>
      </c>
      <c r="H125" s="57">
        <f>46542017+3415400+799508.32+1700000+1788090.62-857211+1159500+49410+48481+40158+500000+2496438.91+288512+H130</f>
        <v>57970304.849999994</v>
      </c>
      <c r="I125" s="120">
        <f>91890+I127+I128+I130</f>
        <v>6317190</v>
      </c>
      <c r="J125" s="120">
        <f>91890+J127+J128+J130</f>
        <v>6317190</v>
      </c>
      <c r="K125" s="287"/>
      <c r="L125" s="266"/>
      <c r="M125" s="266"/>
      <c r="N125" s="266"/>
      <c r="O125" s="266"/>
      <c r="P125" s="128"/>
    </row>
    <row r="126" spans="1:16" s="14" customFormat="1" ht="45" customHeight="1" hidden="1">
      <c r="A126" s="30" t="s">
        <v>444</v>
      </c>
      <c r="B126" s="30">
        <v>2020</v>
      </c>
      <c r="C126" s="30" t="s">
        <v>384</v>
      </c>
      <c r="D126" s="26" t="s">
        <v>432</v>
      </c>
      <c r="E126" s="405"/>
      <c r="F126" s="412"/>
      <c r="G126" s="11">
        <f>SUM(H126+I126)</f>
        <v>0</v>
      </c>
      <c r="H126" s="13"/>
      <c r="I126" s="41"/>
      <c r="J126" s="41">
        <f>I126</f>
        <v>0</v>
      </c>
      <c r="K126" s="288"/>
      <c r="L126" s="266"/>
      <c r="M126" s="244"/>
      <c r="N126" s="244"/>
      <c r="O126" s="244"/>
      <c r="P126" s="129"/>
    </row>
    <row r="127" spans="1:16" s="152" customFormat="1" ht="252" customHeight="1">
      <c r="A127" s="100"/>
      <c r="B127" s="100"/>
      <c r="C127" s="100"/>
      <c r="D127" s="211" t="s">
        <v>246</v>
      </c>
      <c r="E127" s="405"/>
      <c r="F127" s="412"/>
      <c r="G127" s="73">
        <f>I127</f>
        <v>4900000</v>
      </c>
      <c r="H127" s="79">
        <v>0</v>
      </c>
      <c r="I127" s="104">
        <v>4900000</v>
      </c>
      <c r="J127" s="104">
        <v>4900000</v>
      </c>
      <c r="K127" s="289"/>
      <c r="L127" s="290"/>
      <c r="M127" s="275"/>
      <c r="N127" s="275"/>
      <c r="O127" s="275"/>
      <c r="P127" s="276"/>
    </row>
    <row r="128" spans="1:16" s="152" customFormat="1" ht="100.5" customHeight="1">
      <c r="A128" s="100"/>
      <c r="B128" s="100"/>
      <c r="C128" s="100"/>
      <c r="D128" s="211" t="s">
        <v>245</v>
      </c>
      <c r="E128" s="405"/>
      <c r="F128" s="412"/>
      <c r="G128" s="73">
        <f>I128</f>
        <v>560000</v>
      </c>
      <c r="H128" s="79">
        <v>0</v>
      </c>
      <c r="I128" s="104">
        <f>360000+200000</f>
        <v>560000</v>
      </c>
      <c r="J128" s="104">
        <f>360000+200000</f>
        <v>560000</v>
      </c>
      <c r="K128" s="289"/>
      <c r="L128" s="290"/>
      <c r="M128" s="275"/>
      <c r="N128" s="275"/>
      <c r="O128" s="275"/>
      <c r="P128" s="276"/>
    </row>
    <row r="129" spans="1:16" s="152" customFormat="1" ht="84.75" customHeight="1" hidden="1">
      <c r="A129" s="100"/>
      <c r="B129" s="100"/>
      <c r="C129" s="100"/>
      <c r="D129" s="220"/>
      <c r="E129" s="405"/>
      <c r="F129" s="412"/>
      <c r="G129" s="73"/>
      <c r="H129" s="79"/>
      <c r="I129" s="104"/>
      <c r="J129" s="104"/>
      <c r="K129" s="289"/>
      <c r="L129" s="290"/>
      <c r="M129" s="275"/>
      <c r="N129" s="275"/>
      <c r="O129" s="275"/>
      <c r="P129" s="276"/>
    </row>
    <row r="130" spans="1:16" s="152" customFormat="1" ht="84.75" customHeight="1">
      <c r="A130" s="100"/>
      <c r="B130" s="100"/>
      <c r="C130" s="100"/>
      <c r="D130" s="240" t="s">
        <v>690</v>
      </c>
      <c r="E130" s="405"/>
      <c r="F130" s="412"/>
      <c r="G130" s="73">
        <f>H130+J130</f>
        <v>765300</v>
      </c>
      <c r="H130" s="79">
        <v>0</v>
      </c>
      <c r="I130" s="104">
        <v>765300</v>
      </c>
      <c r="J130" s="104">
        <v>765300</v>
      </c>
      <c r="K130" s="289"/>
      <c r="L130" s="290"/>
      <c r="M130" s="275"/>
      <c r="N130" s="275"/>
      <c r="O130" s="275"/>
      <c r="P130" s="276"/>
    </row>
    <row r="131" spans="1:16" s="14" customFormat="1" ht="71.25" customHeight="1">
      <c r="A131" s="25" t="s">
        <v>292</v>
      </c>
      <c r="B131" s="106" t="s">
        <v>293</v>
      </c>
      <c r="C131" s="30" t="s">
        <v>294</v>
      </c>
      <c r="D131" s="92" t="s">
        <v>291</v>
      </c>
      <c r="E131" s="405"/>
      <c r="F131" s="412"/>
      <c r="G131" s="11">
        <f>SUM(H131+I131)</f>
        <v>7413145.180000001</v>
      </c>
      <c r="H131" s="13">
        <f>6046115+399800-280000+49900+49900+1741397.48-224350.97-641916.33</f>
        <v>7140845.180000001</v>
      </c>
      <c r="I131" s="41">
        <f>J131</f>
        <v>272300</v>
      </c>
      <c r="J131" s="41">
        <f>280000-7700</f>
        <v>272300</v>
      </c>
      <c r="K131" s="288"/>
      <c r="L131" s="266"/>
      <c r="M131" s="266"/>
      <c r="N131" s="244"/>
      <c r="O131" s="244"/>
      <c r="P131" s="129"/>
    </row>
    <row r="132" spans="1:16" s="14" customFormat="1" ht="59.25" customHeight="1">
      <c r="A132" s="30" t="s">
        <v>445</v>
      </c>
      <c r="B132" s="30">
        <v>2100</v>
      </c>
      <c r="C132" s="30" t="s">
        <v>385</v>
      </c>
      <c r="D132" s="26" t="s">
        <v>446</v>
      </c>
      <c r="E132" s="405"/>
      <c r="F132" s="412"/>
      <c r="G132" s="11">
        <f>SUM(H132+I132)</f>
        <v>1667237.27</v>
      </c>
      <c r="H132" s="13">
        <f>3096328+192306.75+120000-1741397.48</f>
        <v>1667237.27</v>
      </c>
      <c r="I132" s="41">
        <v>0</v>
      </c>
      <c r="J132" s="41">
        <f>I132</f>
        <v>0</v>
      </c>
      <c r="K132" s="288"/>
      <c r="L132" s="266"/>
      <c r="M132" s="244"/>
      <c r="N132" s="244"/>
      <c r="O132" s="244"/>
      <c r="P132" s="129"/>
    </row>
    <row r="133" spans="1:16" s="14" customFormat="1" ht="86.25" customHeight="1" hidden="1">
      <c r="A133" s="30"/>
      <c r="B133" s="30"/>
      <c r="C133" s="30"/>
      <c r="D133" s="78" t="s">
        <v>140</v>
      </c>
      <c r="E133" s="405"/>
      <c r="F133" s="412"/>
      <c r="G133" s="73">
        <f>H133+I133</f>
        <v>0</v>
      </c>
      <c r="H133" s="79"/>
      <c r="I133" s="41">
        <f>J133</f>
        <v>0</v>
      </c>
      <c r="J133" s="104"/>
      <c r="K133" s="288"/>
      <c r="L133" s="266"/>
      <c r="M133" s="244"/>
      <c r="N133" s="244"/>
      <c r="O133" s="244"/>
      <c r="P133" s="129"/>
    </row>
    <row r="134" spans="1:16" s="14" customFormat="1" ht="201.75" customHeight="1" hidden="1">
      <c r="A134" s="30"/>
      <c r="B134" s="30"/>
      <c r="C134" s="30"/>
      <c r="D134" s="199" t="s">
        <v>252</v>
      </c>
      <c r="E134" s="405"/>
      <c r="F134" s="412"/>
      <c r="G134" s="73">
        <f>H134+I134</f>
        <v>0</v>
      </c>
      <c r="H134" s="79">
        <v>0</v>
      </c>
      <c r="I134" s="41">
        <f>J134</f>
        <v>0</v>
      </c>
      <c r="J134" s="104"/>
      <c r="K134" s="288"/>
      <c r="L134" s="266"/>
      <c r="M134" s="244"/>
      <c r="N134" s="244"/>
      <c r="O134" s="244"/>
      <c r="P134" s="129"/>
    </row>
    <row r="135" spans="1:16" s="14" customFormat="1" ht="101.25" customHeight="1" hidden="1">
      <c r="A135" s="25" t="s">
        <v>292</v>
      </c>
      <c r="B135" s="25" t="s">
        <v>293</v>
      </c>
      <c r="C135" s="25" t="s">
        <v>294</v>
      </c>
      <c r="D135" s="26" t="s">
        <v>291</v>
      </c>
      <c r="E135" s="405"/>
      <c r="F135" s="412"/>
      <c r="G135" s="11">
        <f>SUM(H135+I135)</f>
        <v>0</v>
      </c>
      <c r="H135" s="13"/>
      <c r="I135" s="41">
        <v>0</v>
      </c>
      <c r="J135" s="41">
        <v>0</v>
      </c>
      <c r="K135" s="288"/>
      <c r="L135" s="266"/>
      <c r="M135" s="266"/>
      <c r="N135" s="266"/>
      <c r="O135" s="244"/>
      <c r="P135" s="129"/>
    </row>
    <row r="136" spans="1:16" s="14" customFormat="1" ht="101.25" customHeight="1" hidden="1">
      <c r="A136" s="25" t="s">
        <v>445</v>
      </c>
      <c r="B136" s="25" t="s">
        <v>232</v>
      </c>
      <c r="C136" s="25" t="s">
        <v>385</v>
      </c>
      <c r="D136" s="26" t="s">
        <v>446</v>
      </c>
      <c r="E136" s="405"/>
      <c r="F136" s="412"/>
      <c r="G136" s="11">
        <f>SUM(H136+I136)</f>
        <v>0</v>
      </c>
      <c r="H136" s="13"/>
      <c r="I136" s="13">
        <v>0</v>
      </c>
      <c r="J136" s="41">
        <v>0</v>
      </c>
      <c r="K136" s="288"/>
      <c r="L136" s="266"/>
      <c r="M136" s="266"/>
      <c r="N136" s="266"/>
      <c r="O136" s="244"/>
      <c r="P136" s="129"/>
    </row>
    <row r="137" spans="1:16" s="14" customFormat="1" ht="95.25" customHeight="1">
      <c r="A137" s="25" t="s">
        <v>106</v>
      </c>
      <c r="B137" s="25" t="s">
        <v>103</v>
      </c>
      <c r="C137" s="30" t="s">
        <v>105</v>
      </c>
      <c r="D137" s="26" t="s">
        <v>104</v>
      </c>
      <c r="E137" s="405"/>
      <c r="F137" s="412"/>
      <c r="G137" s="11">
        <f>SUM(H137+I137)</f>
        <v>21895748.43</v>
      </c>
      <c r="H137" s="13">
        <f>19003249+306497.43+199600+391900+1040002+10000+49900+99890+64210</f>
        <v>21165248.43</v>
      </c>
      <c r="I137" s="13">
        <f>I138</f>
        <v>730500</v>
      </c>
      <c r="J137" s="13">
        <f>55700-55700</f>
        <v>0</v>
      </c>
      <c r="K137" s="288"/>
      <c r="L137" s="244"/>
      <c r="M137" s="244"/>
      <c r="N137" s="244"/>
      <c r="O137" s="244"/>
      <c r="P137" s="129"/>
    </row>
    <row r="138" spans="1:16" s="152" customFormat="1" ht="265.5" customHeight="1">
      <c r="A138" s="101"/>
      <c r="B138" s="101"/>
      <c r="C138" s="100"/>
      <c r="D138" s="333" t="s">
        <v>689</v>
      </c>
      <c r="E138" s="406"/>
      <c r="F138" s="212"/>
      <c r="G138" s="73">
        <f>SUM(H138+I138)</f>
        <v>730500</v>
      </c>
      <c r="H138" s="79">
        <v>0</v>
      </c>
      <c r="I138" s="79">
        <v>730500</v>
      </c>
      <c r="J138" s="79">
        <v>0</v>
      </c>
      <c r="K138" s="289"/>
      <c r="L138" s="275"/>
      <c r="M138" s="275"/>
      <c r="N138" s="275"/>
      <c r="O138" s="275"/>
      <c r="P138" s="276"/>
    </row>
    <row r="139" spans="1:16" s="14" customFormat="1" ht="93" customHeight="1">
      <c r="A139" s="25" t="s">
        <v>106</v>
      </c>
      <c r="B139" s="25" t="s">
        <v>103</v>
      </c>
      <c r="C139" s="30" t="s">
        <v>105</v>
      </c>
      <c r="D139" s="26" t="s">
        <v>104</v>
      </c>
      <c r="E139" s="447" t="s">
        <v>632</v>
      </c>
      <c r="F139" s="371" t="s">
        <v>393</v>
      </c>
      <c r="G139" s="11">
        <f>SUM(H139+I139)</f>
        <v>5418724</v>
      </c>
      <c r="H139" s="13">
        <v>0</v>
      </c>
      <c r="I139" s="13">
        <f>0+I140</f>
        <v>5418724</v>
      </c>
      <c r="J139" s="57">
        <f>I139</f>
        <v>5418724</v>
      </c>
      <c r="K139" s="288"/>
      <c r="L139" s="244"/>
      <c r="M139" s="244"/>
      <c r="N139" s="244"/>
      <c r="O139" s="244"/>
      <c r="P139" s="129"/>
    </row>
    <row r="140" spans="1:16" s="224" customFormat="1" ht="102.75" customHeight="1">
      <c r="A140" s="241"/>
      <c r="B140" s="242"/>
      <c r="C140" s="243"/>
      <c r="D140" s="335" t="s">
        <v>573</v>
      </c>
      <c r="E140" s="448"/>
      <c r="F140" s="448"/>
      <c r="G140" s="223">
        <f>H140+I140</f>
        <v>5418724</v>
      </c>
      <c r="H140" s="337">
        <v>0</v>
      </c>
      <c r="I140" s="79">
        <v>5418724</v>
      </c>
      <c r="J140" s="79">
        <f>I140</f>
        <v>5418724</v>
      </c>
      <c r="K140" s="292"/>
      <c r="L140" s="293"/>
      <c r="M140" s="292"/>
      <c r="N140" s="294"/>
      <c r="O140" s="294"/>
      <c r="P140" s="293"/>
    </row>
    <row r="141" spans="1:16" s="14" customFormat="1" ht="49.5" customHeight="1" hidden="1">
      <c r="A141" s="25" t="s">
        <v>205</v>
      </c>
      <c r="B141" s="25" t="s">
        <v>319</v>
      </c>
      <c r="C141" s="25" t="s">
        <v>386</v>
      </c>
      <c r="D141" s="26" t="s">
        <v>320</v>
      </c>
      <c r="E141" s="448"/>
      <c r="F141" s="448"/>
      <c r="G141" s="11">
        <f>SUM(H141+I141)</f>
        <v>0</v>
      </c>
      <c r="H141" s="13"/>
      <c r="I141" s="13">
        <f>J141</f>
        <v>0</v>
      </c>
      <c r="J141" s="13"/>
      <c r="K141" s="288"/>
      <c r="L141" s="249"/>
      <c r="M141" s="244"/>
      <c r="N141" s="244"/>
      <c r="O141" s="277"/>
      <c r="P141" s="129"/>
    </row>
    <row r="142" spans="1:16" s="14" customFormat="1" ht="49.5" customHeight="1">
      <c r="A142" s="30" t="s">
        <v>443</v>
      </c>
      <c r="B142" s="30">
        <v>2010</v>
      </c>
      <c r="C142" s="30" t="s">
        <v>383</v>
      </c>
      <c r="D142" s="26" t="s">
        <v>430</v>
      </c>
      <c r="E142" s="448"/>
      <c r="F142" s="448"/>
      <c r="G142" s="11">
        <f>SUM(H142+I142)</f>
        <v>16503561.09</v>
      </c>
      <c r="H142" s="13">
        <v>0</v>
      </c>
      <c r="I142" s="13">
        <f>0+I143+I144</f>
        <v>16503561.09</v>
      </c>
      <c r="J142" s="13">
        <f>I142</f>
        <v>16503561.09</v>
      </c>
      <c r="K142" s="288"/>
      <c r="L142" s="249"/>
      <c r="M142" s="244"/>
      <c r="N142" s="244"/>
      <c r="O142" s="277"/>
      <c r="P142" s="129"/>
    </row>
    <row r="143" spans="1:16" s="14" customFormat="1" ht="97.5" customHeight="1">
      <c r="A143" s="241"/>
      <c r="B143" s="242"/>
      <c r="C143" s="243"/>
      <c r="D143" s="335" t="s">
        <v>573</v>
      </c>
      <c r="E143" s="448"/>
      <c r="F143" s="448"/>
      <c r="G143" s="73">
        <f>H143+I143</f>
        <v>4503561.09</v>
      </c>
      <c r="H143" s="79">
        <v>0</v>
      </c>
      <c r="I143" s="79">
        <f>7000000-2496438.91</f>
        <v>4503561.09</v>
      </c>
      <c r="J143" s="79">
        <f>7000000-2496438.91</f>
        <v>4503561.09</v>
      </c>
      <c r="K143" s="288"/>
      <c r="L143" s="249"/>
      <c r="M143" s="244"/>
      <c r="N143" s="244"/>
      <c r="O143" s="277"/>
      <c r="P143" s="129"/>
    </row>
    <row r="144" spans="1:16" s="14" customFormat="1" ht="156" customHeight="1">
      <c r="A144" s="241"/>
      <c r="B144" s="242"/>
      <c r="C144" s="243"/>
      <c r="D144" s="211" t="s">
        <v>686</v>
      </c>
      <c r="E144" s="449"/>
      <c r="F144" s="449"/>
      <c r="G144" s="73">
        <f>H144+I144</f>
        <v>12000000</v>
      </c>
      <c r="H144" s="79">
        <v>0</v>
      </c>
      <c r="I144" s="104">
        <f>6000000+6000000</f>
        <v>12000000</v>
      </c>
      <c r="J144" s="104">
        <f>6000000+6000000</f>
        <v>12000000</v>
      </c>
      <c r="K144" s="288"/>
      <c r="L144" s="249"/>
      <c r="M144" s="244"/>
      <c r="N144" s="244"/>
      <c r="O144" s="277"/>
      <c r="P144" s="129"/>
    </row>
    <row r="145" spans="1:16" s="14" customFormat="1" ht="58.5" customHeight="1">
      <c r="A145" s="25" t="s">
        <v>205</v>
      </c>
      <c r="B145" s="25" t="s">
        <v>319</v>
      </c>
      <c r="C145" s="25" t="s">
        <v>386</v>
      </c>
      <c r="D145" s="26" t="s">
        <v>320</v>
      </c>
      <c r="E145" s="446" t="s">
        <v>217</v>
      </c>
      <c r="F145" s="412" t="s">
        <v>623</v>
      </c>
      <c r="G145" s="11">
        <f aca="true" t="shared" si="7" ref="G145:G157">SUM(H145+I145)</f>
        <v>9214728.190000001</v>
      </c>
      <c r="H145" s="13">
        <f>8880980+1511.26+28526.46+29542.47+10827+51631+165726</f>
        <v>9168744.190000001</v>
      </c>
      <c r="I145" s="13">
        <f>J145</f>
        <v>45984</v>
      </c>
      <c r="J145" s="13">
        <f>60000-14016</f>
        <v>45984</v>
      </c>
      <c r="K145" s="288"/>
      <c r="L145" s="244"/>
      <c r="M145" s="244"/>
      <c r="N145" s="244"/>
      <c r="O145" s="277"/>
      <c r="P145" s="129"/>
    </row>
    <row r="146" spans="1:16" s="14" customFormat="1" ht="45">
      <c r="A146" s="30" t="s">
        <v>244</v>
      </c>
      <c r="B146" s="30">
        <v>2152</v>
      </c>
      <c r="C146" s="30" t="s">
        <v>386</v>
      </c>
      <c r="D146" s="26" t="s">
        <v>310</v>
      </c>
      <c r="E146" s="446"/>
      <c r="F146" s="412"/>
      <c r="G146" s="11">
        <f t="shared" si="7"/>
        <v>28290085.24</v>
      </c>
      <c r="H146" s="13">
        <f>34815563-1299823.76-199600-967000-148281-49900-149790-599541-768132-352722-1990688</f>
        <v>28290085.24</v>
      </c>
      <c r="I146" s="13">
        <v>0</v>
      </c>
      <c r="J146" s="13">
        <v>0</v>
      </c>
      <c r="K146" s="288"/>
      <c r="L146" s="244"/>
      <c r="M146" s="244"/>
      <c r="N146" s="244"/>
      <c r="O146" s="244"/>
      <c r="P146" s="129"/>
    </row>
    <row r="147" spans="1:16" s="15" customFormat="1" ht="70.5" customHeight="1" hidden="1">
      <c r="A147" s="7" t="s">
        <v>443</v>
      </c>
      <c r="B147" s="7">
        <v>2010</v>
      </c>
      <c r="C147" s="7" t="s">
        <v>383</v>
      </c>
      <c r="D147" s="9" t="s">
        <v>430</v>
      </c>
      <c r="E147" s="446" t="s">
        <v>610</v>
      </c>
      <c r="F147" s="451" t="s">
        <v>619</v>
      </c>
      <c r="G147" s="11">
        <f t="shared" si="7"/>
        <v>0</v>
      </c>
      <c r="H147" s="57">
        <v>0</v>
      </c>
      <c r="I147" s="13">
        <f aca="true" t="shared" si="8" ref="I147:I153">J147</f>
        <v>0</v>
      </c>
      <c r="J147" s="12">
        <v>0</v>
      </c>
      <c r="K147" s="248"/>
      <c r="L147" s="248"/>
      <c r="M147" s="247"/>
      <c r="N147" s="259"/>
      <c r="O147" s="259"/>
      <c r="P147" s="128"/>
    </row>
    <row r="148" spans="1:16" s="14" customFormat="1" ht="81" customHeight="1" hidden="1">
      <c r="A148" s="30" t="s">
        <v>444</v>
      </c>
      <c r="B148" s="30">
        <v>2020</v>
      </c>
      <c r="C148" s="30" t="s">
        <v>384</v>
      </c>
      <c r="D148" s="26" t="s">
        <v>432</v>
      </c>
      <c r="E148" s="446"/>
      <c r="F148" s="451"/>
      <c r="G148" s="11">
        <f t="shared" si="7"/>
        <v>0</v>
      </c>
      <c r="H148" s="13">
        <v>0</v>
      </c>
      <c r="I148" s="13">
        <f t="shared" si="8"/>
        <v>0</v>
      </c>
      <c r="J148" s="13">
        <v>0</v>
      </c>
      <c r="K148" s="249"/>
      <c r="L148" s="249"/>
      <c r="M148" s="244"/>
      <c r="N148" s="277"/>
      <c r="O148" s="277"/>
      <c r="P148" s="129"/>
    </row>
    <row r="149" spans="1:16" s="15" customFormat="1" ht="60.75" customHeight="1" hidden="1">
      <c r="A149" s="7" t="s">
        <v>445</v>
      </c>
      <c r="B149" s="7">
        <v>2100</v>
      </c>
      <c r="C149" s="7" t="s">
        <v>385</v>
      </c>
      <c r="D149" s="9" t="s">
        <v>446</v>
      </c>
      <c r="E149" s="446"/>
      <c r="F149" s="451"/>
      <c r="G149" s="11">
        <f t="shared" si="7"/>
        <v>0</v>
      </c>
      <c r="H149" s="57">
        <v>0</v>
      </c>
      <c r="I149" s="13">
        <f t="shared" si="8"/>
        <v>0</v>
      </c>
      <c r="J149" s="12">
        <v>0</v>
      </c>
      <c r="K149" s="247"/>
      <c r="L149" s="248"/>
      <c r="M149" s="247"/>
      <c r="N149" s="259"/>
      <c r="O149" s="259"/>
      <c r="P149" s="128"/>
    </row>
    <row r="150" spans="1:16" s="15" customFormat="1" ht="120" customHeight="1" hidden="1">
      <c r="A150" s="30" t="s">
        <v>244</v>
      </c>
      <c r="B150" s="30">
        <v>2152</v>
      </c>
      <c r="C150" s="30" t="s">
        <v>386</v>
      </c>
      <c r="D150" s="26" t="s">
        <v>310</v>
      </c>
      <c r="E150" s="446"/>
      <c r="F150" s="451"/>
      <c r="G150" s="11">
        <f t="shared" si="7"/>
        <v>0</v>
      </c>
      <c r="H150" s="57">
        <f>967000-967000</f>
        <v>0</v>
      </c>
      <c r="I150" s="13">
        <f t="shared" si="8"/>
        <v>0</v>
      </c>
      <c r="J150" s="12">
        <v>0</v>
      </c>
      <c r="K150" s="247"/>
      <c r="L150" s="248"/>
      <c r="M150" s="247"/>
      <c r="N150" s="259"/>
      <c r="O150" s="259"/>
      <c r="P150" s="128"/>
    </row>
    <row r="151" spans="1:16" s="14" customFormat="1" ht="156" customHeight="1" hidden="1">
      <c r="A151" s="30" t="s">
        <v>106</v>
      </c>
      <c r="B151" s="25" t="s">
        <v>103</v>
      </c>
      <c r="C151" s="30" t="s">
        <v>105</v>
      </c>
      <c r="D151" s="26" t="s">
        <v>272</v>
      </c>
      <c r="E151" s="24" t="s">
        <v>53</v>
      </c>
      <c r="F151" s="24" t="s">
        <v>54</v>
      </c>
      <c r="G151" s="11">
        <f t="shared" si="7"/>
        <v>0</v>
      </c>
      <c r="H151" s="17"/>
      <c r="I151" s="13">
        <f t="shared" si="8"/>
        <v>0</v>
      </c>
      <c r="J151" s="13"/>
      <c r="K151" s="249"/>
      <c r="L151" s="249"/>
      <c r="M151" s="244"/>
      <c r="N151" s="277"/>
      <c r="O151" s="277"/>
      <c r="P151" s="129"/>
    </row>
    <row r="152" spans="1:16" s="15" customFormat="1" ht="99.75" customHeight="1" hidden="1">
      <c r="A152" s="8" t="s">
        <v>443</v>
      </c>
      <c r="B152" s="8" t="s">
        <v>66</v>
      </c>
      <c r="C152" s="8" t="s">
        <v>383</v>
      </c>
      <c r="D152" s="9" t="s">
        <v>430</v>
      </c>
      <c r="E152" s="395" t="s">
        <v>557</v>
      </c>
      <c r="F152" s="393" t="s">
        <v>3</v>
      </c>
      <c r="G152" s="11">
        <f t="shared" si="7"/>
        <v>0</v>
      </c>
      <c r="H152" s="17"/>
      <c r="I152" s="13">
        <f t="shared" si="8"/>
        <v>0</v>
      </c>
      <c r="J152" s="12"/>
      <c r="K152" s="247"/>
      <c r="L152" s="248"/>
      <c r="M152" s="247"/>
      <c r="N152" s="259"/>
      <c r="O152" s="259"/>
      <c r="P152" s="128"/>
    </row>
    <row r="153" spans="1:16" s="15" customFormat="1" ht="152.25" customHeight="1" hidden="1">
      <c r="A153" s="7" t="s">
        <v>106</v>
      </c>
      <c r="B153" s="8" t="s">
        <v>103</v>
      </c>
      <c r="C153" s="7" t="s">
        <v>105</v>
      </c>
      <c r="D153" s="9" t="s">
        <v>272</v>
      </c>
      <c r="E153" s="454"/>
      <c r="F153" s="452"/>
      <c r="G153" s="11">
        <f t="shared" si="7"/>
        <v>0</v>
      </c>
      <c r="H153" s="17"/>
      <c r="I153" s="13">
        <f t="shared" si="8"/>
        <v>0</v>
      </c>
      <c r="J153" s="12"/>
      <c r="K153" s="248"/>
      <c r="L153" s="248"/>
      <c r="M153" s="247"/>
      <c r="N153" s="259"/>
      <c r="O153" s="259"/>
      <c r="P153" s="128"/>
    </row>
    <row r="154" spans="1:16" s="15" customFormat="1" ht="135" customHeight="1" hidden="1">
      <c r="A154" s="25" t="s">
        <v>106</v>
      </c>
      <c r="B154" s="25" t="s">
        <v>103</v>
      </c>
      <c r="C154" s="30" t="s">
        <v>105</v>
      </c>
      <c r="D154" s="26" t="s">
        <v>104</v>
      </c>
      <c r="E154" s="108" t="s">
        <v>624</v>
      </c>
      <c r="F154" s="109" t="s">
        <v>625</v>
      </c>
      <c r="G154" s="11">
        <f t="shared" si="7"/>
        <v>0</v>
      </c>
      <c r="H154" s="17"/>
      <c r="I154" s="13"/>
      <c r="J154" s="12">
        <f aca="true" t="shared" si="9" ref="J154:J162">I154</f>
        <v>0</v>
      </c>
      <c r="K154" s="248"/>
      <c r="L154" s="248"/>
      <c r="M154" s="247"/>
      <c r="N154" s="259"/>
      <c r="O154" s="259"/>
      <c r="P154" s="128"/>
    </row>
    <row r="155" spans="1:16" s="15" customFormat="1" ht="107.25" customHeight="1" hidden="1">
      <c r="A155" s="7" t="s">
        <v>443</v>
      </c>
      <c r="B155" s="7">
        <v>2010</v>
      </c>
      <c r="C155" s="7" t="s">
        <v>383</v>
      </c>
      <c r="D155" s="9" t="s">
        <v>430</v>
      </c>
      <c r="E155" s="65" t="s">
        <v>557</v>
      </c>
      <c r="F155" s="42" t="s">
        <v>3</v>
      </c>
      <c r="G155" s="11">
        <f t="shared" si="7"/>
        <v>0</v>
      </c>
      <c r="H155" s="17">
        <v>0</v>
      </c>
      <c r="I155" s="13">
        <f>J155</f>
        <v>0</v>
      </c>
      <c r="J155" s="12"/>
      <c r="K155" s="248"/>
      <c r="L155" s="248"/>
      <c r="M155" s="247"/>
      <c r="N155" s="259"/>
      <c r="O155" s="259"/>
      <c r="P155" s="128"/>
    </row>
    <row r="156" spans="1:16" s="15" customFormat="1" ht="75" customHeight="1" hidden="1">
      <c r="A156" s="59" t="s">
        <v>100</v>
      </c>
      <c r="B156" s="7" t="s">
        <v>202</v>
      </c>
      <c r="C156" s="8" t="s">
        <v>413</v>
      </c>
      <c r="D156" s="9" t="s">
        <v>34</v>
      </c>
      <c r="E156" s="24" t="s">
        <v>217</v>
      </c>
      <c r="F156" s="109" t="s">
        <v>623</v>
      </c>
      <c r="G156" s="11">
        <f t="shared" si="7"/>
        <v>0</v>
      </c>
      <c r="H156" s="17">
        <v>0</v>
      </c>
      <c r="I156" s="12">
        <f>0+300000-300000</f>
        <v>0</v>
      </c>
      <c r="J156" s="13">
        <f t="shared" si="9"/>
        <v>0</v>
      </c>
      <c r="K156" s="291"/>
      <c r="L156" s="247"/>
      <c r="M156" s="247"/>
      <c r="N156" s="259"/>
      <c r="O156" s="259"/>
      <c r="P156" s="128"/>
    </row>
    <row r="157" spans="1:16" s="15" customFormat="1" ht="75.75" customHeight="1">
      <c r="A157" s="59" t="s">
        <v>100</v>
      </c>
      <c r="B157" s="7" t="s">
        <v>202</v>
      </c>
      <c r="C157" s="8" t="s">
        <v>413</v>
      </c>
      <c r="D157" s="9" t="s">
        <v>34</v>
      </c>
      <c r="E157" s="447" t="s">
        <v>632</v>
      </c>
      <c r="F157" s="371" t="s">
        <v>393</v>
      </c>
      <c r="G157" s="11">
        <f t="shared" si="7"/>
        <v>109448930.7</v>
      </c>
      <c r="H157" s="17">
        <f>0+H158+H159</f>
        <v>0</v>
      </c>
      <c r="I157" s="57">
        <f>3800000-1000000+1000000-300000+99998+I158+881415.92+I159</f>
        <v>109448930.7</v>
      </c>
      <c r="J157" s="57">
        <f t="shared" si="9"/>
        <v>109448930.7</v>
      </c>
      <c r="K157" s="248"/>
      <c r="L157" s="248"/>
      <c r="M157" s="247"/>
      <c r="N157" s="259"/>
      <c r="O157" s="259"/>
      <c r="P157" s="128"/>
    </row>
    <row r="158" spans="1:16" s="224" customFormat="1" ht="98.25" customHeight="1">
      <c r="A158" s="241"/>
      <c r="B158" s="242"/>
      <c r="C158" s="243"/>
      <c r="D158" s="335" t="s">
        <v>573</v>
      </c>
      <c r="E158" s="453"/>
      <c r="F158" s="413"/>
      <c r="G158" s="223">
        <f>H158+I158</f>
        <v>104967516.78</v>
      </c>
      <c r="H158" s="337">
        <v>0</v>
      </c>
      <c r="I158" s="79">
        <f>107029954-1764009.22-298428</f>
        <v>104967516.78</v>
      </c>
      <c r="J158" s="79">
        <f>I158</f>
        <v>104967516.78</v>
      </c>
      <c r="K158" s="292"/>
      <c r="L158" s="293"/>
      <c r="M158" s="292"/>
      <c r="N158" s="294"/>
      <c r="O158" s="294"/>
      <c r="P158" s="293"/>
    </row>
    <row r="159" spans="1:16" s="224" customFormat="1" ht="98.25" customHeight="1" hidden="1">
      <c r="A159" s="7"/>
      <c r="B159" s="7"/>
      <c r="C159" s="7"/>
      <c r="D159" s="220" t="s">
        <v>686</v>
      </c>
      <c r="E159" s="406"/>
      <c r="F159" s="372"/>
      <c r="G159" s="223">
        <f>H159+J159</f>
        <v>0</v>
      </c>
      <c r="H159" s="79">
        <v>0</v>
      </c>
      <c r="I159" s="104">
        <f>6000000+6000000-12000000</f>
        <v>0</v>
      </c>
      <c r="J159" s="104">
        <f>I159</f>
        <v>0</v>
      </c>
      <c r="K159" s="292"/>
      <c r="L159" s="293"/>
      <c r="M159" s="292"/>
      <c r="N159" s="294"/>
      <c r="O159" s="294"/>
      <c r="P159" s="293"/>
    </row>
    <row r="160" spans="1:16" s="118" customFormat="1" ht="114.75" customHeight="1">
      <c r="A160" s="59" t="s">
        <v>119</v>
      </c>
      <c r="B160" s="59">
        <v>7363</v>
      </c>
      <c r="C160" s="58" t="s">
        <v>382</v>
      </c>
      <c r="D160" s="63" t="s">
        <v>154</v>
      </c>
      <c r="E160" s="97" t="s">
        <v>134</v>
      </c>
      <c r="F160" s="108" t="s">
        <v>253</v>
      </c>
      <c r="G160" s="117">
        <f>SUM(H160+I160)</f>
        <v>30000000</v>
      </c>
      <c r="H160" s="62"/>
      <c r="I160" s="57">
        <f>I161</f>
        <v>30000000</v>
      </c>
      <c r="J160" s="57">
        <f t="shared" si="9"/>
        <v>30000000</v>
      </c>
      <c r="K160" s="265"/>
      <c r="L160" s="265"/>
      <c r="M160" s="266"/>
      <c r="N160" s="267"/>
      <c r="O160" s="267"/>
      <c r="P160" s="268"/>
    </row>
    <row r="161" spans="1:16" s="116" customFormat="1" ht="97.5" customHeight="1">
      <c r="A161" s="110"/>
      <c r="B161" s="111"/>
      <c r="C161" s="111"/>
      <c r="D161" s="112" t="s">
        <v>120</v>
      </c>
      <c r="E161" s="113"/>
      <c r="F161" s="113"/>
      <c r="G161" s="114">
        <f>H161+I161</f>
        <v>30000000</v>
      </c>
      <c r="H161" s="115"/>
      <c r="I161" s="75">
        <f>10000000+10000000+10000000</f>
        <v>30000000</v>
      </c>
      <c r="J161" s="75">
        <f t="shared" si="9"/>
        <v>30000000</v>
      </c>
      <c r="K161" s="295"/>
      <c r="L161" s="295"/>
      <c r="M161" s="295"/>
      <c r="N161" s="296"/>
      <c r="O161" s="296"/>
      <c r="P161" s="295"/>
    </row>
    <row r="162" spans="1:16" s="116" customFormat="1" ht="94.5" customHeight="1">
      <c r="A162" s="58" t="s">
        <v>256</v>
      </c>
      <c r="B162" s="7">
        <v>7670</v>
      </c>
      <c r="C162" s="8" t="s">
        <v>382</v>
      </c>
      <c r="D162" s="9" t="s">
        <v>437</v>
      </c>
      <c r="E162" s="65" t="s">
        <v>223</v>
      </c>
      <c r="F162" s="65" t="s">
        <v>627</v>
      </c>
      <c r="G162" s="119">
        <f>H162+I162</f>
        <v>2000000</v>
      </c>
      <c r="H162" s="120">
        <v>0</v>
      </c>
      <c r="I162" s="57">
        <v>2000000</v>
      </c>
      <c r="J162" s="57">
        <f t="shared" si="9"/>
        <v>2000000</v>
      </c>
      <c r="K162" s="295"/>
      <c r="L162" s="295"/>
      <c r="M162" s="295"/>
      <c r="N162" s="297"/>
      <c r="O162" s="297"/>
      <c r="P162" s="295"/>
    </row>
    <row r="163" spans="1:16" s="15" customFormat="1" ht="358.5" customHeight="1" hidden="1">
      <c r="A163" s="68" t="s">
        <v>582</v>
      </c>
      <c r="B163" s="68">
        <v>7691</v>
      </c>
      <c r="C163" s="8" t="s">
        <v>382</v>
      </c>
      <c r="D163" s="9" t="s">
        <v>570</v>
      </c>
      <c r="E163" s="65" t="s">
        <v>269</v>
      </c>
      <c r="F163" s="99" t="s">
        <v>97</v>
      </c>
      <c r="G163" s="121">
        <f>H163+I163</f>
        <v>0</v>
      </c>
      <c r="H163" s="95"/>
      <c r="I163" s="33"/>
      <c r="J163" s="13"/>
      <c r="K163" s="248"/>
      <c r="L163" s="248"/>
      <c r="M163" s="247"/>
      <c r="N163" s="259"/>
      <c r="O163" s="259"/>
      <c r="P163" s="128"/>
    </row>
    <row r="164" spans="1:16" s="15" customFormat="1" ht="51" customHeight="1">
      <c r="A164" s="35" t="s">
        <v>471</v>
      </c>
      <c r="B164" s="34"/>
      <c r="C164" s="34"/>
      <c r="D164" s="377" t="s">
        <v>397</v>
      </c>
      <c r="E164" s="378"/>
      <c r="F164" s="36" t="s">
        <v>552</v>
      </c>
      <c r="G164" s="39">
        <f>G165+G192</f>
        <v>78576054.22</v>
      </c>
      <c r="H164" s="39">
        <f>H165+H192</f>
        <v>77975303.22</v>
      </c>
      <c r="I164" s="39">
        <f>I165+I192</f>
        <v>600751</v>
      </c>
      <c r="J164" s="39">
        <f>J165+J192</f>
        <v>209151</v>
      </c>
      <c r="K164" s="247"/>
      <c r="L164" s="248"/>
      <c r="M164" s="247"/>
      <c r="N164" s="259"/>
      <c r="O164" s="259"/>
      <c r="P164" s="128"/>
    </row>
    <row r="165" spans="1:15" s="29" customFormat="1" ht="50.25" customHeight="1">
      <c r="A165" s="18" t="s">
        <v>472</v>
      </c>
      <c r="B165" s="18"/>
      <c r="C165" s="18"/>
      <c r="D165" s="435" t="s">
        <v>460</v>
      </c>
      <c r="E165" s="436"/>
      <c r="F165" s="28" t="s">
        <v>552</v>
      </c>
      <c r="G165" s="21">
        <f>H165+I165</f>
        <v>78438348.1</v>
      </c>
      <c r="H165" s="21">
        <f>H166+H167+H168+H169+H170+H171+H174+H175+H176+H177+H178+H179+H180+H181+H182+H184+H188+H189+H191+H186+H172</f>
        <v>77837597.1</v>
      </c>
      <c r="I165" s="21">
        <f>I166+I167+I168+I169+I170+I171+I174+I175+I176+I177+I178+I179+I180+I181+I182+I184+I188+I189+I191+I186+I172</f>
        <v>600751</v>
      </c>
      <c r="J165" s="21">
        <f>J166+J167+J168+J169+J170+J171+J174+J175+J176+J177+J178+J179+J180+J181+J182+J184+J188+J189+J191+J186+J172</f>
        <v>209151</v>
      </c>
      <c r="K165" s="247"/>
      <c r="L165" s="247"/>
      <c r="M165" s="247"/>
      <c r="N165" s="260"/>
      <c r="O165" s="260"/>
    </row>
    <row r="166" spans="1:16" s="14" customFormat="1" ht="97.5" customHeight="1">
      <c r="A166" s="25" t="s">
        <v>547</v>
      </c>
      <c r="B166" s="25" t="s">
        <v>410</v>
      </c>
      <c r="C166" s="25" t="s">
        <v>366</v>
      </c>
      <c r="D166" s="26" t="s">
        <v>50</v>
      </c>
      <c r="E166" s="24" t="s">
        <v>535</v>
      </c>
      <c r="F166" s="24" t="s">
        <v>592</v>
      </c>
      <c r="G166" s="27">
        <f aca="true" t="shared" si="10" ref="G166:G191">H166+I166</f>
        <v>655927</v>
      </c>
      <c r="H166" s="17">
        <f>610600+21327+49000+49000-40000-54000+20000</f>
        <v>655927</v>
      </c>
      <c r="I166" s="13">
        <v>0</v>
      </c>
      <c r="J166" s="13">
        <v>0</v>
      </c>
      <c r="K166" s="244"/>
      <c r="L166" s="249"/>
      <c r="M166" s="247"/>
      <c r="N166" s="259"/>
      <c r="O166" s="259"/>
      <c r="P166" s="129"/>
    </row>
    <row r="167" spans="1:15" s="123" customFormat="1" ht="75" customHeight="1">
      <c r="A167" s="25" t="s">
        <v>473</v>
      </c>
      <c r="B167" s="25">
        <v>3031</v>
      </c>
      <c r="C167" s="25">
        <v>1030</v>
      </c>
      <c r="D167" s="122" t="s">
        <v>474</v>
      </c>
      <c r="E167" s="383" t="s">
        <v>73</v>
      </c>
      <c r="F167" s="383" t="s">
        <v>96</v>
      </c>
      <c r="G167" s="40">
        <f t="shared" si="10"/>
        <v>224151</v>
      </c>
      <c r="H167" s="57">
        <f>275000-250000-10000</f>
        <v>15000</v>
      </c>
      <c r="I167" s="13">
        <f>192700+16451</f>
        <v>209151</v>
      </c>
      <c r="J167" s="13">
        <f>192700+16451</f>
        <v>209151</v>
      </c>
      <c r="K167" s="244"/>
      <c r="L167" s="245"/>
      <c r="M167" s="244"/>
      <c r="N167" s="277"/>
      <c r="O167" s="277"/>
    </row>
    <row r="168" spans="1:15" s="123" customFormat="1" ht="68.25" hidden="1">
      <c r="A168" s="25" t="s">
        <v>62</v>
      </c>
      <c r="B168" s="25" t="s">
        <v>63</v>
      </c>
      <c r="C168" s="25" t="s">
        <v>65</v>
      </c>
      <c r="D168" s="122" t="s">
        <v>64</v>
      </c>
      <c r="E168" s="383"/>
      <c r="F168" s="383"/>
      <c r="G168" s="40">
        <f t="shared" si="10"/>
        <v>0</v>
      </c>
      <c r="H168" s="57">
        <f>11300-11300</f>
        <v>0</v>
      </c>
      <c r="I168" s="13">
        <v>0</v>
      </c>
      <c r="J168" s="13">
        <v>0</v>
      </c>
      <c r="K168" s="244"/>
      <c r="L168" s="245"/>
      <c r="M168" s="244"/>
      <c r="N168" s="277"/>
      <c r="O168" s="277"/>
    </row>
    <row r="169" spans="1:15" s="125" customFormat="1" ht="90.75">
      <c r="A169" s="25" t="s">
        <v>475</v>
      </c>
      <c r="B169" s="25">
        <v>3033</v>
      </c>
      <c r="C169" s="25">
        <v>1070</v>
      </c>
      <c r="D169" s="122" t="s">
        <v>387</v>
      </c>
      <c r="E169" s="445"/>
      <c r="F169" s="383"/>
      <c r="G169" s="40">
        <f t="shared" si="10"/>
        <v>1222000</v>
      </c>
      <c r="H169" s="124">
        <v>1222000</v>
      </c>
      <c r="I169" s="12">
        <v>0</v>
      </c>
      <c r="J169" s="12">
        <v>0</v>
      </c>
      <c r="K169" s="246"/>
      <c r="L169" s="246"/>
      <c r="M169" s="247"/>
      <c r="N169" s="259"/>
      <c r="O169" s="259"/>
    </row>
    <row r="170" spans="1:15" s="125" customFormat="1" ht="90.75">
      <c r="A170" s="25" t="s">
        <v>476</v>
      </c>
      <c r="B170" s="25">
        <v>3035</v>
      </c>
      <c r="C170" s="25">
        <v>1070</v>
      </c>
      <c r="D170" s="122" t="s">
        <v>388</v>
      </c>
      <c r="E170" s="445"/>
      <c r="F170" s="383"/>
      <c r="G170" s="40">
        <f t="shared" si="10"/>
        <v>126000</v>
      </c>
      <c r="H170" s="124">
        <f>757000-500000-131000</f>
        <v>126000</v>
      </c>
      <c r="I170" s="12">
        <v>0</v>
      </c>
      <c r="J170" s="12">
        <v>0</v>
      </c>
      <c r="K170" s="246"/>
      <c r="L170" s="246"/>
      <c r="M170" s="247"/>
      <c r="N170" s="259"/>
      <c r="O170" s="259"/>
    </row>
    <row r="171" spans="1:15" s="123" customFormat="1" ht="90.75">
      <c r="A171" s="25" t="s">
        <v>477</v>
      </c>
      <c r="B171" s="25">
        <v>3036</v>
      </c>
      <c r="C171" s="25">
        <v>1070</v>
      </c>
      <c r="D171" s="122" t="s">
        <v>389</v>
      </c>
      <c r="E171" s="445"/>
      <c r="F171" s="383"/>
      <c r="G171" s="40">
        <f t="shared" si="10"/>
        <v>10000000</v>
      </c>
      <c r="H171" s="124">
        <v>10000000</v>
      </c>
      <c r="I171" s="13">
        <v>0</v>
      </c>
      <c r="J171" s="13">
        <v>0</v>
      </c>
      <c r="K171" s="245"/>
      <c r="L171" s="245"/>
      <c r="M171" s="244"/>
      <c r="N171" s="277"/>
      <c r="O171" s="277"/>
    </row>
    <row r="172" spans="1:15" s="123" customFormat="1" ht="68.25">
      <c r="A172" s="388" t="s">
        <v>681</v>
      </c>
      <c r="B172" s="388">
        <v>3050</v>
      </c>
      <c r="C172" s="388" t="s">
        <v>65</v>
      </c>
      <c r="D172" s="25" t="s">
        <v>682</v>
      </c>
      <c r="E172" s="384" t="s">
        <v>73</v>
      </c>
      <c r="F172" s="384" t="s">
        <v>275</v>
      </c>
      <c r="G172" s="40">
        <f t="shared" si="10"/>
        <v>188838</v>
      </c>
      <c r="H172" s="124">
        <f>H173</f>
        <v>188838</v>
      </c>
      <c r="I172" s="13">
        <v>0</v>
      </c>
      <c r="J172" s="13">
        <v>0</v>
      </c>
      <c r="K172" s="245"/>
      <c r="L172" s="245"/>
      <c r="M172" s="244"/>
      <c r="N172" s="277"/>
      <c r="O172" s="277"/>
    </row>
    <row r="173" spans="1:15" s="123" customFormat="1" ht="96.75" customHeight="1">
      <c r="A173" s="389"/>
      <c r="B173" s="389"/>
      <c r="C173" s="389"/>
      <c r="D173" s="216" t="s">
        <v>683</v>
      </c>
      <c r="E173" s="385"/>
      <c r="F173" s="385"/>
      <c r="G173" s="40">
        <f t="shared" si="10"/>
        <v>188838</v>
      </c>
      <c r="H173" s="79">
        <v>188838</v>
      </c>
      <c r="I173" s="13">
        <v>0</v>
      </c>
      <c r="J173" s="13">
        <v>0</v>
      </c>
      <c r="K173" s="245"/>
      <c r="L173" s="245"/>
      <c r="M173" s="244"/>
      <c r="N173" s="277"/>
      <c r="O173" s="277"/>
    </row>
    <row r="174" spans="1:15" s="123" customFormat="1" ht="136.5">
      <c r="A174" s="25" t="s">
        <v>482</v>
      </c>
      <c r="B174" s="30" t="s">
        <v>483</v>
      </c>
      <c r="C174" s="30" t="s">
        <v>398</v>
      </c>
      <c r="D174" s="82" t="s">
        <v>484</v>
      </c>
      <c r="E174" s="42" t="s">
        <v>73</v>
      </c>
      <c r="F174" s="42" t="s">
        <v>275</v>
      </c>
      <c r="G174" s="40">
        <f t="shared" si="10"/>
        <v>21547352.2</v>
      </c>
      <c r="H174" s="124">
        <f>28038575+195800+405700+20000+2000+38174.4+4980+219900-7769377.2</f>
        <v>21155752.2</v>
      </c>
      <c r="I174" s="13">
        <v>391600</v>
      </c>
      <c r="J174" s="13">
        <v>0</v>
      </c>
      <c r="K174" s="245"/>
      <c r="L174" s="245"/>
      <c r="M174" s="244"/>
      <c r="N174" s="277"/>
      <c r="O174" s="277"/>
    </row>
    <row r="175" spans="1:15" s="128" customFormat="1" ht="68.25">
      <c r="A175" s="8" t="s">
        <v>478</v>
      </c>
      <c r="B175" s="8">
        <v>3121</v>
      </c>
      <c r="C175" s="8">
        <v>1040</v>
      </c>
      <c r="D175" s="126" t="s">
        <v>17</v>
      </c>
      <c r="E175" s="367" t="s">
        <v>74</v>
      </c>
      <c r="F175" s="367" t="s">
        <v>456</v>
      </c>
      <c r="G175" s="127">
        <f t="shared" si="10"/>
        <v>2011712.56</v>
      </c>
      <c r="H175" s="12">
        <f>3010560-405700-593147.44</f>
        <v>2011712.56</v>
      </c>
      <c r="I175" s="57">
        <v>0</v>
      </c>
      <c r="J175" s="57">
        <v>0</v>
      </c>
      <c r="K175" s="247"/>
      <c r="L175" s="248"/>
      <c r="M175" s="247"/>
      <c r="N175" s="259"/>
      <c r="O175" s="259"/>
    </row>
    <row r="176" spans="1:15" s="128" customFormat="1" ht="53.25" customHeight="1">
      <c r="A176" s="8" t="s">
        <v>479</v>
      </c>
      <c r="B176" s="8">
        <v>3123</v>
      </c>
      <c r="C176" s="8">
        <v>1040</v>
      </c>
      <c r="D176" s="126" t="s">
        <v>428</v>
      </c>
      <c r="E176" s="367"/>
      <c r="F176" s="367"/>
      <c r="G176" s="127">
        <f t="shared" si="10"/>
        <v>171968</v>
      </c>
      <c r="H176" s="57">
        <f>351500-179532</f>
        <v>171968</v>
      </c>
      <c r="I176" s="57">
        <v>0</v>
      </c>
      <c r="J176" s="57">
        <v>0</v>
      </c>
      <c r="K176" s="248"/>
      <c r="L176" s="248"/>
      <c r="M176" s="247"/>
      <c r="N176" s="259"/>
      <c r="O176" s="259"/>
    </row>
    <row r="177" spans="1:15" s="129" customFormat="1" ht="159" hidden="1">
      <c r="A177" s="25" t="s">
        <v>480</v>
      </c>
      <c r="B177" s="25">
        <v>3140</v>
      </c>
      <c r="C177" s="25">
        <v>1040</v>
      </c>
      <c r="D177" s="122" t="s">
        <v>427</v>
      </c>
      <c r="E177" s="367"/>
      <c r="F177" s="367"/>
      <c r="G177" s="127">
        <f t="shared" si="10"/>
        <v>0</v>
      </c>
      <c r="H177" s="124">
        <f>1600000-1600000</f>
        <v>0</v>
      </c>
      <c r="I177" s="13">
        <v>0</v>
      </c>
      <c r="J177" s="13">
        <v>0</v>
      </c>
      <c r="K177" s="249"/>
      <c r="L177" s="249"/>
      <c r="M177" s="247"/>
      <c r="N177" s="259"/>
      <c r="O177" s="259"/>
    </row>
    <row r="178" spans="1:15" s="129" customFormat="1" ht="188.25" customHeight="1">
      <c r="A178" s="25" t="s">
        <v>485</v>
      </c>
      <c r="B178" s="25" t="s">
        <v>198</v>
      </c>
      <c r="C178" s="25">
        <v>1010</v>
      </c>
      <c r="D178" s="82" t="s">
        <v>264</v>
      </c>
      <c r="E178" s="42" t="s">
        <v>75</v>
      </c>
      <c r="F178" s="42" t="s">
        <v>590</v>
      </c>
      <c r="G178" s="40">
        <f t="shared" si="10"/>
        <v>2657100</v>
      </c>
      <c r="H178" s="93">
        <f>1607100+200000+400000+500000-50000</f>
        <v>2657100</v>
      </c>
      <c r="I178" s="13">
        <v>0</v>
      </c>
      <c r="J178" s="13">
        <v>0</v>
      </c>
      <c r="K178" s="249"/>
      <c r="L178" s="249"/>
      <c r="M178" s="244"/>
      <c r="N178" s="277"/>
      <c r="O178" s="277"/>
    </row>
    <row r="179" spans="1:15" s="129" customFormat="1" ht="68.25">
      <c r="A179" s="368" t="s">
        <v>481</v>
      </c>
      <c r="B179" s="368">
        <v>3180</v>
      </c>
      <c r="C179" s="368">
        <v>1060</v>
      </c>
      <c r="D179" s="366" t="s">
        <v>309</v>
      </c>
      <c r="E179" s="91" t="s">
        <v>73</v>
      </c>
      <c r="F179" s="91" t="s">
        <v>596</v>
      </c>
      <c r="G179" s="127">
        <f t="shared" si="10"/>
        <v>380899</v>
      </c>
      <c r="H179" s="57">
        <f>564350-200000-27000+120000-60000-16451</f>
        <v>380899</v>
      </c>
      <c r="I179" s="13">
        <v>0</v>
      </c>
      <c r="J179" s="13">
        <v>0</v>
      </c>
      <c r="K179" s="244"/>
      <c r="L179" s="249"/>
      <c r="M179" s="247"/>
      <c r="N179" s="259"/>
      <c r="O179" s="259"/>
    </row>
    <row r="180" spans="1:15" s="129" customFormat="1" ht="90.75">
      <c r="A180" s="368"/>
      <c r="B180" s="368"/>
      <c r="C180" s="368"/>
      <c r="D180" s="366"/>
      <c r="E180" s="6" t="s">
        <v>685</v>
      </c>
      <c r="F180" s="91" t="s">
        <v>609</v>
      </c>
      <c r="G180" s="40">
        <f t="shared" si="10"/>
        <v>23050</v>
      </c>
      <c r="H180" s="57">
        <f>83050-60000</f>
        <v>23050</v>
      </c>
      <c r="I180" s="13">
        <v>0</v>
      </c>
      <c r="J180" s="13">
        <v>0</v>
      </c>
      <c r="K180" s="249"/>
      <c r="L180" s="249"/>
      <c r="M180" s="244"/>
      <c r="N180" s="277"/>
      <c r="O180" s="277"/>
    </row>
    <row r="181" spans="1:15" s="129" customFormat="1" ht="73.5" customHeight="1">
      <c r="A181" s="368"/>
      <c r="B181" s="368"/>
      <c r="C181" s="368"/>
      <c r="D181" s="366"/>
      <c r="E181" s="6" t="s">
        <v>31</v>
      </c>
      <c r="F181" s="6" t="s">
        <v>68</v>
      </c>
      <c r="G181" s="40">
        <f t="shared" si="10"/>
        <v>309400</v>
      </c>
      <c r="H181" s="57">
        <f>509400-120000-80000</f>
        <v>309400</v>
      </c>
      <c r="I181" s="13">
        <v>0</v>
      </c>
      <c r="J181" s="13">
        <v>0</v>
      </c>
      <c r="K181" s="249"/>
      <c r="L181" s="249"/>
      <c r="M181" s="244"/>
      <c r="N181" s="277"/>
      <c r="O181" s="277"/>
    </row>
    <row r="182" spans="1:16" s="15" customFormat="1" ht="123.75" customHeight="1">
      <c r="A182" s="364" t="s">
        <v>260</v>
      </c>
      <c r="B182" s="364">
        <v>3192</v>
      </c>
      <c r="C182" s="364">
        <v>1030</v>
      </c>
      <c r="D182" s="109" t="s">
        <v>18</v>
      </c>
      <c r="E182" s="371" t="s">
        <v>75</v>
      </c>
      <c r="F182" s="371" t="s">
        <v>597</v>
      </c>
      <c r="G182" s="27">
        <f t="shared" si="10"/>
        <v>894465</v>
      </c>
      <c r="H182" s="57">
        <f>874465+H183</f>
        <v>894465</v>
      </c>
      <c r="I182" s="12">
        <v>0</v>
      </c>
      <c r="J182" s="12">
        <v>0</v>
      </c>
      <c r="K182" s="248"/>
      <c r="L182" s="248"/>
      <c r="M182" s="247"/>
      <c r="N182" s="259"/>
      <c r="O182" s="259"/>
      <c r="P182" s="128"/>
    </row>
    <row r="183" spans="1:16" s="15" customFormat="1" ht="106.5" customHeight="1">
      <c r="A183" s="365"/>
      <c r="B183" s="365"/>
      <c r="C183" s="365"/>
      <c r="D183" s="218" t="s">
        <v>245</v>
      </c>
      <c r="E183" s="372"/>
      <c r="F183" s="372"/>
      <c r="G183" s="217">
        <f>H183+I183</f>
        <v>20000</v>
      </c>
      <c r="H183" s="75">
        <v>20000</v>
      </c>
      <c r="I183" s="74">
        <v>0</v>
      </c>
      <c r="J183" s="74">
        <v>0</v>
      </c>
      <c r="K183" s="248"/>
      <c r="L183" s="248"/>
      <c r="M183" s="247"/>
      <c r="N183" s="259"/>
      <c r="O183" s="259"/>
      <c r="P183" s="128"/>
    </row>
    <row r="184" spans="1:16" s="15" customFormat="1" ht="99.75" customHeight="1">
      <c r="A184" s="364" t="s">
        <v>261</v>
      </c>
      <c r="B184" s="364">
        <v>3241</v>
      </c>
      <c r="C184" s="364">
        <v>1090</v>
      </c>
      <c r="D184" s="10" t="s">
        <v>263</v>
      </c>
      <c r="E184" s="371" t="s">
        <v>75</v>
      </c>
      <c r="F184" s="371" t="s">
        <v>598</v>
      </c>
      <c r="G184" s="27">
        <f t="shared" si="10"/>
        <v>12008227.46</v>
      </c>
      <c r="H184" s="57">
        <f>3591800+26520.72+8000+11382.1+8362524.64-6000+14000</f>
        <v>12008227.46</v>
      </c>
      <c r="I184" s="12">
        <v>0</v>
      </c>
      <c r="J184" s="12">
        <v>0</v>
      </c>
      <c r="K184" s="248"/>
      <c r="L184" s="248"/>
      <c r="M184" s="247"/>
      <c r="N184" s="259"/>
      <c r="O184" s="259"/>
      <c r="P184" s="128"/>
    </row>
    <row r="185" spans="1:16" s="15" customFormat="1" ht="109.5" customHeight="1">
      <c r="A185" s="365"/>
      <c r="B185" s="365"/>
      <c r="C185" s="365"/>
      <c r="D185" s="218" t="s">
        <v>245</v>
      </c>
      <c r="E185" s="372"/>
      <c r="F185" s="372"/>
      <c r="G185" s="221">
        <f t="shared" si="10"/>
        <v>14000</v>
      </c>
      <c r="H185" s="222">
        <v>14000</v>
      </c>
      <c r="I185" s="12"/>
      <c r="J185" s="12"/>
      <c r="K185" s="248"/>
      <c r="L185" s="248"/>
      <c r="M185" s="247"/>
      <c r="N185" s="259"/>
      <c r="O185" s="259"/>
      <c r="P185" s="128"/>
    </row>
    <row r="186" spans="1:16" s="15" customFormat="1" ht="81" customHeight="1">
      <c r="A186" s="418" t="s">
        <v>262</v>
      </c>
      <c r="B186" s="418" t="s">
        <v>257</v>
      </c>
      <c r="C186" s="422">
        <v>1090</v>
      </c>
      <c r="D186" s="10" t="s">
        <v>258</v>
      </c>
      <c r="E186" s="371" t="s">
        <v>75</v>
      </c>
      <c r="F186" s="371" t="s">
        <v>602</v>
      </c>
      <c r="G186" s="27">
        <f>H186+I186</f>
        <v>18349429.88</v>
      </c>
      <c r="H186" s="13">
        <f>9755600+189000+20000+672500+484000+893000-212000+510700+534490+544600+643800-123000+966205.2-39000+407100+1216900-8723+724886+527979+6000-425227+830683.68-1577237+H187+26696</f>
        <v>18349429.88</v>
      </c>
      <c r="I186" s="12">
        <v>0</v>
      </c>
      <c r="J186" s="12">
        <v>0</v>
      </c>
      <c r="K186" s="247"/>
      <c r="L186" s="248"/>
      <c r="M186" s="247"/>
      <c r="N186" s="259"/>
      <c r="O186" s="259"/>
      <c r="P186" s="128"/>
    </row>
    <row r="187" spans="1:16" s="15" customFormat="1" ht="99.75" customHeight="1">
      <c r="A187" s="419"/>
      <c r="B187" s="419"/>
      <c r="C187" s="423"/>
      <c r="D187" s="219" t="s">
        <v>245</v>
      </c>
      <c r="E187" s="372"/>
      <c r="F187" s="372"/>
      <c r="G187" s="217">
        <f t="shared" si="10"/>
        <v>1780477</v>
      </c>
      <c r="H187" s="79">
        <f>1092500+532977+20000+135000</f>
        <v>1780477</v>
      </c>
      <c r="I187" s="74">
        <v>0</v>
      </c>
      <c r="J187" s="74">
        <v>0</v>
      </c>
      <c r="K187" s="247"/>
      <c r="L187" s="248"/>
      <c r="M187" s="247"/>
      <c r="N187" s="259"/>
      <c r="O187" s="259"/>
      <c r="P187" s="128"/>
    </row>
    <row r="188" spans="1:16" s="15" customFormat="1" ht="99.75" customHeight="1">
      <c r="A188" s="419"/>
      <c r="B188" s="419"/>
      <c r="C188" s="423"/>
      <c r="D188" s="443" t="s">
        <v>258</v>
      </c>
      <c r="E188" s="6" t="s">
        <v>685</v>
      </c>
      <c r="F188" s="61" t="s">
        <v>622</v>
      </c>
      <c r="G188" s="27">
        <f t="shared" si="10"/>
        <v>4526632</v>
      </c>
      <c r="H188" s="57">
        <f>4326000+425227-224595</f>
        <v>4526632</v>
      </c>
      <c r="I188" s="12">
        <v>0</v>
      </c>
      <c r="J188" s="12">
        <v>0</v>
      </c>
      <c r="K188" s="298"/>
      <c r="L188" s="248"/>
      <c r="M188" s="247"/>
      <c r="N188" s="259"/>
      <c r="O188" s="259"/>
      <c r="P188" s="128"/>
    </row>
    <row r="189" spans="1:16" s="15" customFormat="1" ht="73.5" customHeight="1">
      <c r="A189" s="420"/>
      <c r="B189" s="420"/>
      <c r="C189" s="424"/>
      <c r="D189" s="444"/>
      <c r="E189" s="61" t="s">
        <v>31</v>
      </c>
      <c r="F189" s="61" t="s">
        <v>238</v>
      </c>
      <c r="G189" s="27">
        <f t="shared" si="10"/>
        <v>3141196</v>
      </c>
      <c r="H189" s="13">
        <f>3009400+248000+8723-124927</f>
        <v>3141196</v>
      </c>
      <c r="I189" s="12">
        <v>0</v>
      </c>
      <c r="J189" s="12">
        <v>0</v>
      </c>
      <c r="K189" s="298"/>
      <c r="L189" s="248"/>
      <c r="M189" s="247"/>
      <c r="N189" s="259"/>
      <c r="O189" s="259"/>
      <c r="P189" s="128"/>
    </row>
    <row r="190" spans="1:16" s="15" customFormat="1" ht="117" customHeight="1" hidden="1">
      <c r="A190" s="8"/>
      <c r="B190" s="7"/>
      <c r="C190" s="7"/>
      <c r="D190" s="9"/>
      <c r="E190" s="61" t="s">
        <v>76</v>
      </c>
      <c r="F190" s="61" t="s">
        <v>457</v>
      </c>
      <c r="G190" s="27">
        <f t="shared" si="10"/>
        <v>0</v>
      </c>
      <c r="H190" s="41"/>
      <c r="I190" s="12"/>
      <c r="J190" s="12"/>
      <c r="K190" s="247"/>
      <c r="L190" s="248"/>
      <c r="M190" s="247"/>
      <c r="N190" s="259"/>
      <c r="O190" s="259"/>
      <c r="P190" s="128"/>
    </row>
    <row r="191" spans="1:16" s="15" customFormat="1" ht="72.75" customHeight="1" hidden="1">
      <c r="A191" s="8" t="s">
        <v>290</v>
      </c>
      <c r="B191" s="7" t="s">
        <v>192</v>
      </c>
      <c r="C191" s="7" t="s">
        <v>190</v>
      </c>
      <c r="D191" s="9" t="s">
        <v>204</v>
      </c>
      <c r="E191" s="61" t="s">
        <v>75</v>
      </c>
      <c r="F191" s="61" t="s">
        <v>602</v>
      </c>
      <c r="G191" s="27">
        <f t="shared" si="10"/>
        <v>0</v>
      </c>
      <c r="H191" s="41">
        <v>0</v>
      </c>
      <c r="I191" s="12">
        <f>4800000-4800000</f>
        <v>0</v>
      </c>
      <c r="J191" s="12">
        <f>4800000-4800000</f>
        <v>0</v>
      </c>
      <c r="K191" s="247"/>
      <c r="L191" s="248"/>
      <c r="M191" s="247"/>
      <c r="N191" s="259"/>
      <c r="O191" s="259"/>
      <c r="P191" s="128"/>
    </row>
    <row r="192" spans="1:15" s="29" customFormat="1" ht="54.75" customHeight="1">
      <c r="A192" s="18" t="s">
        <v>472</v>
      </c>
      <c r="B192" s="18"/>
      <c r="C192" s="18"/>
      <c r="D192" s="435" t="s">
        <v>431</v>
      </c>
      <c r="E192" s="436"/>
      <c r="F192" s="28" t="s">
        <v>552</v>
      </c>
      <c r="G192" s="21">
        <f>H192+I192</f>
        <v>137706.12</v>
      </c>
      <c r="H192" s="21">
        <f>SUM(H193)</f>
        <v>137706.12</v>
      </c>
      <c r="I192" s="21">
        <f>SUM(I193)</f>
        <v>0</v>
      </c>
      <c r="J192" s="21">
        <f>SUM(J193)</f>
        <v>0</v>
      </c>
      <c r="K192" s="299"/>
      <c r="L192" s="299"/>
      <c r="M192" s="299"/>
      <c r="N192" s="260"/>
      <c r="O192" s="260"/>
    </row>
    <row r="193" spans="1:16" s="14" customFormat="1" ht="102" customHeight="1">
      <c r="A193" s="25" t="s">
        <v>547</v>
      </c>
      <c r="B193" s="25" t="s">
        <v>410</v>
      </c>
      <c r="C193" s="25" t="s">
        <v>366</v>
      </c>
      <c r="D193" s="26" t="s">
        <v>50</v>
      </c>
      <c r="E193" s="24" t="s">
        <v>218</v>
      </c>
      <c r="F193" s="24" t="s">
        <v>592</v>
      </c>
      <c r="G193" s="27">
        <f>H193+I193</f>
        <v>137706.12</v>
      </c>
      <c r="H193" s="17">
        <f>265200-144900+58470-41063.88</f>
        <v>137706.12</v>
      </c>
      <c r="I193" s="13">
        <v>0</v>
      </c>
      <c r="J193" s="13">
        <v>0</v>
      </c>
      <c r="K193" s="249"/>
      <c r="L193" s="249"/>
      <c r="M193" s="247"/>
      <c r="N193" s="259"/>
      <c r="O193" s="259"/>
      <c r="P193" s="129"/>
    </row>
    <row r="194" spans="1:16" s="15" customFormat="1" ht="39.75" customHeight="1">
      <c r="A194" s="35" t="s">
        <v>486</v>
      </c>
      <c r="B194" s="34"/>
      <c r="C194" s="34"/>
      <c r="D194" s="377" t="s">
        <v>399</v>
      </c>
      <c r="E194" s="378"/>
      <c r="F194" s="36" t="s">
        <v>552</v>
      </c>
      <c r="G194" s="39">
        <f>G195</f>
        <v>8607220</v>
      </c>
      <c r="H194" s="39">
        <f>H195</f>
        <v>8607220</v>
      </c>
      <c r="I194" s="39">
        <f>I195</f>
        <v>0</v>
      </c>
      <c r="J194" s="39">
        <f>J195</f>
        <v>0</v>
      </c>
      <c r="K194" s="247"/>
      <c r="L194" s="248"/>
      <c r="M194" s="247"/>
      <c r="N194" s="259"/>
      <c r="O194" s="259"/>
      <c r="P194" s="128"/>
    </row>
    <row r="195" spans="1:16" s="23" customFormat="1" ht="39" customHeight="1">
      <c r="A195" s="19" t="s">
        <v>487</v>
      </c>
      <c r="B195" s="18"/>
      <c r="C195" s="18"/>
      <c r="D195" s="369" t="s">
        <v>425</v>
      </c>
      <c r="E195" s="370"/>
      <c r="F195" s="20" t="s">
        <v>552</v>
      </c>
      <c r="G195" s="32">
        <f>H195+I195</f>
        <v>8607220</v>
      </c>
      <c r="H195" s="32">
        <f>SUM(H196+H197+H198+H199+H201+H202)</f>
        <v>8607220</v>
      </c>
      <c r="I195" s="32">
        <f>SUM(I196+I197+I198+I199+I201+I202)</f>
        <v>0</v>
      </c>
      <c r="J195" s="32">
        <f>SUM(J196+J197+J198+J199+J203)</f>
        <v>0</v>
      </c>
      <c r="K195" s="300"/>
      <c r="L195" s="300"/>
      <c r="M195" s="300"/>
      <c r="N195" s="260"/>
      <c r="O195" s="260"/>
      <c r="P195" s="125"/>
    </row>
    <row r="196" spans="1:16" s="14" customFormat="1" ht="93" customHeight="1">
      <c r="A196" s="25" t="s">
        <v>548</v>
      </c>
      <c r="B196" s="25" t="s">
        <v>410</v>
      </c>
      <c r="C196" s="25" t="s">
        <v>366</v>
      </c>
      <c r="D196" s="26" t="s">
        <v>50</v>
      </c>
      <c r="E196" s="24" t="s">
        <v>218</v>
      </c>
      <c r="F196" s="24" t="s">
        <v>592</v>
      </c>
      <c r="G196" s="11">
        <f aca="true" t="shared" si="11" ref="G196:G203">H196+I196</f>
        <v>167500</v>
      </c>
      <c r="H196" s="17">
        <f>321000-228500+60000+15000</f>
        <v>167500</v>
      </c>
      <c r="I196" s="13">
        <v>0</v>
      </c>
      <c r="J196" s="13">
        <v>0</v>
      </c>
      <c r="K196" s="244"/>
      <c r="L196" s="249"/>
      <c r="M196" s="247"/>
      <c r="N196" s="259"/>
      <c r="O196" s="259"/>
      <c r="P196" s="129"/>
    </row>
    <row r="197" spans="1:16" s="15" customFormat="1" ht="168.75" customHeight="1">
      <c r="A197" s="8" t="s">
        <v>488</v>
      </c>
      <c r="B197" s="7" t="s">
        <v>489</v>
      </c>
      <c r="C197" s="7" t="s">
        <v>375</v>
      </c>
      <c r="D197" s="84" t="s">
        <v>92</v>
      </c>
      <c r="E197" s="426" t="s">
        <v>614</v>
      </c>
      <c r="F197" s="373" t="s">
        <v>615</v>
      </c>
      <c r="G197" s="127">
        <f t="shared" si="11"/>
        <v>7408870</v>
      </c>
      <c r="H197" s="12">
        <f>6842100+325750+12000+21060+207960</f>
        <v>7408870</v>
      </c>
      <c r="I197" s="12">
        <v>0</v>
      </c>
      <c r="J197" s="12">
        <v>0</v>
      </c>
      <c r="K197" s="396"/>
      <c r="L197" s="247"/>
      <c r="M197" s="247"/>
      <c r="N197" s="259"/>
      <c r="O197" s="259"/>
      <c r="P197" s="128"/>
    </row>
    <row r="198" spans="1:16" s="15" customFormat="1" ht="70.5" customHeight="1">
      <c r="A198" s="8" t="s">
        <v>490</v>
      </c>
      <c r="B198" s="7" t="s">
        <v>491</v>
      </c>
      <c r="C198" s="7" t="s">
        <v>375</v>
      </c>
      <c r="D198" s="84" t="s">
        <v>429</v>
      </c>
      <c r="E198" s="427"/>
      <c r="F198" s="374"/>
      <c r="G198" s="127">
        <f t="shared" si="11"/>
        <v>422040</v>
      </c>
      <c r="H198" s="12">
        <f>333400+88640</f>
        <v>422040</v>
      </c>
      <c r="I198" s="12">
        <v>0</v>
      </c>
      <c r="J198" s="12">
        <v>0</v>
      </c>
      <c r="K198" s="396"/>
      <c r="L198" s="248"/>
      <c r="M198" s="247"/>
      <c r="N198" s="259"/>
      <c r="O198" s="259"/>
      <c r="P198" s="128"/>
    </row>
    <row r="199" spans="1:16" s="15" customFormat="1" ht="64.5" customHeight="1">
      <c r="A199" s="8" t="s">
        <v>509</v>
      </c>
      <c r="B199" s="8" t="s">
        <v>510</v>
      </c>
      <c r="C199" s="8" t="s">
        <v>375</v>
      </c>
      <c r="D199" s="193" t="s">
        <v>511</v>
      </c>
      <c r="E199" s="431"/>
      <c r="F199" s="375"/>
      <c r="G199" s="127">
        <f t="shared" si="11"/>
        <v>529210</v>
      </c>
      <c r="H199" s="12">
        <f>475800+253700-58900+10000-62750-88640</f>
        <v>529210</v>
      </c>
      <c r="I199" s="12">
        <f>302898-302898</f>
        <v>0</v>
      </c>
      <c r="J199" s="12">
        <f>302898-302898</f>
        <v>0</v>
      </c>
      <c r="K199" s="250"/>
      <c r="L199" s="248"/>
      <c r="M199" s="247"/>
      <c r="N199" s="259"/>
      <c r="O199" s="259"/>
      <c r="P199" s="128"/>
    </row>
    <row r="200" spans="1:16" s="105" customFormat="1" ht="180">
      <c r="A200" s="142"/>
      <c r="B200" s="142"/>
      <c r="C200" s="142"/>
      <c r="D200" s="72" t="s">
        <v>186</v>
      </c>
      <c r="E200" s="426" t="s">
        <v>614</v>
      </c>
      <c r="F200" s="373" t="s">
        <v>615</v>
      </c>
      <c r="G200" s="213">
        <f t="shared" si="11"/>
        <v>190950</v>
      </c>
      <c r="H200" s="74">
        <f>253700-62750</f>
        <v>190950</v>
      </c>
      <c r="I200" s="74"/>
      <c r="J200" s="74"/>
      <c r="K200" s="251"/>
      <c r="L200" s="272"/>
      <c r="M200" s="271"/>
      <c r="N200" s="273"/>
      <c r="O200" s="273"/>
      <c r="P200" s="272"/>
    </row>
    <row r="201" spans="1:16" s="15" customFormat="1" ht="68.25">
      <c r="A201" s="25" t="s">
        <v>276</v>
      </c>
      <c r="B201" s="7">
        <v>3242</v>
      </c>
      <c r="C201" s="7">
        <v>1090</v>
      </c>
      <c r="D201" s="9" t="s">
        <v>258</v>
      </c>
      <c r="E201" s="427"/>
      <c r="F201" s="374"/>
      <c r="G201" s="127">
        <f>H201+I201</f>
        <v>79600</v>
      </c>
      <c r="H201" s="12">
        <v>79600</v>
      </c>
      <c r="I201" s="13">
        <v>0</v>
      </c>
      <c r="J201" s="13">
        <v>0</v>
      </c>
      <c r="K201" s="250"/>
      <c r="L201" s="248"/>
      <c r="M201" s="247"/>
      <c r="N201" s="259"/>
      <c r="O201" s="259"/>
      <c r="P201" s="128"/>
    </row>
    <row r="202" spans="1:16" s="15" customFormat="1" ht="195.75" customHeight="1" hidden="1">
      <c r="A202" s="25" t="s">
        <v>81</v>
      </c>
      <c r="B202" s="7">
        <v>6083</v>
      </c>
      <c r="C202" s="7" t="s">
        <v>190</v>
      </c>
      <c r="D202" s="9" t="s">
        <v>82</v>
      </c>
      <c r="E202" s="360"/>
      <c r="F202" s="362"/>
      <c r="G202" s="127">
        <f t="shared" si="11"/>
        <v>0</v>
      </c>
      <c r="H202" s="12"/>
      <c r="I202" s="13">
        <f>369171.25+12911.5-382082.75</f>
        <v>0</v>
      </c>
      <c r="J202" s="13">
        <f>369171.25+12911.5-382082.75</f>
        <v>0</v>
      </c>
      <c r="K202" s="250"/>
      <c r="L202" s="248"/>
      <c r="M202" s="247"/>
      <c r="N202" s="259"/>
      <c r="O202" s="259"/>
      <c r="P202" s="128"/>
    </row>
    <row r="203" spans="1:16" s="152" customFormat="1" ht="193.5" customHeight="1" hidden="1">
      <c r="A203" s="110"/>
      <c r="B203" s="214"/>
      <c r="C203" s="110"/>
      <c r="D203" s="72" t="s">
        <v>83</v>
      </c>
      <c r="E203" s="361"/>
      <c r="F203" s="363"/>
      <c r="G203" s="213">
        <f t="shared" si="11"/>
        <v>0</v>
      </c>
      <c r="H203" s="74"/>
      <c r="I203" s="79">
        <f>369171.25+12911.5-382082.75</f>
        <v>0</v>
      </c>
      <c r="J203" s="79">
        <f>369171.25+12911.5-382082.75</f>
        <v>0</v>
      </c>
      <c r="K203" s="276"/>
      <c r="L203" s="276"/>
      <c r="M203" s="271"/>
      <c r="N203" s="273"/>
      <c r="O203" s="273"/>
      <c r="P203" s="276"/>
    </row>
    <row r="204" spans="1:16" s="15" customFormat="1" ht="44.25" customHeight="1">
      <c r="A204" s="34" t="s">
        <v>295</v>
      </c>
      <c r="B204" s="130"/>
      <c r="C204" s="35"/>
      <c r="D204" s="386" t="s">
        <v>138</v>
      </c>
      <c r="E204" s="387"/>
      <c r="F204" s="131" t="s">
        <v>552</v>
      </c>
      <c r="G204" s="37">
        <f>G205</f>
        <v>15251582</v>
      </c>
      <c r="H204" s="37">
        <f>H205</f>
        <v>14551544</v>
      </c>
      <c r="I204" s="37">
        <f>I205</f>
        <v>700038</v>
      </c>
      <c r="J204" s="37">
        <f>J205</f>
        <v>700038</v>
      </c>
      <c r="K204" s="247"/>
      <c r="L204" s="248"/>
      <c r="M204" s="247"/>
      <c r="N204" s="259"/>
      <c r="O204" s="259"/>
      <c r="P204" s="128"/>
    </row>
    <row r="205" spans="1:16" s="15" customFormat="1" ht="42" customHeight="1">
      <c r="A205" s="18" t="s">
        <v>296</v>
      </c>
      <c r="B205" s="132"/>
      <c r="C205" s="19"/>
      <c r="D205" s="441" t="s">
        <v>113</v>
      </c>
      <c r="E205" s="442"/>
      <c r="F205" s="20" t="s">
        <v>552</v>
      </c>
      <c r="G205" s="133">
        <f>H205+I205</f>
        <v>15251582</v>
      </c>
      <c r="H205" s="133">
        <f>SUM(H206+H207+H208+H209+H210+H211+H212+H213+H215+H216+H217+H218+H219+H214)</f>
        <v>14551544</v>
      </c>
      <c r="I205" s="133">
        <f>SUM(I206+I207+I208+I209+I210+I211+I212+I213+I215+I216+I217+I218+I219+I214+I217)</f>
        <v>700038</v>
      </c>
      <c r="J205" s="133">
        <f>SUM(J206+J207+J208+J209+J210+J211+J212+J213+J215+J216+J217+J218+J219+J214+J217)</f>
        <v>700038</v>
      </c>
      <c r="K205" s="247"/>
      <c r="L205" s="247"/>
      <c r="M205" s="247"/>
      <c r="N205" s="260"/>
      <c r="O205" s="260"/>
      <c r="P205" s="128"/>
    </row>
    <row r="206" spans="1:16" s="15" customFormat="1" ht="97.5" customHeight="1">
      <c r="A206" s="8" t="s">
        <v>423</v>
      </c>
      <c r="B206" s="8" t="s">
        <v>410</v>
      </c>
      <c r="C206" s="8" t="s">
        <v>366</v>
      </c>
      <c r="D206" s="26" t="s">
        <v>50</v>
      </c>
      <c r="E206" s="24" t="s">
        <v>218</v>
      </c>
      <c r="F206" s="24" t="s">
        <v>592</v>
      </c>
      <c r="G206" s="11">
        <f>H206+I206</f>
        <v>1025200</v>
      </c>
      <c r="H206" s="17">
        <f>675100+49000+49000+49900+49000+153200</f>
        <v>1025200</v>
      </c>
      <c r="I206" s="13">
        <v>0</v>
      </c>
      <c r="J206" s="13">
        <v>0</v>
      </c>
      <c r="K206" s="248"/>
      <c r="L206" s="248"/>
      <c r="M206" s="247"/>
      <c r="N206" s="259"/>
      <c r="O206" s="259"/>
      <c r="P206" s="128"/>
    </row>
    <row r="207" spans="1:16" s="15" customFormat="1" ht="90.75">
      <c r="A207" s="7" t="s">
        <v>297</v>
      </c>
      <c r="B207" s="68" t="s">
        <v>466</v>
      </c>
      <c r="C207" s="7" t="s">
        <v>375</v>
      </c>
      <c r="D207" s="69" t="s">
        <v>426</v>
      </c>
      <c r="E207" s="393" t="s">
        <v>652</v>
      </c>
      <c r="F207" s="393" t="s">
        <v>453</v>
      </c>
      <c r="G207" s="121">
        <f aca="true" t="shared" si="12" ref="G207:G219">H207+I207</f>
        <v>4338600</v>
      </c>
      <c r="H207" s="41">
        <f>650204+434525+2800000-71129+525000</f>
        <v>4338600</v>
      </c>
      <c r="I207" s="12">
        <v>0</v>
      </c>
      <c r="J207" s="12">
        <v>0</v>
      </c>
      <c r="K207" s="248"/>
      <c r="L207" s="248"/>
      <c r="M207" s="247"/>
      <c r="N207" s="259"/>
      <c r="O207" s="259"/>
      <c r="P207" s="128"/>
    </row>
    <row r="208" spans="1:16" s="15" customFormat="1" ht="68.25">
      <c r="A208" s="7" t="s">
        <v>298</v>
      </c>
      <c r="B208" s="68">
        <v>3242</v>
      </c>
      <c r="C208" s="7" t="s">
        <v>299</v>
      </c>
      <c r="D208" s="134" t="s">
        <v>258</v>
      </c>
      <c r="E208" s="393"/>
      <c r="F208" s="393"/>
      <c r="G208" s="121">
        <f t="shared" si="12"/>
        <v>314791</v>
      </c>
      <c r="H208" s="41">
        <f>336391-21600</f>
        <v>314791</v>
      </c>
      <c r="I208" s="12">
        <v>0</v>
      </c>
      <c r="J208" s="12">
        <v>0</v>
      </c>
      <c r="K208" s="248"/>
      <c r="L208" s="248"/>
      <c r="M208" s="247"/>
      <c r="N208" s="259"/>
      <c r="O208" s="259"/>
      <c r="P208" s="128"/>
    </row>
    <row r="209" spans="1:16" s="15" customFormat="1" ht="102" customHeight="1" hidden="1">
      <c r="A209" s="8" t="s">
        <v>126</v>
      </c>
      <c r="B209" s="68">
        <v>5011</v>
      </c>
      <c r="C209" s="8" t="s">
        <v>376</v>
      </c>
      <c r="D209" s="134" t="s">
        <v>433</v>
      </c>
      <c r="E209" s="200"/>
      <c r="F209" s="42"/>
      <c r="G209" s="121">
        <f t="shared" si="12"/>
        <v>0</v>
      </c>
      <c r="H209" s="41">
        <f>45790-45790</f>
        <v>0</v>
      </c>
      <c r="I209" s="12"/>
      <c r="J209" s="12"/>
      <c r="K209" s="247"/>
      <c r="L209" s="248"/>
      <c r="M209" s="247"/>
      <c r="N209" s="259"/>
      <c r="O209" s="259"/>
      <c r="P209" s="128"/>
    </row>
    <row r="210" spans="1:16" s="15" customFormat="1" ht="104.25" customHeight="1" hidden="1">
      <c r="A210" s="8" t="s">
        <v>127</v>
      </c>
      <c r="B210" s="68">
        <v>5012</v>
      </c>
      <c r="C210" s="8" t="s">
        <v>376</v>
      </c>
      <c r="D210" s="134" t="s">
        <v>377</v>
      </c>
      <c r="E210" s="201"/>
      <c r="F210" s="42"/>
      <c r="G210" s="121">
        <f t="shared" si="12"/>
        <v>0</v>
      </c>
      <c r="H210" s="41">
        <f>8900-8900</f>
        <v>0</v>
      </c>
      <c r="I210" s="12"/>
      <c r="J210" s="12"/>
      <c r="K210" s="248"/>
      <c r="L210" s="248"/>
      <c r="M210" s="247"/>
      <c r="N210" s="259"/>
      <c r="O210" s="259"/>
      <c r="P210" s="128"/>
    </row>
    <row r="211" spans="1:16" s="15" customFormat="1" ht="91.5" customHeight="1">
      <c r="A211" s="7" t="s">
        <v>300</v>
      </c>
      <c r="B211" s="68" t="s">
        <v>571</v>
      </c>
      <c r="C211" s="7" t="s">
        <v>376</v>
      </c>
      <c r="D211" s="69" t="s">
        <v>574</v>
      </c>
      <c r="E211" s="367" t="s">
        <v>144</v>
      </c>
      <c r="F211" s="393" t="s">
        <v>143</v>
      </c>
      <c r="G211" s="121">
        <f t="shared" si="12"/>
        <v>15246</v>
      </c>
      <c r="H211" s="33">
        <f>684958-658254-10810-648</f>
        <v>15246</v>
      </c>
      <c r="I211" s="12">
        <v>0</v>
      </c>
      <c r="J211" s="12">
        <v>0</v>
      </c>
      <c r="K211" s="248"/>
      <c r="L211" s="248"/>
      <c r="M211" s="247"/>
      <c r="N211" s="259"/>
      <c r="O211" s="259"/>
      <c r="P211" s="128"/>
    </row>
    <row r="212" spans="1:16" s="15" customFormat="1" ht="93" customHeight="1">
      <c r="A212" s="7" t="s">
        <v>301</v>
      </c>
      <c r="B212" s="68" t="s">
        <v>302</v>
      </c>
      <c r="C212" s="7" t="s">
        <v>376</v>
      </c>
      <c r="D212" s="69" t="s">
        <v>243</v>
      </c>
      <c r="E212" s="367"/>
      <c r="F212" s="393"/>
      <c r="G212" s="121">
        <f t="shared" si="12"/>
        <v>59372</v>
      </c>
      <c r="H212" s="33">
        <f>59372</f>
        <v>59372</v>
      </c>
      <c r="I212" s="12">
        <v>0</v>
      </c>
      <c r="J212" s="12">
        <v>0</v>
      </c>
      <c r="K212" s="248"/>
      <c r="L212" s="248"/>
      <c r="M212" s="247"/>
      <c r="N212" s="259"/>
      <c r="O212" s="259"/>
      <c r="P212" s="128"/>
    </row>
    <row r="213" spans="1:16" s="15" customFormat="1" ht="54.75" customHeight="1">
      <c r="A213" s="410" t="s">
        <v>303</v>
      </c>
      <c r="B213" s="421" t="s">
        <v>343</v>
      </c>
      <c r="C213" s="410" t="s">
        <v>376</v>
      </c>
      <c r="D213" s="433" t="s">
        <v>344</v>
      </c>
      <c r="E213" s="367"/>
      <c r="F213" s="393"/>
      <c r="G213" s="121">
        <f t="shared" si="12"/>
        <v>589657</v>
      </c>
      <c r="H213" s="33">
        <f>28360922-24027971-3684756-2026+49922+23000+19730-229626-1146-82590-18906-3765-2053-62836-3780</f>
        <v>334119</v>
      </c>
      <c r="I213" s="12">
        <f>1105000-397000-52462-400000</f>
        <v>255538</v>
      </c>
      <c r="J213" s="12">
        <f>I213</f>
        <v>255538</v>
      </c>
      <c r="K213" s="247"/>
      <c r="L213" s="248"/>
      <c r="M213" s="247"/>
      <c r="N213" s="259"/>
      <c r="O213" s="259"/>
      <c r="P213" s="128"/>
    </row>
    <row r="214" spans="1:16" s="15" customFormat="1" ht="91.5" customHeight="1">
      <c r="A214" s="410"/>
      <c r="B214" s="421"/>
      <c r="C214" s="410"/>
      <c r="D214" s="434"/>
      <c r="E214" s="109" t="s">
        <v>67</v>
      </c>
      <c r="F214" s="42" t="s">
        <v>3</v>
      </c>
      <c r="G214" s="121">
        <f t="shared" si="12"/>
        <v>282480</v>
      </c>
      <c r="H214" s="33">
        <v>232980</v>
      </c>
      <c r="I214" s="12">
        <f>49500</f>
        <v>49500</v>
      </c>
      <c r="J214" s="12">
        <f>I214</f>
        <v>49500</v>
      </c>
      <c r="K214" s="248"/>
      <c r="L214" s="248"/>
      <c r="M214" s="247"/>
      <c r="N214" s="259"/>
      <c r="O214" s="259"/>
      <c r="P214" s="128"/>
    </row>
    <row r="215" spans="1:16" s="15" customFormat="1" ht="97.5" customHeight="1">
      <c r="A215" s="7" t="s">
        <v>304</v>
      </c>
      <c r="B215" s="68" t="s">
        <v>579</v>
      </c>
      <c r="C215" s="7" t="s">
        <v>376</v>
      </c>
      <c r="D215" s="69" t="s">
        <v>580</v>
      </c>
      <c r="E215" s="109" t="s">
        <v>144</v>
      </c>
      <c r="F215" s="42" t="s">
        <v>143</v>
      </c>
      <c r="G215" s="121">
        <f t="shared" si="12"/>
        <v>4661000</v>
      </c>
      <c r="H215" s="33">
        <f>4734000-73000</f>
        <v>4661000</v>
      </c>
      <c r="I215" s="12">
        <v>0</v>
      </c>
      <c r="J215" s="12">
        <v>0</v>
      </c>
      <c r="K215" s="248"/>
      <c r="L215" s="248"/>
      <c r="M215" s="247"/>
      <c r="N215" s="259"/>
      <c r="O215" s="259"/>
      <c r="P215" s="128"/>
    </row>
    <row r="216" spans="1:16" s="15" customFormat="1" ht="116.25" customHeight="1">
      <c r="A216" s="410" t="s">
        <v>305</v>
      </c>
      <c r="B216" s="421" t="s">
        <v>306</v>
      </c>
      <c r="C216" s="410" t="s">
        <v>376</v>
      </c>
      <c r="D216" s="425" t="s">
        <v>435</v>
      </c>
      <c r="E216" s="202" t="s">
        <v>144</v>
      </c>
      <c r="F216" s="42" t="s">
        <v>143</v>
      </c>
      <c r="G216" s="203">
        <f t="shared" si="12"/>
        <v>2128591</v>
      </c>
      <c r="H216" s="33">
        <f>2421269-682646-33434-4295-434525+397000+590000-10000-250000+198000-61378-1400</f>
        <v>2128591</v>
      </c>
      <c r="I216" s="33">
        <v>0</v>
      </c>
      <c r="J216" s="33">
        <v>0</v>
      </c>
      <c r="K216" s="248"/>
      <c r="L216" s="248"/>
      <c r="M216" s="247"/>
      <c r="N216" s="259"/>
      <c r="O216" s="259"/>
      <c r="P216" s="128"/>
    </row>
    <row r="217" spans="1:16" s="15" customFormat="1" ht="90.75" customHeight="1">
      <c r="A217" s="410"/>
      <c r="B217" s="421"/>
      <c r="C217" s="410"/>
      <c r="D217" s="425"/>
      <c r="E217" s="109" t="s">
        <v>67</v>
      </c>
      <c r="F217" s="42" t="s">
        <v>3</v>
      </c>
      <c r="G217" s="203">
        <f t="shared" si="12"/>
        <v>77000</v>
      </c>
      <c r="H217" s="33">
        <v>77000</v>
      </c>
      <c r="I217" s="33">
        <v>0</v>
      </c>
      <c r="J217" s="33">
        <v>0</v>
      </c>
      <c r="K217" s="248"/>
      <c r="L217" s="248"/>
      <c r="M217" s="247"/>
      <c r="N217" s="259"/>
      <c r="O217" s="259"/>
      <c r="P217" s="128"/>
    </row>
    <row r="218" spans="1:16" s="15" customFormat="1" ht="100.5" customHeight="1">
      <c r="A218" s="7" t="s">
        <v>307</v>
      </c>
      <c r="B218" s="68" t="s">
        <v>308</v>
      </c>
      <c r="C218" s="7" t="s">
        <v>376</v>
      </c>
      <c r="D218" s="69" t="s">
        <v>577</v>
      </c>
      <c r="E218" s="65" t="s">
        <v>144</v>
      </c>
      <c r="F218" s="42" t="s">
        <v>143</v>
      </c>
      <c r="G218" s="121">
        <f t="shared" si="12"/>
        <v>1759645</v>
      </c>
      <c r="H218" s="33">
        <f>1841054-476409</f>
        <v>1364645</v>
      </c>
      <c r="I218" s="12">
        <f>395000</f>
        <v>395000</v>
      </c>
      <c r="J218" s="12">
        <f>395000</f>
        <v>395000</v>
      </c>
      <c r="K218" s="248"/>
      <c r="L218" s="248"/>
      <c r="M218" s="247"/>
      <c r="N218" s="259"/>
      <c r="O218" s="259"/>
      <c r="P218" s="128"/>
    </row>
    <row r="219" spans="1:16" s="15" customFormat="1" ht="105" customHeight="1" hidden="1">
      <c r="A219" s="7" t="s">
        <v>141</v>
      </c>
      <c r="B219" s="68" t="s">
        <v>142</v>
      </c>
      <c r="C219" s="7" t="s">
        <v>413</v>
      </c>
      <c r="D219" s="69" t="s">
        <v>228</v>
      </c>
      <c r="E219" s="65" t="s">
        <v>144</v>
      </c>
      <c r="F219" s="42" t="s">
        <v>143</v>
      </c>
      <c r="G219" s="121">
        <f t="shared" si="12"/>
        <v>0</v>
      </c>
      <c r="H219" s="33"/>
      <c r="I219" s="12"/>
      <c r="J219" s="12">
        <f>I219</f>
        <v>0</v>
      </c>
      <c r="K219" s="247"/>
      <c r="L219" s="248"/>
      <c r="M219" s="247"/>
      <c r="N219" s="259"/>
      <c r="O219" s="259"/>
      <c r="P219" s="128"/>
    </row>
    <row r="220" spans="1:16" s="15" customFormat="1" ht="42" customHeight="1">
      <c r="A220" s="35" t="s">
        <v>493</v>
      </c>
      <c r="B220" s="34"/>
      <c r="C220" s="34"/>
      <c r="D220" s="377" t="s">
        <v>407</v>
      </c>
      <c r="E220" s="378"/>
      <c r="F220" s="36" t="s">
        <v>552</v>
      </c>
      <c r="G220" s="39">
        <f>G221</f>
        <v>772402794.11</v>
      </c>
      <c r="H220" s="39">
        <f>H221</f>
        <v>316693705.44</v>
      </c>
      <c r="I220" s="39">
        <f>I221</f>
        <v>455709088.67</v>
      </c>
      <c r="J220" s="39">
        <f>J221</f>
        <v>322993054.67</v>
      </c>
      <c r="K220" s="247"/>
      <c r="L220" s="248"/>
      <c r="M220" s="247"/>
      <c r="N220" s="259"/>
      <c r="O220" s="259"/>
      <c r="P220" s="128"/>
    </row>
    <row r="221" spans="1:16" s="15" customFormat="1" ht="67.5" customHeight="1">
      <c r="A221" s="19" t="s">
        <v>494</v>
      </c>
      <c r="B221" s="18"/>
      <c r="C221" s="18"/>
      <c r="D221" s="369" t="s">
        <v>408</v>
      </c>
      <c r="E221" s="370"/>
      <c r="F221" s="20" t="s">
        <v>552</v>
      </c>
      <c r="G221" s="135">
        <f>G222+G223+G224+G225+G226+G228+G232+G237+G238+G241+G243+G244+G245+G248+G249+G250+G251+G252+G253+G254+G255+G257+G259+G261+G262+G264+G265+G269+G270+G272+G273+G276+G277+G278+G279+G280+G281+G282+G283+G284+G287+G288+G289+G292+G290+G293+G294+G291</f>
        <v>772402794.11</v>
      </c>
      <c r="H221" s="135">
        <f>H222+H223+H224+H225+H226+H228+H232+H237+H238+H241+H243+H244+H245+H248+H249+H250+H251+H252+H253+H254+H255+H257+H259+H261+H262+H264+H265+H269+H270+H272+H273+H276+H277+H278+H279+H280+H281+H282+H283+H284+H287+H288+H289+H292+H290+H293+H294+H291</f>
        <v>316693705.44</v>
      </c>
      <c r="I221" s="135">
        <f>I222+I223+I224+I225+I226+I228+I232+I237+I238+I241+I243+I244+I245+I248+I249+I250+I251+I252+I253+I254+I255+I257+I259+I261+I262+I264+I265+I269+I270+I272+I273+I276+I277+I278+I279+I280+I281+I282+I283+I284+I287+I288+I289+I292+I290+I293+I294+I291</f>
        <v>455709088.67</v>
      </c>
      <c r="J221" s="135">
        <f>J222+J223+J224+J225+J226+J228+J232+J237+J238+J241+J243+J244+J245+J248+J249+J250+J251+J252+J253+J254+J255+J257+J259+J261+J262+J264+J265+J269+J270+J272+J273+J276+J277+J278+J279+J280+J281+J282+J283+J284+J287+J288+J289+J292+J290+J293+J294+J291</f>
        <v>322993054.67</v>
      </c>
      <c r="K221" s="247"/>
      <c r="L221" s="247"/>
      <c r="M221" s="247"/>
      <c r="N221" s="260"/>
      <c r="O221" s="260"/>
      <c r="P221" s="128"/>
    </row>
    <row r="222" spans="1:16" s="15" customFormat="1" ht="97.5" customHeight="1">
      <c r="A222" s="30">
        <v>1510180</v>
      </c>
      <c r="B222" s="25" t="s">
        <v>410</v>
      </c>
      <c r="C222" s="25" t="s">
        <v>366</v>
      </c>
      <c r="D222" s="9" t="s">
        <v>50</v>
      </c>
      <c r="E222" s="24" t="s">
        <v>219</v>
      </c>
      <c r="F222" s="24" t="s">
        <v>592</v>
      </c>
      <c r="G222" s="31">
        <f>H222+I222</f>
        <v>663395</v>
      </c>
      <c r="H222" s="17">
        <f>729700-416300+49000+79000+49000+49000+49000+34995+40000</f>
        <v>663395</v>
      </c>
      <c r="I222" s="13">
        <v>0</v>
      </c>
      <c r="J222" s="13">
        <v>0</v>
      </c>
      <c r="K222" s="247"/>
      <c r="L222" s="247"/>
      <c r="M222" s="247"/>
      <c r="N222" s="259"/>
      <c r="O222" s="259"/>
      <c r="P222" s="128"/>
    </row>
    <row r="223" spans="1:16" s="15" customFormat="1" ht="56.25" customHeight="1">
      <c r="A223" s="7">
        <v>1513210</v>
      </c>
      <c r="B223" s="7">
        <v>3210</v>
      </c>
      <c r="C223" s="7" t="s">
        <v>367</v>
      </c>
      <c r="D223" s="9" t="s">
        <v>368</v>
      </c>
      <c r="E223" s="8" t="s">
        <v>51</v>
      </c>
      <c r="F223" s="6" t="s">
        <v>147</v>
      </c>
      <c r="G223" s="31">
        <f>H223+I223</f>
        <v>179000</v>
      </c>
      <c r="H223" s="13">
        <f>320000-141000</f>
        <v>179000</v>
      </c>
      <c r="I223" s="12">
        <v>0</v>
      </c>
      <c r="J223" s="13">
        <f>I223</f>
        <v>0</v>
      </c>
      <c r="K223" s="248"/>
      <c r="L223" s="248"/>
      <c r="M223" s="248"/>
      <c r="N223" s="259"/>
      <c r="O223" s="259"/>
      <c r="P223" s="128"/>
    </row>
    <row r="224" spans="1:16" s="15" customFormat="1" ht="76.5" customHeight="1">
      <c r="A224" s="8" t="s">
        <v>9</v>
      </c>
      <c r="B224" s="8" t="s">
        <v>257</v>
      </c>
      <c r="C224" s="8" t="s">
        <v>299</v>
      </c>
      <c r="D224" s="9" t="s">
        <v>258</v>
      </c>
      <c r="E224" s="58" t="s">
        <v>51</v>
      </c>
      <c r="F224" s="6" t="s">
        <v>135</v>
      </c>
      <c r="G224" s="121">
        <f>H224+I224</f>
        <v>9308784.19</v>
      </c>
      <c r="H224" s="13">
        <f>7500000-157000+1965784.19</f>
        <v>9308784.19</v>
      </c>
      <c r="I224" s="41">
        <v>0</v>
      </c>
      <c r="J224" s="13">
        <f>I224</f>
        <v>0</v>
      </c>
      <c r="K224" s="247"/>
      <c r="L224" s="247"/>
      <c r="M224" s="247"/>
      <c r="N224" s="259"/>
      <c r="O224" s="259"/>
      <c r="P224" s="128"/>
    </row>
    <row r="225" spans="1:16" s="15" customFormat="1" ht="96.75" customHeight="1">
      <c r="A225" s="8" t="s">
        <v>581</v>
      </c>
      <c r="B225" s="8" t="s">
        <v>572</v>
      </c>
      <c r="C225" s="25" t="s">
        <v>376</v>
      </c>
      <c r="D225" s="63" t="s">
        <v>575</v>
      </c>
      <c r="E225" s="61" t="s">
        <v>43</v>
      </c>
      <c r="F225" s="61" t="s">
        <v>458</v>
      </c>
      <c r="G225" s="31">
        <f aca="true" t="shared" si="13" ref="G225:G231">H225+I225</f>
        <v>8200000</v>
      </c>
      <c r="H225" s="13">
        <v>8200000</v>
      </c>
      <c r="I225" s="12">
        <v>0</v>
      </c>
      <c r="J225" s="13">
        <f aca="true" t="shared" si="14" ref="J225:J292">I225</f>
        <v>0</v>
      </c>
      <c r="K225" s="247"/>
      <c r="L225" s="248"/>
      <c r="M225" s="247"/>
      <c r="N225" s="259"/>
      <c r="O225" s="259"/>
      <c r="P225" s="128"/>
    </row>
    <row r="226" spans="1:16" s="15" customFormat="1" ht="177" customHeight="1" hidden="1">
      <c r="A226" s="8" t="s">
        <v>339</v>
      </c>
      <c r="B226" s="8" t="s">
        <v>340</v>
      </c>
      <c r="C226" s="25" t="s">
        <v>376</v>
      </c>
      <c r="D226" s="136" t="s">
        <v>341</v>
      </c>
      <c r="E226" s="85" t="s">
        <v>4</v>
      </c>
      <c r="F226" s="61" t="s">
        <v>151</v>
      </c>
      <c r="G226" s="31">
        <f t="shared" si="13"/>
        <v>0</v>
      </c>
      <c r="H226" s="13">
        <v>0</v>
      </c>
      <c r="I226" s="12"/>
      <c r="J226" s="13">
        <f t="shared" si="14"/>
        <v>0</v>
      </c>
      <c r="K226" s="247"/>
      <c r="L226" s="248"/>
      <c r="M226" s="248"/>
      <c r="N226" s="259"/>
      <c r="O226" s="259"/>
      <c r="P226" s="128"/>
    </row>
    <row r="227" spans="1:16" s="116" customFormat="1" ht="95.25" customHeight="1" hidden="1">
      <c r="A227" s="110"/>
      <c r="B227" s="111"/>
      <c r="C227" s="111"/>
      <c r="D227" s="112" t="s">
        <v>573</v>
      </c>
      <c r="E227" s="113"/>
      <c r="F227" s="113"/>
      <c r="G227" s="114">
        <f>H227+I227</f>
        <v>0</v>
      </c>
      <c r="H227" s="115"/>
      <c r="I227" s="75"/>
      <c r="J227" s="75">
        <f>I227</f>
        <v>0</v>
      </c>
      <c r="K227" s="295"/>
      <c r="L227" s="295"/>
      <c r="M227" s="295"/>
      <c r="N227" s="297"/>
      <c r="O227" s="297"/>
      <c r="P227" s="295"/>
    </row>
    <row r="228" spans="1:16" s="15" customFormat="1" ht="93.75" customHeight="1">
      <c r="A228" s="58" t="s">
        <v>679</v>
      </c>
      <c r="B228" s="8" t="s">
        <v>0</v>
      </c>
      <c r="C228" s="25" t="s">
        <v>376</v>
      </c>
      <c r="D228" s="136" t="s">
        <v>1</v>
      </c>
      <c r="E228" s="24" t="s">
        <v>632</v>
      </c>
      <c r="F228" s="61" t="s">
        <v>393</v>
      </c>
      <c r="G228" s="31">
        <f t="shared" si="13"/>
        <v>73877527.11</v>
      </c>
      <c r="H228" s="13">
        <v>0</v>
      </c>
      <c r="I228" s="12">
        <f>470000+I229-49900</f>
        <v>73877527.11</v>
      </c>
      <c r="J228" s="13">
        <f t="shared" si="14"/>
        <v>73877527.11</v>
      </c>
      <c r="K228" s="247"/>
      <c r="L228" s="248"/>
      <c r="M228" s="248"/>
      <c r="N228" s="259"/>
      <c r="O228" s="259"/>
      <c r="P228" s="128"/>
    </row>
    <row r="229" spans="1:16" s="152" customFormat="1" ht="95.25" customHeight="1">
      <c r="A229" s="100"/>
      <c r="B229" s="101"/>
      <c r="C229" s="101"/>
      <c r="D229" s="78" t="s">
        <v>573</v>
      </c>
      <c r="E229" s="102"/>
      <c r="F229" s="102"/>
      <c r="G229" s="103">
        <f>H229+I229</f>
        <v>73457427.11</v>
      </c>
      <c r="H229" s="104">
        <v>0</v>
      </c>
      <c r="I229" s="79">
        <f>77568803-3846222.2-265153.69</f>
        <v>73457427.11</v>
      </c>
      <c r="J229" s="79">
        <f>I229</f>
        <v>73457427.11</v>
      </c>
      <c r="K229" s="276"/>
      <c r="L229" s="276"/>
      <c r="M229" s="276"/>
      <c r="N229" s="277"/>
      <c r="O229" s="277"/>
      <c r="P229" s="276"/>
    </row>
    <row r="230" spans="1:16" s="15" customFormat="1" ht="87.75" customHeight="1" hidden="1">
      <c r="A230" s="30">
        <v>1516011</v>
      </c>
      <c r="B230" s="25">
        <v>6011</v>
      </c>
      <c r="C230" s="25" t="s">
        <v>190</v>
      </c>
      <c r="D230" s="63" t="s">
        <v>528</v>
      </c>
      <c r="E230" s="65" t="s">
        <v>330</v>
      </c>
      <c r="F230" s="65" t="s">
        <v>117</v>
      </c>
      <c r="G230" s="121">
        <f t="shared" si="13"/>
        <v>0</v>
      </c>
      <c r="H230" s="41">
        <v>0</v>
      </c>
      <c r="I230" s="13">
        <f>1000000-1000000</f>
        <v>0</v>
      </c>
      <c r="J230" s="13">
        <f t="shared" si="14"/>
        <v>0</v>
      </c>
      <c r="K230" s="247"/>
      <c r="L230" s="247"/>
      <c r="M230" s="247"/>
      <c r="N230" s="259"/>
      <c r="O230" s="259"/>
      <c r="P230" s="303"/>
    </row>
    <row r="231" spans="1:16" s="105" customFormat="1" ht="76.5" customHeight="1" hidden="1">
      <c r="A231" s="100"/>
      <c r="B231" s="101"/>
      <c r="C231" s="101"/>
      <c r="D231" s="72" t="s">
        <v>277</v>
      </c>
      <c r="E231" s="102"/>
      <c r="F231" s="102"/>
      <c r="G231" s="103">
        <f t="shared" si="13"/>
        <v>0</v>
      </c>
      <c r="H231" s="104"/>
      <c r="I231" s="79"/>
      <c r="J231" s="13">
        <f t="shared" si="14"/>
        <v>0</v>
      </c>
      <c r="K231" s="272"/>
      <c r="L231" s="272"/>
      <c r="M231" s="272"/>
      <c r="N231" s="259"/>
      <c r="O231" s="259"/>
      <c r="P231" s="272"/>
    </row>
    <row r="232" spans="1:16" s="15" customFormat="1" ht="88.5" customHeight="1" hidden="1">
      <c r="A232" s="30">
        <v>1516011</v>
      </c>
      <c r="B232" s="25">
        <v>6011</v>
      </c>
      <c r="C232" s="25" t="s">
        <v>190</v>
      </c>
      <c r="D232" s="26" t="s">
        <v>528</v>
      </c>
      <c r="E232" s="42" t="s">
        <v>329</v>
      </c>
      <c r="F232" s="42" t="s">
        <v>121</v>
      </c>
      <c r="G232" s="121">
        <f aca="true" t="shared" si="15" ref="G232:G261">H232+I232</f>
        <v>0</v>
      </c>
      <c r="H232" s="41">
        <v>0</v>
      </c>
      <c r="I232" s="13"/>
      <c r="J232" s="13">
        <f t="shared" si="14"/>
        <v>0</v>
      </c>
      <c r="K232" s="248"/>
      <c r="L232" s="248"/>
      <c r="M232" s="248"/>
      <c r="N232" s="259"/>
      <c r="O232" s="259"/>
      <c r="P232" s="303"/>
    </row>
    <row r="233" spans="1:16" s="15" customFormat="1" ht="117" customHeight="1" hidden="1">
      <c r="A233" s="25" t="s">
        <v>77</v>
      </c>
      <c r="B233" s="25" t="s">
        <v>78</v>
      </c>
      <c r="C233" s="25" t="s">
        <v>369</v>
      </c>
      <c r="D233" s="9" t="s">
        <v>79</v>
      </c>
      <c r="E233" s="42" t="s">
        <v>330</v>
      </c>
      <c r="F233" s="42" t="s">
        <v>118</v>
      </c>
      <c r="G233" s="121">
        <f t="shared" si="15"/>
        <v>0</v>
      </c>
      <c r="H233" s="41"/>
      <c r="I233" s="13"/>
      <c r="J233" s="13">
        <f t="shared" si="14"/>
        <v>0</v>
      </c>
      <c r="K233" s="248"/>
      <c r="L233" s="248"/>
      <c r="M233" s="248"/>
      <c r="N233" s="259"/>
      <c r="O233" s="259"/>
      <c r="P233" s="128"/>
    </row>
    <row r="234" spans="1:16" s="105" customFormat="1" ht="75" customHeight="1" hidden="1">
      <c r="A234" s="100"/>
      <c r="B234" s="101"/>
      <c r="C234" s="101"/>
      <c r="D234" s="72" t="s">
        <v>277</v>
      </c>
      <c r="E234" s="102"/>
      <c r="F234" s="102"/>
      <c r="G234" s="103">
        <f>H234+I234</f>
        <v>0</v>
      </c>
      <c r="H234" s="104"/>
      <c r="I234" s="79"/>
      <c r="J234" s="13">
        <f t="shared" si="14"/>
        <v>0</v>
      </c>
      <c r="K234" s="272"/>
      <c r="L234" s="272"/>
      <c r="M234" s="272"/>
      <c r="N234" s="259"/>
      <c r="O234" s="259"/>
      <c r="P234" s="272"/>
    </row>
    <row r="235" spans="1:16" s="15" customFormat="1" ht="103.5" customHeight="1" hidden="1">
      <c r="A235" s="30">
        <v>1516015</v>
      </c>
      <c r="B235" s="25">
        <v>6015</v>
      </c>
      <c r="C235" s="25" t="s">
        <v>369</v>
      </c>
      <c r="D235" s="9" t="s">
        <v>360</v>
      </c>
      <c r="E235" s="42" t="s">
        <v>330</v>
      </c>
      <c r="F235" s="42" t="s">
        <v>459</v>
      </c>
      <c r="G235" s="121">
        <f t="shared" si="15"/>
        <v>0</v>
      </c>
      <c r="H235" s="41"/>
      <c r="I235" s="13"/>
      <c r="J235" s="13">
        <f t="shared" si="14"/>
        <v>0</v>
      </c>
      <c r="K235" s="248"/>
      <c r="L235" s="248"/>
      <c r="M235" s="248"/>
      <c r="N235" s="259"/>
      <c r="O235" s="259"/>
      <c r="P235" s="128"/>
    </row>
    <row r="236" spans="1:16" s="105" customFormat="1" ht="78" customHeight="1" hidden="1">
      <c r="A236" s="100"/>
      <c r="B236" s="101"/>
      <c r="C236" s="101"/>
      <c r="D236" s="72" t="s">
        <v>277</v>
      </c>
      <c r="E236" s="102"/>
      <c r="F236" s="102"/>
      <c r="G236" s="103">
        <f t="shared" si="15"/>
        <v>0</v>
      </c>
      <c r="H236" s="104"/>
      <c r="I236" s="79"/>
      <c r="J236" s="13">
        <f t="shared" si="14"/>
        <v>0</v>
      </c>
      <c r="K236" s="272"/>
      <c r="L236" s="272"/>
      <c r="M236" s="272"/>
      <c r="N236" s="259"/>
      <c r="O236" s="259"/>
      <c r="P236" s="272"/>
    </row>
    <row r="237" spans="1:16" s="105" customFormat="1" ht="108" customHeight="1">
      <c r="A237" s="8" t="s">
        <v>187</v>
      </c>
      <c r="B237" s="8" t="s">
        <v>188</v>
      </c>
      <c r="C237" s="8" t="s">
        <v>369</v>
      </c>
      <c r="D237" s="9" t="s">
        <v>189</v>
      </c>
      <c r="E237" s="42" t="s">
        <v>48</v>
      </c>
      <c r="F237" s="42" t="s">
        <v>395</v>
      </c>
      <c r="G237" s="121">
        <f>H237+I237</f>
        <v>81000</v>
      </c>
      <c r="H237" s="41">
        <f>110000-29000</f>
        <v>81000</v>
      </c>
      <c r="I237" s="12">
        <v>0</v>
      </c>
      <c r="J237" s="13">
        <f>I237</f>
        <v>0</v>
      </c>
      <c r="K237" s="271"/>
      <c r="L237" s="272"/>
      <c r="M237" s="272"/>
      <c r="N237" s="259"/>
      <c r="O237" s="259"/>
      <c r="P237" s="272"/>
    </row>
    <row r="238" spans="1:18" s="15" customFormat="1" ht="80.25" customHeight="1">
      <c r="A238" s="7">
        <v>1516017</v>
      </c>
      <c r="B238" s="8" t="s">
        <v>629</v>
      </c>
      <c r="C238" s="8" t="s">
        <v>369</v>
      </c>
      <c r="D238" s="9" t="s">
        <v>239</v>
      </c>
      <c r="E238" s="42" t="s">
        <v>48</v>
      </c>
      <c r="F238" s="42" t="s">
        <v>395</v>
      </c>
      <c r="G238" s="121">
        <f t="shared" si="15"/>
        <v>39135289.39000001</v>
      </c>
      <c r="H238" s="120">
        <f>85700000-20000000-20000000+20000000+89250-184094.33-89250+275600-4000000-1500000+49457.59+45000+22500+150000-1500000+84880+569499+377000-20000-10000000+69050-9388833+32800+109000-2579000+9635099-3073000-90980+1525644+7650+9250+15198-350000+913001-439000-644882.87+225000-151250-8000000+250000</f>
        <v>38144588.39000001</v>
      </c>
      <c r="I238" s="12">
        <f>3000000+25640-569499+20550+49950-500000-25640-620247+593448-913001-70500</f>
        <v>990701</v>
      </c>
      <c r="J238" s="13">
        <f t="shared" si="14"/>
        <v>990701</v>
      </c>
      <c r="K238" s="304"/>
      <c r="L238" s="247"/>
      <c r="M238" s="247"/>
      <c r="N238" s="247"/>
      <c r="O238" s="259"/>
      <c r="P238" s="305"/>
      <c r="R238" s="16"/>
    </row>
    <row r="239" spans="1:16" s="77" customFormat="1" ht="102" customHeight="1">
      <c r="A239" s="76"/>
      <c r="B239" s="76"/>
      <c r="C239" s="137"/>
      <c r="D239" s="138" t="s">
        <v>245</v>
      </c>
      <c r="E239" s="139"/>
      <c r="F239" s="140"/>
      <c r="G239" s="103">
        <f t="shared" si="15"/>
        <v>541098</v>
      </c>
      <c r="H239" s="104">
        <f>150000+109000+7650+9250+15198+250000</f>
        <v>541098</v>
      </c>
      <c r="I239" s="104">
        <v>0</v>
      </c>
      <c r="J239" s="81">
        <f t="shared" si="14"/>
        <v>0</v>
      </c>
      <c r="K239" s="271"/>
      <c r="L239" s="271"/>
      <c r="M239" s="271"/>
      <c r="N239" s="259"/>
      <c r="O239" s="259"/>
      <c r="P239" s="274"/>
    </row>
    <row r="240" spans="1:16" s="105" customFormat="1" ht="78" customHeight="1" hidden="1">
      <c r="A240" s="141"/>
      <c r="B240" s="141"/>
      <c r="C240" s="142"/>
      <c r="D240" s="72" t="s">
        <v>277</v>
      </c>
      <c r="E240" s="143"/>
      <c r="F240" s="144"/>
      <c r="G240" s="103">
        <f>H240+I240</f>
        <v>0</v>
      </c>
      <c r="H240" s="79"/>
      <c r="I240" s="74"/>
      <c r="J240" s="13">
        <f t="shared" si="14"/>
        <v>0</v>
      </c>
      <c r="K240" s="271"/>
      <c r="L240" s="272"/>
      <c r="M240" s="272"/>
      <c r="N240" s="259"/>
      <c r="O240" s="259"/>
      <c r="P240" s="272"/>
    </row>
    <row r="241" spans="1:16" s="105" customFormat="1" ht="93" customHeight="1">
      <c r="A241" s="7">
        <v>1516017</v>
      </c>
      <c r="B241" s="7">
        <v>6017</v>
      </c>
      <c r="C241" s="8" t="s">
        <v>369</v>
      </c>
      <c r="D241" s="9" t="s">
        <v>239</v>
      </c>
      <c r="E241" s="65" t="s">
        <v>329</v>
      </c>
      <c r="F241" s="42" t="s">
        <v>121</v>
      </c>
      <c r="G241" s="121">
        <f>H241+I241</f>
        <v>384094.32999999996</v>
      </c>
      <c r="H241" s="41">
        <f>184094.33+200000</f>
        <v>384094.32999999996</v>
      </c>
      <c r="I241" s="13">
        <v>0</v>
      </c>
      <c r="J241" s="13">
        <f>I241</f>
        <v>0</v>
      </c>
      <c r="K241" s="271"/>
      <c r="L241" s="272"/>
      <c r="M241" s="272"/>
      <c r="N241" s="259"/>
      <c r="O241" s="259"/>
      <c r="P241" s="272"/>
    </row>
    <row r="242" spans="1:16" s="15" customFormat="1" ht="121.5" customHeight="1" hidden="1">
      <c r="A242" s="7">
        <v>1516017</v>
      </c>
      <c r="B242" s="7">
        <v>6017</v>
      </c>
      <c r="C242" s="8" t="s">
        <v>369</v>
      </c>
      <c r="D242" s="9" t="s">
        <v>239</v>
      </c>
      <c r="E242" s="65" t="s">
        <v>331</v>
      </c>
      <c r="F242" s="42" t="s">
        <v>7</v>
      </c>
      <c r="G242" s="121">
        <f t="shared" si="15"/>
        <v>0</v>
      </c>
      <c r="H242" s="41">
        <f>8072600-8072600</f>
        <v>0</v>
      </c>
      <c r="I242" s="41">
        <v>0</v>
      </c>
      <c r="J242" s="13">
        <f t="shared" si="14"/>
        <v>0</v>
      </c>
      <c r="K242" s="248"/>
      <c r="L242" s="248"/>
      <c r="M242" s="248"/>
      <c r="N242" s="259"/>
      <c r="O242" s="259"/>
      <c r="P242" s="128"/>
    </row>
    <row r="243" spans="1:16" s="15" customFormat="1" ht="102.75" customHeight="1">
      <c r="A243" s="7">
        <v>1516017</v>
      </c>
      <c r="B243" s="7">
        <v>6017</v>
      </c>
      <c r="C243" s="8" t="s">
        <v>369</v>
      </c>
      <c r="D243" s="9" t="s">
        <v>239</v>
      </c>
      <c r="E243" s="65" t="s">
        <v>67</v>
      </c>
      <c r="F243" s="42" t="s">
        <v>3</v>
      </c>
      <c r="G243" s="121">
        <f t="shared" si="15"/>
        <v>1176000</v>
      </c>
      <c r="H243" s="41">
        <f>541000+38000+597000</f>
        <v>1176000</v>
      </c>
      <c r="I243" s="41">
        <f>38000-38000</f>
        <v>0</v>
      </c>
      <c r="J243" s="13">
        <f t="shared" si="14"/>
        <v>0</v>
      </c>
      <c r="K243" s="247"/>
      <c r="L243" s="248"/>
      <c r="M243" s="248"/>
      <c r="N243" s="259"/>
      <c r="O243" s="259"/>
      <c r="P243" s="128"/>
    </row>
    <row r="244" spans="1:16" s="15" customFormat="1" ht="124.5" customHeight="1" hidden="1">
      <c r="A244" s="7">
        <v>1516020</v>
      </c>
      <c r="B244" s="7">
        <v>6020</v>
      </c>
      <c r="C244" s="7" t="s">
        <v>369</v>
      </c>
      <c r="D244" s="9" t="s">
        <v>529</v>
      </c>
      <c r="E244" s="42" t="s">
        <v>224</v>
      </c>
      <c r="F244" s="42" t="s">
        <v>657</v>
      </c>
      <c r="G244" s="121">
        <f t="shared" si="15"/>
        <v>0</v>
      </c>
      <c r="H244" s="41">
        <f>5000000+2500000-7500000</f>
        <v>0</v>
      </c>
      <c r="I244" s="41">
        <v>0</v>
      </c>
      <c r="J244" s="13">
        <v>0</v>
      </c>
      <c r="K244" s="247"/>
      <c r="L244" s="248"/>
      <c r="M244" s="248"/>
      <c r="N244" s="259"/>
      <c r="O244" s="259"/>
      <c r="P244" s="128"/>
    </row>
    <row r="245" spans="1:16" s="15" customFormat="1" ht="74.25" customHeight="1">
      <c r="A245" s="7">
        <v>1516030</v>
      </c>
      <c r="B245" s="7">
        <v>6030</v>
      </c>
      <c r="C245" s="7" t="s">
        <v>369</v>
      </c>
      <c r="D245" s="9" t="s">
        <v>603</v>
      </c>
      <c r="E245" s="58" t="s">
        <v>51</v>
      </c>
      <c r="F245" s="6" t="s">
        <v>147</v>
      </c>
      <c r="G245" s="121">
        <f t="shared" si="15"/>
        <v>213303995.05999997</v>
      </c>
      <c r="H245" s="13">
        <f>227462910+5000000-17000000-49000-6000000+5000000-2071200+241370.54+1500000+2000000-16000000-200000-199000-500000+700000-2413000+1500000+19900-140000-1843+569499-1500000-1000000-49560+3700000-3390000+1000000-50000-112000-214000+214000+5757910-300000+8400+11200-1120000-199000-100000-149700-50000+42000+1300000+140000+30221-80000+125677.38-50000+560167.14+5777000+3000000</f>
        <v>212721952.05999997</v>
      </c>
      <c r="I245" s="120">
        <f>15273199-25000-49000-56000-500000-1000000-400000-216666-160000-2800000-500000-200000-2500000-200000-50000-1684000-569499-50000-1680000-602000-1498845+49854</f>
        <v>582043</v>
      </c>
      <c r="J245" s="57">
        <f>I245</f>
        <v>582043</v>
      </c>
      <c r="K245" s="304"/>
      <c r="L245" s="247"/>
      <c r="M245" s="247"/>
      <c r="N245" s="247"/>
      <c r="O245" s="259"/>
      <c r="P245" s="128"/>
    </row>
    <row r="246" spans="1:16" s="15" customFormat="1" ht="102" customHeight="1">
      <c r="A246" s="7"/>
      <c r="B246" s="7"/>
      <c r="C246" s="7"/>
      <c r="D246" s="138" t="s">
        <v>245</v>
      </c>
      <c r="E246" s="24"/>
      <c r="F246" s="61"/>
      <c r="G246" s="204">
        <f>H246+I246</f>
        <v>69454</v>
      </c>
      <c r="H246" s="205">
        <f>8400+11200</f>
        <v>19600</v>
      </c>
      <c r="I246" s="206">
        <v>49854</v>
      </c>
      <c r="J246" s="207">
        <f>I246</f>
        <v>49854</v>
      </c>
      <c r="K246" s="304"/>
      <c r="L246" s="247"/>
      <c r="M246" s="247"/>
      <c r="N246" s="247"/>
      <c r="O246" s="259"/>
      <c r="P246" s="128"/>
    </row>
    <row r="247" spans="1:16" s="197" customFormat="1" ht="95.25" customHeight="1" hidden="1">
      <c r="A247" s="110"/>
      <c r="B247" s="111"/>
      <c r="C247" s="111"/>
      <c r="D247" s="112"/>
      <c r="E247" s="113"/>
      <c r="F247" s="113"/>
      <c r="G247" s="114"/>
      <c r="H247" s="115"/>
      <c r="I247" s="75"/>
      <c r="J247" s="75"/>
      <c r="K247" s="306"/>
      <c r="L247" s="301"/>
      <c r="M247" s="301"/>
      <c r="N247" s="302"/>
      <c r="O247" s="302"/>
      <c r="P247" s="301"/>
    </row>
    <row r="248" spans="1:16" s="15" customFormat="1" ht="93" customHeight="1" hidden="1">
      <c r="A248" s="7">
        <v>1516030</v>
      </c>
      <c r="B248" s="7">
        <v>6030</v>
      </c>
      <c r="C248" s="7" t="s">
        <v>369</v>
      </c>
      <c r="D248" s="9" t="s">
        <v>603</v>
      </c>
      <c r="E248" s="42" t="s">
        <v>633</v>
      </c>
      <c r="F248" s="65"/>
      <c r="G248" s="121">
        <f t="shared" si="15"/>
        <v>0</v>
      </c>
      <c r="H248" s="41">
        <v>0</v>
      </c>
      <c r="I248" s="41">
        <v>0</v>
      </c>
      <c r="J248" s="13">
        <f t="shared" si="14"/>
        <v>0</v>
      </c>
      <c r="K248" s="248"/>
      <c r="L248" s="248"/>
      <c r="M248" s="248"/>
      <c r="N248" s="259"/>
      <c r="O248" s="259"/>
      <c r="P248" s="128"/>
    </row>
    <row r="249" spans="1:16" s="15" customFormat="1" ht="87" customHeight="1" hidden="1">
      <c r="A249" s="7">
        <v>1516030</v>
      </c>
      <c r="B249" s="7">
        <v>6030</v>
      </c>
      <c r="C249" s="7" t="s">
        <v>369</v>
      </c>
      <c r="D249" s="9" t="s">
        <v>603</v>
      </c>
      <c r="E249" s="64" t="s">
        <v>58</v>
      </c>
      <c r="F249" s="65" t="s">
        <v>59</v>
      </c>
      <c r="G249" s="121">
        <f t="shared" si="15"/>
        <v>0</v>
      </c>
      <c r="H249" s="41">
        <v>0</v>
      </c>
      <c r="I249" s="41">
        <f>500000-500000</f>
        <v>0</v>
      </c>
      <c r="J249" s="13">
        <f t="shared" si="14"/>
        <v>0</v>
      </c>
      <c r="K249" s="248"/>
      <c r="L249" s="248"/>
      <c r="M249" s="248"/>
      <c r="N249" s="259"/>
      <c r="O249" s="259"/>
      <c r="P249" s="128"/>
    </row>
    <row r="250" spans="1:16" s="15" customFormat="1" ht="104.25" customHeight="1">
      <c r="A250" s="7">
        <v>1516030</v>
      </c>
      <c r="B250" s="7">
        <v>6030</v>
      </c>
      <c r="C250" s="7" t="s">
        <v>369</v>
      </c>
      <c r="D250" s="9" t="s">
        <v>603</v>
      </c>
      <c r="E250" s="65" t="s">
        <v>67</v>
      </c>
      <c r="F250" s="42" t="s">
        <v>3</v>
      </c>
      <c r="G250" s="121">
        <f t="shared" si="15"/>
        <v>398387.47</v>
      </c>
      <c r="H250" s="41">
        <v>398387.47</v>
      </c>
      <c r="I250" s="120">
        <v>0</v>
      </c>
      <c r="J250" s="13">
        <f t="shared" si="14"/>
        <v>0</v>
      </c>
      <c r="K250" s="248"/>
      <c r="L250" s="248"/>
      <c r="M250" s="248"/>
      <c r="N250" s="259"/>
      <c r="O250" s="259"/>
      <c r="P250" s="128"/>
    </row>
    <row r="251" spans="1:16" s="15" customFormat="1" ht="73.5" customHeight="1">
      <c r="A251" s="59" t="s">
        <v>203</v>
      </c>
      <c r="B251" s="59" t="s">
        <v>192</v>
      </c>
      <c r="C251" s="58" t="s">
        <v>190</v>
      </c>
      <c r="D251" s="145" t="s">
        <v>204</v>
      </c>
      <c r="E251" s="65" t="s">
        <v>551</v>
      </c>
      <c r="F251" s="65" t="s">
        <v>93</v>
      </c>
      <c r="G251" s="121">
        <f t="shared" si="15"/>
        <v>1750000</v>
      </c>
      <c r="H251" s="41">
        <v>1750000</v>
      </c>
      <c r="I251" s="12">
        <v>0</v>
      </c>
      <c r="J251" s="13">
        <f t="shared" si="14"/>
        <v>0</v>
      </c>
      <c r="K251" s="298"/>
      <c r="L251" s="248"/>
      <c r="M251" s="248"/>
      <c r="N251" s="259"/>
      <c r="O251" s="259"/>
      <c r="P251" s="128"/>
    </row>
    <row r="252" spans="1:16" s="15" customFormat="1" ht="99.75" customHeight="1">
      <c r="A252" s="58" t="s">
        <v>98</v>
      </c>
      <c r="B252" s="58" t="s">
        <v>99</v>
      </c>
      <c r="C252" s="58" t="s">
        <v>406</v>
      </c>
      <c r="D252" s="145" t="s">
        <v>500</v>
      </c>
      <c r="E252" s="58" t="s">
        <v>51</v>
      </c>
      <c r="F252" s="6" t="s">
        <v>147</v>
      </c>
      <c r="G252" s="121">
        <f t="shared" si="15"/>
        <v>1670770</v>
      </c>
      <c r="H252" s="41">
        <f>1684000-13000-50130+49900</f>
        <v>1670770</v>
      </c>
      <c r="I252" s="12">
        <v>0</v>
      </c>
      <c r="J252" s="13">
        <f t="shared" si="14"/>
        <v>0</v>
      </c>
      <c r="K252" s="247"/>
      <c r="L252" s="248"/>
      <c r="M252" s="248"/>
      <c r="N252" s="259"/>
      <c r="O252" s="259"/>
      <c r="P252" s="128"/>
    </row>
    <row r="253" spans="1:16" s="15" customFormat="1" ht="68.25" customHeight="1">
      <c r="A253" s="59">
        <v>1517310</v>
      </c>
      <c r="B253" s="59">
        <v>7310</v>
      </c>
      <c r="C253" s="58" t="s">
        <v>413</v>
      </c>
      <c r="D253" s="145" t="s">
        <v>227</v>
      </c>
      <c r="E253" s="58" t="s">
        <v>51</v>
      </c>
      <c r="F253" s="6" t="s">
        <v>135</v>
      </c>
      <c r="G253" s="121">
        <f>H253+I253</f>
        <v>5255985.48</v>
      </c>
      <c r="H253" s="17">
        <v>0</v>
      </c>
      <c r="I253" s="12">
        <f>0+500000-300000+300000+49000+49000+49000+3700000+800000+545000-850000+700000+150000+99800+49900-125677.38-460037.14</f>
        <v>5255985.48</v>
      </c>
      <c r="J253" s="13">
        <f>I253</f>
        <v>5255985.48</v>
      </c>
      <c r="K253" s="247"/>
      <c r="L253" s="247"/>
      <c r="M253" s="247"/>
      <c r="N253" s="259"/>
      <c r="O253" s="259"/>
      <c r="P253" s="128"/>
    </row>
    <row r="254" spans="1:16" s="15" customFormat="1" ht="81" customHeight="1">
      <c r="A254" s="59">
        <v>1517310</v>
      </c>
      <c r="B254" s="59">
        <v>7310</v>
      </c>
      <c r="C254" s="58" t="s">
        <v>413</v>
      </c>
      <c r="D254" s="145" t="s">
        <v>35</v>
      </c>
      <c r="E254" s="42" t="s">
        <v>48</v>
      </c>
      <c r="F254" s="42" t="s">
        <v>116</v>
      </c>
      <c r="G254" s="121">
        <f t="shared" si="15"/>
        <v>9464315</v>
      </c>
      <c r="H254" s="17">
        <v>0</v>
      </c>
      <c r="I254" s="12">
        <f>25000+500000+50000+50000-50000+8839755+49560</f>
        <v>9464315</v>
      </c>
      <c r="J254" s="13">
        <f t="shared" si="14"/>
        <v>9464315</v>
      </c>
      <c r="K254" s="284"/>
      <c r="L254" s="260"/>
      <c r="M254" s="247"/>
      <c r="N254" s="259"/>
      <c r="O254" s="259"/>
      <c r="P254" s="128"/>
    </row>
    <row r="255" spans="1:16" s="15" customFormat="1" ht="82.5" customHeight="1">
      <c r="A255" s="59">
        <v>1517310</v>
      </c>
      <c r="B255" s="59">
        <v>7310</v>
      </c>
      <c r="C255" s="58" t="s">
        <v>413</v>
      </c>
      <c r="D255" s="145" t="s">
        <v>35</v>
      </c>
      <c r="E255" s="24" t="s">
        <v>632</v>
      </c>
      <c r="F255" s="61" t="s">
        <v>393</v>
      </c>
      <c r="G255" s="121">
        <f aca="true" t="shared" si="16" ref="G255:G260">H255+I255</f>
        <v>29666312.52</v>
      </c>
      <c r="H255" s="17">
        <v>0</v>
      </c>
      <c r="I255" s="12">
        <f>1822307+56000-200000+188333+188333+199000+200000+200000+1400000+I256+1936000-256000+50000-2076910+2000-147000-53000</f>
        <v>29666312.52</v>
      </c>
      <c r="J255" s="13">
        <f>I255</f>
        <v>29666312.52</v>
      </c>
      <c r="K255" s="247"/>
      <c r="L255" s="247"/>
      <c r="M255" s="247"/>
      <c r="N255" s="259"/>
      <c r="O255" s="259"/>
      <c r="P255" s="128"/>
    </row>
    <row r="256" spans="1:16" s="152" customFormat="1" ht="95.25" customHeight="1">
      <c r="A256" s="100"/>
      <c r="B256" s="101"/>
      <c r="C256" s="101"/>
      <c r="D256" s="78" t="s">
        <v>573</v>
      </c>
      <c r="E256" s="102"/>
      <c r="F256" s="102"/>
      <c r="G256" s="103">
        <f t="shared" si="16"/>
        <v>26157249.52</v>
      </c>
      <c r="H256" s="104">
        <v>0</v>
      </c>
      <c r="I256" s="79">
        <f>47793265-19883468-565505.83-564831.39-650646.39-645549.14+2426532.75-1039798.92-230752.15-481996.41</f>
        <v>26157249.52</v>
      </c>
      <c r="J256" s="79">
        <f>I256</f>
        <v>26157249.52</v>
      </c>
      <c r="K256" s="275"/>
      <c r="L256" s="276"/>
      <c r="M256" s="276"/>
      <c r="N256" s="277"/>
      <c r="O256" s="277"/>
      <c r="P256" s="276"/>
    </row>
    <row r="257" spans="1:16" s="14" customFormat="1" ht="72.75" customHeight="1">
      <c r="A257" s="30" t="s">
        <v>278</v>
      </c>
      <c r="B257" s="30" t="s">
        <v>279</v>
      </c>
      <c r="C257" s="25" t="s">
        <v>413</v>
      </c>
      <c r="D257" s="340" t="s">
        <v>32</v>
      </c>
      <c r="E257" s="24" t="s">
        <v>632</v>
      </c>
      <c r="F257" s="6" t="s">
        <v>393</v>
      </c>
      <c r="G257" s="121">
        <f t="shared" si="16"/>
        <v>8609138.86</v>
      </c>
      <c r="H257" s="17">
        <v>0</v>
      </c>
      <c r="I257" s="13">
        <f>410000+200000+50000+I258+53000</f>
        <v>8609138.86</v>
      </c>
      <c r="J257" s="13">
        <f t="shared" si="14"/>
        <v>8609138.86</v>
      </c>
      <c r="K257" s="244"/>
      <c r="L257" s="249"/>
      <c r="M257" s="249"/>
      <c r="N257" s="277"/>
      <c r="O257" s="277"/>
      <c r="P257" s="129"/>
    </row>
    <row r="258" spans="1:16" s="152" customFormat="1" ht="95.25" customHeight="1">
      <c r="A258" s="100"/>
      <c r="B258" s="101"/>
      <c r="C258" s="101"/>
      <c r="D258" s="78" t="s">
        <v>573</v>
      </c>
      <c r="E258" s="102"/>
      <c r="F258" s="102"/>
      <c r="G258" s="103">
        <f>H258+I258</f>
        <v>7896138.86</v>
      </c>
      <c r="H258" s="104">
        <v>0</v>
      </c>
      <c r="I258" s="79">
        <f>8215379-319240.14</f>
        <v>7896138.86</v>
      </c>
      <c r="J258" s="79">
        <f>I258</f>
        <v>7896138.86</v>
      </c>
      <c r="K258" s="275"/>
      <c r="L258" s="276"/>
      <c r="M258" s="276"/>
      <c r="N258" s="277"/>
      <c r="O258" s="277"/>
      <c r="P258" s="276"/>
    </row>
    <row r="259" spans="1:16" s="15" customFormat="1" ht="78.75" customHeight="1">
      <c r="A259" s="59" t="s">
        <v>201</v>
      </c>
      <c r="B259" s="59" t="s">
        <v>202</v>
      </c>
      <c r="C259" s="58" t="s">
        <v>413</v>
      </c>
      <c r="D259" s="146" t="s">
        <v>34</v>
      </c>
      <c r="E259" s="24" t="s">
        <v>632</v>
      </c>
      <c r="F259" s="61" t="s">
        <v>393</v>
      </c>
      <c r="G259" s="121">
        <f t="shared" si="16"/>
        <v>2931590.83</v>
      </c>
      <c r="H259" s="17">
        <v>0</v>
      </c>
      <c r="I259" s="12">
        <f>0+49000+1400000+I260-500000</f>
        <v>2931590.83</v>
      </c>
      <c r="J259" s="13">
        <f t="shared" si="14"/>
        <v>2931590.83</v>
      </c>
      <c r="K259" s="247"/>
      <c r="L259" s="248"/>
      <c r="M259" s="248"/>
      <c r="N259" s="259"/>
      <c r="O259" s="259"/>
      <c r="P259" s="128"/>
    </row>
    <row r="260" spans="1:16" s="152" customFormat="1" ht="95.25" customHeight="1">
      <c r="A260" s="100"/>
      <c r="B260" s="101"/>
      <c r="C260" s="101"/>
      <c r="D260" s="78" t="s">
        <v>573</v>
      </c>
      <c r="E260" s="102"/>
      <c r="F260" s="102"/>
      <c r="G260" s="103">
        <f t="shared" si="16"/>
        <v>1982590.83</v>
      </c>
      <c r="H260" s="104">
        <v>0</v>
      </c>
      <c r="I260" s="79">
        <f>1990826-8235.17</f>
        <v>1982590.83</v>
      </c>
      <c r="J260" s="79">
        <f>I260</f>
        <v>1982590.83</v>
      </c>
      <c r="K260" s="275"/>
      <c r="L260" s="276"/>
      <c r="M260" s="276"/>
      <c r="N260" s="277"/>
      <c r="O260" s="277"/>
      <c r="P260" s="276"/>
    </row>
    <row r="261" spans="1:16" s="15" customFormat="1" ht="81" customHeight="1" hidden="1">
      <c r="A261" s="59">
        <v>1517323</v>
      </c>
      <c r="B261" s="59">
        <v>7323</v>
      </c>
      <c r="C261" s="58" t="s">
        <v>413</v>
      </c>
      <c r="D261" s="145" t="s">
        <v>221</v>
      </c>
      <c r="E261" s="24" t="s">
        <v>632</v>
      </c>
      <c r="F261" s="61" t="s">
        <v>393</v>
      </c>
      <c r="G261" s="121">
        <f t="shared" si="15"/>
        <v>0</v>
      </c>
      <c r="H261" s="17">
        <v>0</v>
      </c>
      <c r="I261" s="12">
        <f>500000-450000-50000</f>
        <v>0</v>
      </c>
      <c r="J261" s="13">
        <f t="shared" si="14"/>
        <v>0</v>
      </c>
      <c r="K261" s="248"/>
      <c r="L261" s="248"/>
      <c r="M261" s="248"/>
      <c r="N261" s="259"/>
      <c r="O261" s="259"/>
      <c r="P261" s="128"/>
    </row>
    <row r="262" spans="1:16" s="15" customFormat="1" ht="87" customHeight="1">
      <c r="A262" s="58" t="s">
        <v>101</v>
      </c>
      <c r="B262" s="58" t="s">
        <v>102</v>
      </c>
      <c r="C262" s="58" t="s">
        <v>413</v>
      </c>
      <c r="D262" s="145" t="s">
        <v>222</v>
      </c>
      <c r="E262" s="24" t="s">
        <v>632</v>
      </c>
      <c r="F262" s="61" t="s">
        <v>393</v>
      </c>
      <c r="G262" s="121">
        <f aca="true" t="shared" si="17" ref="G262:G268">H262+I262</f>
        <v>66763049</v>
      </c>
      <c r="H262" s="17">
        <v>0</v>
      </c>
      <c r="I262" s="12">
        <f>0+I263</f>
        <v>66763049</v>
      </c>
      <c r="J262" s="13">
        <f t="shared" si="14"/>
        <v>66763049</v>
      </c>
      <c r="K262" s="247"/>
      <c r="L262" s="248"/>
      <c r="M262" s="248"/>
      <c r="N262" s="259"/>
      <c r="O262" s="259"/>
      <c r="P262" s="128"/>
    </row>
    <row r="263" spans="1:16" s="152" customFormat="1" ht="95.25" customHeight="1">
      <c r="A263" s="100"/>
      <c r="B263" s="101"/>
      <c r="C263" s="101"/>
      <c r="D263" s="78" t="s">
        <v>573</v>
      </c>
      <c r="E263" s="102"/>
      <c r="F263" s="102"/>
      <c r="G263" s="103">
        <f t="shared" si="17"/>
        <v>66763049</v>
      </c>
      <c r="H263" s="104">
        <v>0</v>
      </c>
      <c r="I263" s="79">
        <v>66763049</v>
      </c>
      <c r="J263" s="79">
        <f>I263</f>
        <v>66763049</v>
      </c>
      <c r="K263" s="275"/>
      <c r="L263" s="276"/>
      <c r="M263" s="276"/>
      <c r="N263" s="277"/>
      <c r="O263" s="277"/>
      <c r="P263" s="276"/>
    </row>
    <row r="264" spans="1:16" s="147" customFormat="1" ht="84" customHeight="1">
      <c r="A264" s="59">
        <v>1517325</v>
      </c>
      <c r="B264" s="59">
        <v>7325</v>
      </c>
      <c r="C264" s="58" t="s">
        <v>413</v>
      </c>
      <c r="D264" s="145" t="s">
        <v>36</v>
      </c>
      <c r="E264" s="24" t="s">
        <v>632</v>
      </c>
      <c r="F264" s="61" t="s">
        <v>393</v>
      </c>
      <c r="G264" s="121">
        <f t="shared" si="17"/>
        <v>201843</v>
      </c>
      <c r="H264" s="17">
        <v>0</v>
      </c>
      <c r="I264" s="13">
        <f>200000+1843</f>
        <v>201843</v>
      </c>
      <c r="J264" s="13">
        <f t="shared" si="14"/>
        <v>201843</v>
      </c>
      <c r="K264" s="307"/>
      <c r="L264" s="308"/>
      <c r="M264" s="308"/>
      <c r="N264" s="259"/>
      <c r="O264" s="259"/>
      <c r="P264" s="309"/>
    </row>
    <row r="265" spans="1:16" s="118" customFormat="1" ht="97.5" customHeight="1">
      <c r="A265" s="59" t="s">
        <v>235</v>
      </c>
      <c r="B265" s="108">
        <v>7366</v>
      </c>
      <c r="C265" s="148" t="s">
        <v>382</v>
      </c>
      <c r="D265" s="63" t="s">
        <v>236</v>
      </c>
      <c r="E265" s="24" t="s">
        <v>632</v>
      </c>
      <c r="F265" s="61" t="s">
        <v>393</v>
      </c>
      <c r="G265" s="149">
        <f t="shared" si="17"/>
        <v>149659241</v>
      </c>
      <c r="H265" s="150">
        <v>0</v>
      </c>
      <c r="I265" s="150">
        <f>5200000+I266+9280000+10463207</f>
        <v>149659241</v>
      </c>
      <c r="J265" s="13">
        <f>5200000+9280000+10463207</f>
        <v>24943207</v>
      </c>
      <c r="K265" s="266"/>
      <c r="L265" s="266"/>
      <c r="M265" s="265"/>
      <c r="N265" s="267"/>
      <c r="O265" s="267"/>
      <c r="P265" s="268"/>
    </row>
    <row r="266" spans="1:16" s="105" customFormat="1" ht="99" customHeight="1">
      <c r="A266" s="110"/>
      <c r="B266" s="111"/>
      <c r="C266" s="111"/>
      <c r="D266" s="112" t="s">
        <v>237</v>
      </c>
      <c r="E266" s="113"/>
      <c r="F266" s="102"/>
      <c r="G266" s="103">
        <f t="shared" si="17"/>
        <v>124716034</v>
      </c>
      <c r="H266" s="104">
        <v>0</v>
      </c>
      <c r="I266" s="79">
        <f>0+26000000+46400000+52316034</f>
        <v>124716034</v>
      </c>
      <c r="J266" s="13">
        <v>0</v>
      </c>
      <c r="K266" s="272"/>
      <c r="L266" s="272"/>
      <c r="M266" s="272"/>
      <c r="N266" s="259"/>
      <c r="O266" s="259"/>
      <c r="P266" s="272"/>
    </row>
    <row r="267" spans="1:16" s="14" customFormat="1" ht="96" customHeight="1" hidden="1">
      <c r="A267" s="59" t="s">
        <v>280</v>
      </c>
      <c r="B267" s="108">
        <v>7368</v>
      </c>
      <c r="C267" s="148" t="s">
        <v>382</v>
      </c>
      <c r="D267" s="63" t="s">
        <v>281</v>
      </c>
      <c r="E267" s="97" t="s">
        <v>4</v>
      </c>
      <c r="F267" s="99" t="s">
        <v>6</v>
      </c>
      <c r="G267" s="98">
        <f t="shared" si="17"/>
        <v>0</v>
      </c>
      <c r="H267" s="95"/>
      <c r="I267" s="95"/>
      <c r="J267" s="13">
        <f t="shared" si="14"/>
        <v>0</v>
      </c>
      <c r="K267" s="244"/>
      <c r="L267" s="249"/>
      <c r="M267" s="249"/>
      <c r="N267" s="259"/>
      <c r="O267" s="259"/>
      <c r="P267" s="129"/>
    </row>
    <row r="268" spans="1:16" s="105" customFormat="1" ht="192.75" customHeight="1" hidden="1">
      <c r="A268" s="110"/>
      <c r="B268" s="111"/>
      <c r="C268" s="111"/>
      <c r="D268" s="112" t="s">
        <v>289</v>
      </c>
      <c r="E268" s="113"/>
      <c r="F268" s="102"/>
      <c r="G268" s="103">
        <f t="shared" si="17"/>
        <v>0</v>
      </c>
      <c r="H268" s="104"/>
      <c r="I268" s="79"/>
      <c r="J268" s="13">
        <f t="shared" si="14"/>
        <v>0</v>
      </c>
      <c r="K268" s="272"/>
      <c r="L268" s="272"/>
      <c r="M268" s="272"/>
      <c r="N268" s="259"/>
      <c r="O268" s="259"/>
      <c r="P268" s="272"/>
    </row>
    <row r="269" spans="1:16" s="15" customFormat="1" ht="102" customHeight="1">
      <c r="A269" s="59">
        <v>1517461</v>
      </c>
      <c r="B269" s="59">
        <v>7461</v>
      </c>
      <c r="C269" s="58" t="s">
        <v>409</v>
      </c>
      <c r="D269" s="63" t="s">
        <v>321</v>
      </c>
      <c r="E269" s="58" t="s">
        <v>51</v>
      </c>
      <c r="F269" s="6" t="s">
        <v>148</v>
      </c>
      <c r="G269" s="121">
        <f aca="true" t="shared" si="18" ref="G269:G281">H269+I269</f>
        <v>34315734</v>
      </c>
      <c r="H269" s="57">
        <f>15000000-10000000+21330000-1000000-5000000+2413000+1500000+10000000+8388833-9635099+1120000+199000</f>
        <v>34315734</v>
      </c>
      <c r="I269" s="12">
        <v>0</v>
      </c>
      <c r="J269" s="13">
        <f t="shared" si="14"/>
        <v>0</v>
      </c>
      <c r="K269" s="247"/>
      <c r="L269" s="248"/>
      <c r="M269" s="248"/>
      <c r="N269" s="259"/>
      <c r="O269" s="259"/>
      <c r="P269" s="128"/>
    </row>
    <row r="270" spans="1:16" s="15" customFormat="1" ht="133.5" customHeight="1" hidden="1">
      <c r="A270" s="8" t="s">
        <v>266</v>
      </c>
      <c r="B270" s="8" t="s">
        <v>267</v>
      </c>
      <c r="C270" s="8" t="s">
        <v>409</v>
      </c>
      <c r="D270" s="84" t="s">
        <v>268</v>
      </c>
      <c r="E270" s="6" t="s">
        <v>5</v>
      </c>
      <c r="F270" s="6" t="s">
        <v>148</v>
      </c>
      <c r="G270" s="121">
        <f>H270+I270</f>
        <v>0</v>
      </c>
      <c r="H270" s="13"/>
      <c r="I270" s="12"/>
      <c r="J270" s="13">
        <f t="shared" si="14"/>
        <v>0</v>
      </c>
      <c r="K270" s="247"/>
      <c r="L270" s="248"/>
      <c r="M270" s="248"/>
      <c r="N270" s="259"/>
      <c r="O270" s="259"/>
      <c r="P270" s="128"/>
    </row>
    <row r="271" spans="1:16" s="105" customFormat="1" ht="153.75" customHeight="1" hidden="1">
      <c r="A271" s="100"/>
      <c r="B271" s="101"/>
      <c r="C271" s="101"/>
      <c r="D271" s="72" t="s">
        <v>584</v>
      </c>
      <c r="E271" s="102"/>
      <c r="F271" s="102"/>
      <c r="G271" s="103">
        <f>H271+I271</f>
        <v>0</v>
      </c>
      <c r="H271" s="104"/>
      <c r="I271" s="79"/>
      <c r="J271" s="13">
        <f t="shared" si="14"/>
        <v>0</v>
      </c>
      <c r="K271" s="272"/>
      <c r="L271" s="272"/>
      <c r="M271" s="272"/>
      <c r="N271" s="259"/>
      <c r="O271" s="259"/>
      <c r="P271" s="272"/>
    </row>
    <row r="272" spans="1:16" s="15" customFormat="1" ht="98.25" customHeight="1">
      <c r="A272" s="7" t="s">
        <v>356</v>
      </c>
      <c r="B272" s="7" t="s">
        <v>357</v>
      </c>
      <c r="C272" s="8" t="s">
        <v>358</v>
      </c>
      <c r="D272" s="9" t="s">
        <v>359</v>
      </c>
      <c r="E272" s="42" t="s">
        <v>638</v>
      </c>
      <c r="F272" s="42" t="s">
        <v>684</v>
      </c>
      <c r="G272" s="121">
        <f t="shared" si="18"/>
        <v>7630000</v>
      </c>
      <c r="H272" s="41">
        <f>7000000+630000</f>
        <v>7630000</v>
      </c>
      <c r="I272" s="13">
        <v>0</v>
      </c>
      <c r="J272" s="13">
        <f t="shared" si="14"/>
        <v>0</v>
      </c>
      <c r="K272" s="248"/>
      <c r="L272" s="248"/>
      <c r="M272" s="248"/>
      <c r="N272" s="259"/>
      <c r="O272" s="259"/>
      <c r="P272" s="128"/>
    </row>
    <row r="273" spans="1:16" s="15" customFormat="1" ht="42" customHeight="1">
      <c r="A273" s="7" t="s">
        <v>346</v>
      </c>
      <c r="B273" s="7" t="s">
        <v>211</v>
      </c>
      <c r="C273" s="8" t="s">
        <v>421</v>
      </c>
      <c r="D273" s="9" t="s">
        <v>438</v>
      </c>
      <c r="E273" s="393" t="s">
        <v>636</v>
      </c>
      <c r="F273" s="395" t="s">
        <v>19</v>
      </c>
      <c r="G273" s="121">
        <f t="shared" si="18"/>
        <v>1404494</v>
      </c>
      <c r="H273" s="41">
        <v>0</v>
      </c>
      <c r="I273" s="13">
        <f>1180000+224494</f>
        <v>1404494</v>
      </c>
      <c r="J273" s="13">
        <f t="shared" si="14"/>
        <v>1404494</v>
      </c>
      <c r="K273" s="248"/>
      <c r="L273" s="247"/>
      <c r="M273" s="248"/>
      <c r="N273" s="259"/>
      <c r="O273" s="259"/>
      <c r="P273" s="128"/>
    </row>
    <row r="274" spans="1:16" s="152" customFormat="1" ht="83.25" customHeight="1">
      <c r="A274" s="100"/>
      <c r="B274" s="101"/>
      <c r="C274" s="100"/>
      <c r="D274" s="151" t="s">
        <v>558</v>
      </c>
      <c r="E274" s="393"/>
      <c r="F274" s="395"/>
      <c r="G274" s="103">
        <f t="shared" si="18"/>
        <v>1180000</v>
      </c>
      <c r="H274" s="104">
        <v>0</v>
      </c>
      <c r="I274" s="79">
        <v>1180000</v>
      </c>
      <c r="J274" s="79">
        <f t="shared" si="14"/>
        <v>1180000</v>
      </c>
      <c r="K274" s="276"/>
      <c r="L274" s="275"/>
      <c r="M274" s="276"/>
      <c r="N274" s="259"/>
      <c r="O274" s="259"/>
      <c r="P274" s="276"/>
    </row>
    <row r="275" spans="1:16" s="107" customFormat="1" ht="111" customHeight="1" hidden="1">
      <c r="A275" s="25" t="s">
        <v>346</v>
      </c>
      <c r="B275" s="25" t="s">
        <v>211</v>
      </c>
      <c r="C275" s="25" t="s">
        <v>421</v>
      </c>
      <c r="D275" s="9" t="s">
        <v>438</v>
      </c>
      <c r="E275" s="42" t="s">
        <v>554</v>
      </c>
      <c r="F275" s="22" t="s">
        <v>61</v>
      </c>
      <c r="G275" s="121">
        <f t="shared" si="18"/>
        <v>0</v>
      </c>
      <c r="H275" s="41"/>
      <c r="I275" s="13"/>
      <c r="J275" s="13">
        <f t="shared" si="14"/>
        <v>0</v>
      </c>
      <c r="K275" s="249"/>
      <c r="L275" s="249"/>
      <c r="M275" s="249"/>
      <c r="N275" s="259"/>
      <c r="O275" s="259"/>
      <c r="P275" s="249"/>
    </row>
    <row r="276" spans="1:16" s="15" customFormat="1" ht="137.25" customHeight="1" hidden="1">
      <c r="A276" s="7">
        <v>1517670</v>
      </c>
      <c r="B276" s="7">
        <v>7670</v>
      </c>
      <c r="C276" s="7" t="s">
        <v>382</v>
      </c>
      <c r="D276" s="9" t="s">
        <v>437</v>
      </c>
      <c r="E276" s="65" t="s">
        <v>87</v>
      </c>
      <c r="F276" s="42" t="s">
        <v>69</v>
      </c>
      <c r="G276" s="121">
        <f t="shared" si="18"/>
        <v>0</v>
      </c>
      <c r="H276" s="41">
        <v>0</v>
      </c>
      <c r="I276" s="13"/>
      <c r="J276" s="13">
        <f t="shared" si="14"/>
        <v>0</v>
      </c>
      <c r="K276" s="247"/>
      <c r="L276" s="247"/>
      <c r="M276" s="247"/>
      <c r="N276" s="259"/>
      <c r="O276" s="259"/>
      <c r="P276" s="128"/>
    </row>
    <row r="277" spans="1:16" s="15" customFormat="1" ht="120" customHeight="1">
      <c r="A277" s="7">
        <v>1517670</v>
      </c>
      <c r="B277" s="7">
        <v>7670</v>
      </c>
      <c r="C277" s="7" t="s">
        <v>382</v>
      </c>
      <c r="D277" s="9" t="s">
        <v>437</v>
      </c>
      <c r="E277" s="24" t="s">
        <v>648</v>
      </c>
      <c r="F277" s="24" t="s">
        <v>286</v>
      </c>
      <c r="G277" s="121">
        <f t="shared" si="18"/>
        <v>3047720</v>
      </c>
      <c r="H277" s="41">
        <v>0</v>
      </c>
      <c r="I277" s="13">
        <f>4000000-1000000+47720</f>
        <v>3047720</v>
      </c>
      <c r="J277" s="13">
        <f t="shared" si="14"/>
        <v>3047720</v>
      </c>
      <c r="K277" s="304"/>
      <c r="L277" s="260"/>
      <c r="M277" s="248"/>
      <c r="N277" s="259"/>
      <c r="O277" s="259"/>
      <c r="P277" s="128"/>
    </row>
    <row r="278" spans="1:16" s="15" customFormat="1" ht="114">
      <c r="A278" s="7">
        <v>1517670</v>
      </c>
      <c r="B278" s="7">
        <v>7670</v>
      </c>
      <c r="C278" s="7" t="s">
        <v>382</v>
      </c>
      <c r="D278" s="9" t="s">
        <v>437</v>
      </c>
      <c r="E278" s="97" t="s">
        <v>647</v>
      </c>
      <c r="F278" s="24" t="s">
        <v>617</v>
      </c>
      <c r="G278" s="121">
        <f t="shared" si="18"/>
        <v>33500000</v>
      </c>
      <c r="H278" s="41">
        <v>0</v>
      </c>
      <c r="I278" s="13">
        <f>12000000+12000000+23003000-12000000-5000000+5000000+8000000-3503000-5000000-1000000</f>
        <v>33500000</v>
      </c>
      <c r="J278" s="13">
        <f t="shared" si="14"/>
        <v>33500000</v>
      </c>
      <c r="K278" s="248"/>
      <c r="L278" s="247"/>
      <c r="M278" s="248"/>
      <c r="N278" s="259"/>
      <c r="O278" s="259"/>
      <c r="P278" s="128"/>
    </row>
    <row r="279" spans="1:16" s="15" customFormat="1" ht="133.5" customHeight="1">
      <c r="A279" s="7">
        <v>1517670</v>
      </c>
      <c r="B279" s="7">
        <v>7670</v>
      </c>
      <c r="C279" s="7" t="s">
        <v>382</v>
      </c>
      <c r="D279" s="9" t="s">
        <v>437</v>
      </c>
      <c r="E279" s="65" t="s">
        <v>626</v>
      </c>
      <c r="F279" s="42" t="s">
        <v>282</v>
      </c>
      <c r="G279" s="121">
        <f>H279+I279</f>
        <v>40000000</v>
      </c>
      <c r="H279" s="41">
        <v>0</v>
      </c>
      <c r="I279" s="13">
        <f>40000000-5000000+5000000</f>
        <v>40000000</v>
      </c>
      <c r="J279" s="13">
        <f t="shared" si="14"/>
        <v>40000000</v>
      </c>
      <c r="K279" s="250"/>
      <c r="L279" s="248"/>
      <c r="M279" s="248"/>
      <c r="N279" s="259"/>
      <c r="O279" s="259"/>
      <c r="P279" s="128"/>
    </row>
    <row r="280" spans="1:16" s="15" customFormat="1" ht="136.5">
      <c r="A280" s="7">
        <v>1517670</v>
      </c>
      <c r="B280" s="7">
        <v>7670</v>
      </c>
      <c r="C280" s="7" t="s">
        <v>382</v>
      </c>
      <c r="D280" s="9" t="s">
        <v>437</v>
      </c>
      <c r="E280" s="42" t="s">
        <v>86</v>
      </c>
      <c r="F280" s="24" t="s">
        <v>680</v>
      </c>
      <c r="G280" s="121">
        <f t="shared" si="18"/>
        <v>10415000</v>
      </c>
      <c r="H280" s="120">
        <v>0</v>
      </c>
      <c r="I280" s="57">
        <f>11000000-11000000+10415000</f>
        <v>10415000</v>
      </c>
      <c r="J280" s="57">
        <f t="shared" si="14"/>
        <v>10415000</v>
      </c>
      <c r="K280" s="248"/>
      <c r="L280" s="248"/>
      <c r="M280" s="248"/>
      <c r="N280" s="259"/>
      <c r="O280" s="259"/>
      <c r="P280" s="128"/>
    </row>
    <row r="281" spans="1:16" s="15" customFormat="1" ht="117.75" customHeight="1" hidden="1">
      <c r="A281" s="8" t="s">
        <v>157</v>
      </c>
      <c r="B281" s="8" t="s">
        <v>158</v>
      </c>
      <c r="C281" s="8" t="s">
        <v>382</v>
      </c>
      <c r="D281" s="9" t="s">
        <v>437</v>
      </c>
      <c r="E281" s="42" t="s">
        <v>41</v>
      </c>
      <c r="F281" s="24" t="s">
        <v>42</v>
      </c>
      <c r="G281" s="121">
        <f t="shared" si="18"/>
        <v>0</v>
      </c>
      <c r="H281" s="41">
        <v>0</v>
      </c>
      <c r="I281" s="13">
        <f>2000000-2000000</f>
        <v>0</v>
      </c>
      <c r="J281" s="13">
        <f t="shared" si="14"/>
        <v>0</v>
      </c>
      <c r="K281" s="248"/>
      <c r="L281" s="248"/>
      <c r="M281" s="248"/>
      <c r="N281" s="259"/>
      <c r="O281" s="259"/>
      <c r="P281" s="128"/>
    </row>
    <row r="282" spans="1:16" s="15" customFormat="1" ht="103.5" customHeight="1" hidden="1">
      <c r="A282" s="58" t="s">
        <v>157</v>
      </c>
      <c r="B282" s="58" t="s">
        <v>158</v>
      </c>
      <c r="C282" s="58" t="s">
        <v>382</v>
      </c>
      <c r="D282" s="63" t="s">
        <v>437</v>
      </c>
      <c r="E282" s="97" t="s">
        <v>646</v>
      </c>
      <c r="F282" s="97" t="s">
        <v>628</v>
      </c>
      <c r="G282" s="119">
        <f>H282+I282</f>
        <v>0</v>
      </c>
      <c r="H282" s="194">
        <v>0</v>
      </c>
      <c r="I282" s="195">
        <f>1500000-1500000</f>
        <v>0</v>
      </c>
      <c r="J282" s="195">
        <f t="shared" si="14"/>
        <v>0</v>
      </c>
      <c r="K282" s="248"/>
      <c r="L282" s="248"/>
      <c r="M282" s="248"/>
      <c r="N282" s="259"/>
      <c r="O282" s="259"/>
      <c r="P282" s="128"/>
    </row>
    <row r="283" spans="1:16" s="15" customFormat="1" ht="105" customHeight="1">
      <c r="A283" s="7">
        <v>1517670</v>
      </c>
      <c r="B283" s="7">
        <v>7670</v>
      </c>
      <c r="C283" s="7" t="s">
        <v>382</v>
      </c>
      <c r="D283" s="9" t="s">
        <v>437</v>
      </c>
      <c r="E283" s="65" t="s">
        <v>613</v>
      </c>
      <c r="F283" s="65" t="s">
        <v>616</v>
      </c>
      <c r="G283" s="121">
        <f>H283+I283</f>
        <v>11240127.87</v>
      </c>
      <c r="H283" s="41">
        <v>0</v>
      </c>
      <c r="I283" s="13">
        <f>17000000+20000000+1500000-3000000-6000000-8839755+350000-9770117.13</f>
        <v>11240127.87</v>
      </c>
      <c r="J283" s="13">
        <f t="shared" si="14"/>
        <v>11240127.87</v>
      </c>
      <c r="K283" s="248"/>
      <c r="L283" s="248"/>
      <c r="M283" s="248"/>
      <c r="N283" s="259"/>
      <c r="O283" s="259"/>
      <c r="P283" s="128"/>
    </row>
    <row r="284" spans="1:16" s="15" customFormat="1" ht="159" customHeight="1" hidden="1">
      <c r="A284" s="7">
        <v>1517670</v>
      </c>
      <c r="B284" s="7">
        <v>7670</v>
      </c>
      <c r="C284" s="7" t="s">
        <v>382</v>
      </c>
      <c r="D284" s="9" t="s">
        <v>437</v>
      </c>
      <c r="E284" s="42" t="s">
        <v>687</v>
      </c>
      <c r="F284" s="225" t="s">
        <v>688</v>
      </c>
      <c r="G284" s="121">
        <f aca="true" t="shared" si="19" ref="G284:G293">H284+I284</f>
        <v>0</v>
      </c>
      <c r="H284" s="95">
        <v>0</v>
      </c>
      <c r="I284" s="150">
        <f>3000000-3000000</f>
        <v>0</v>
      </c>
      <c r="J284" s="13">
        <f t="shared" si="14"/>
        <v>0</v>
      </c>
      <c r="K284" s="248"/>
      <c r="L284" s="248"/>
      <c r="M284" s="248"/>
      <c r="N284" s="259"/>
      <c r="O284" s="259"/>
      <c r="P284" s="128"/>
    </row>
    <row r="285" spans="1:16" s="15" customFormat="1" ht="330.75" customHeight="1" hidden="1">
      <c r="A285" s="68" t="s">
        <v>569</v>
      </c>
      <c r="B285" s="68">
        <v>7691</v>
      </c>
      <c r="C285" s="8" t="s">
        <v>382</v>
      </c>
      <c r="D285" s="9" t="s">
        <v>570</v>
      </c>
      <c r="E285" s="42" t="s">
        <v>329</v>
      </c>
      <c r="F285" s="64" t="s">
        <v>121</v>
      </c>
      <c r="G285" s="121">
        <f>H285+I285</f>
        <v>0</v>
      </c>
      <c r="H285" s="95"/>
      <c r="I285" s="150"/>
      <c r="J285" s="13">
        <f t="shared" si="14"/>
        <v>0</v>
      </c>
      <c r="K285" s="247"/>
      <c r="L285" s="248"/>
      <c r="M285" s="248"/>
      <c r="N285" s="259"/>
      <c r="O285" s="259"/>
      <c r="P285" s="128"/>
    </row>
    <row r="286" spans="1:16" s="15" customFormat="1" ht="333" customHeight="1" hidden="1">
      <c r="A286" s="68" t="s">
        <v>569</v>
      </c>
      <c r="B286" s="68">
        <v>7691</v>
      </c>
      <c r="C286" s="8" t="s">
        <v>382</v>
      </c>
      <c r="D286" s="9" t="s">
        <v>570</v>
      </c>
      <c r="E286" s="42" t="s">
        <v>556</v>
      </c>
      <c r="F286" s="64" t="s">
        <v>70</v>
      </c>
      <c r="G286" s="121">
        <f t="shared" si="19"/>
        <v>0</v>
      </c>
      <c r="H286" s="95"/>
      <c r="I286" s="150"/>
      <c r="J286" s="13"/>
      <c r="K286" s="248"/>
      <c r="L286" s="248"/>
      <c r="M286" s="248"/>
      <c r="N286" s="259"/>
      <c r="O286" s="259"/>
      <c r="P286" s="128"/>
    </row>
    <row r="287" spans="1:16" s="15" customFormat="1" ht="141" customHeight="1">
      <c r="A287" s="68">
        <v>1517670</v>
      </c>
      <c r="B287" s="68">
        <v>7670</v>
      </c>
      <c r="C287" s="8" t="s">
        <v>382</v>
      </c>
      <c r="D287" s="9" t="s">
        <v>437</v>
      </c>
      <c r="E287" s="65" t="s">
        <v>84</v>
      </c>
      <c r="F287" s="42" t="s">
        <v>85</v>
      </c>
      <c r="G287" s="121">
        <f>H287+I287</f>
        <v>100000</v>
      </c>
      <c r="H287" s="41">
        <v>0</v>
      </c>
      <c r="I287" s="13">
        <v>100000</v>
      </c>
      <c r="J287" s="13">
        <f>I287</f>
        <v>100000</v>
      </c>
      <c r="K287" s="248"/>
      <c r="L287" s="248"/>
      <c r="M287" s="248"/>
      <c r="N287" s="259"/>
      <c r="O287" s="259"/>
      <c r="P287" s="128"/>
    </row>
    <row r="288" spans="1:16" s="15" customFormat="1" ht="278.25" customHeight="1">
      <c r="A288" s="215">
        <v>1517691</v>
      </c>
      <c r="B288" s="215">
        <v>7691</v>
      </c>
      <c r="C288" s="58" t="s">
        <v>382</v>
      </c>
      <c r="D288" s="334" t="s">
        <v>570</v>
      </c>
      <c r="E288" s="65" t="s">
        <v>48</v>
      </c>
      <c r="F288" s="65" t="s">
        <v>395</v>
      </c>
      <c r="G288" s="119">
        <f>H288+I288</f>
        <v>8000000</v>
      </c>
      <c r="H288" s="120">
        <v>0</v>
      </c>
      <c r="I288" s="57">
        <v>8000000</v>
      </c>
      <c r="J288" s="57">
        <v>0</v>
      </c>
      <c r="K288" s="248"/>
      <c r="L288" s="248"/>
      <c r="M288" s="248"/>
      <c r="N288" s="259"/>
      <c r="O288" s="259"/>
      <c r="P288" s="128"/>
    </row>
    <row r="289" spans="1:16" s="15" customFormat="1" ht="87" customHeight="1">
      <c r="A289" s="68" t="s">
        <v>553</v>
      </c>
      <c r="B289" s="68">
        <v>7693</v>
      </c>
      <c r="C289" s="8" t="s">
        <v>382</v>
      </c>
      <c r="D289" s="9" t="s">
        <v>196</v>
      </c>
      <c r="E289" s="42" t="s">
        <v>48</v>
      </c>
      <c r="F289" s="97" t="s">
        <v>285</v>
      </c>
      <c r="G289" s="121">
        <f t="shared" si="19"/>
        <v>20000</v>
      </c>
      <c r="H289" s="95">
        <f>20000</f>
        <v>20000</v>
      </c>
      <c r="I289" s="33">
        <v>0</v>
      </c>
      <c r="J289" s="13">
        <f t="shared" si="14"/>
        <v>0</v>
      </c>
      <c r="K289" s="248"/>
      <c r="L289" s="248"/>
      <c r="M289" s="248"/>
      <c r="N289" s="259"/>
      <c r="O289" s="259"/>
      <c r="P289" s="128"/>
    </row>
    <row r="290" spans="1:16" s="15" customFormat="1" ht="69" customHeight="1">
      <c r="A290" s="68" t="s">
        <v>553</v>
      </c>
      <c r="B290" s="68">
        <v>7693</v>
      </c>
      <c r="C290" s="8" t="s">
        <v>382</v>
      </c>
      <c r="D290" s="9" t="s">
        <v>196</v>
      </c>
      <c r="E290" s="58" t="s">
        <v>51</v>
      </c>
      <c r="F290" s="6" t="s">
        <v>148</v>
      </c>
      <c r="G290" s="121">
        <f t="shared" si="19"/>
        <v>50000</v>
      </c>
      <c r="H290" s="95">
        <f>0+50000</f>
        <v>50000</v>
      </c>
      <c r="I290" s="33">
        <v>0</v>
      </c>
      <c r="J290" s="13">
        <f t="shared" si="14"/>
        <v>0</v>
      </c>
      <c r="K290" s="248"/>
      <c r="L290" s="248"/>
      <c r="M290" s="248"/>
      <c r="N290" s="259"/>
      <c r="O290" s="259"/>
      <c r="P290" s="128"/>
    </row>
    <row r="291" spans="1:16" s="15" customFormat="1" ht="87" customHeight="1" hidden="1">
      <c r="A291" s="68" t="s">
        <v>553</v>
      </c>
      <c r="B291" s="68">
        <v>7693</v>
      </c>
      <c r="C291" s="8" t="s">
        <v>382</v>
      </c>
      <c r="D291" s="9" t="s">
        <v>196</v>
      </c>
      <c r="E291" s="24" t="s">
        <v>632</v>
      </c>
      <c r="F291" s="61" t="s">
        <v>393</v>
      </c>
      <c r="G291" s="121">
        <f t="shared" si="19"/>
        <v>0</v>
      </c>
      <c r="H291" s="95">
        <f>49560-49560</f>
        <v>0</v>
      </c>
      <c r="I291" s="33">
        <v>0</v>
      </c>
      <c r="J291" s="13">
        <f t="shared" si="14"/>
        <v>0</v>
      </c>
      <c r="K291" s="248"/>
      <c r="L291" s="248"/>
      <c r="M291" s="248"/>
      <c r="N291" s="259"/>
      <c r="O291" s="259"/>
      <c r="P291" s="128"/>
    </row>
    <row r="292" spans="1:16" s="147" customFormat="1" ht="81.75" customHeight="1" hidden="1">
      <c r="A292" s="153" t="s">
        <v>352</v>
      </c>
      <c r="B292" s="68" t="s">
        <v>353</v>
      </c>
      <c r="C292" s="8" t="s">
        <v>354</v>
      </c>
      <c r="D292" s="126" t="s">
        <v>355</v>
      </c>
      <c r="E292" s="64" t="s">
        <v>555</v>
      </c>
      <c r="F292" s="65" t="s">
        <v>13</v>
      </c>
      <c r="G292" s="121">
        <f t="shared" si="19"/>
        <v>0</v>
      </c>
      <c r="H292" s="95"/>
      <c r="I292" s="33">
        <v>0</v>
      </c>
      <c r="J292" s="13">
        <f t="shared" si="14"/>
        <v>0</v>
      </c>
      <c r="K292" s="308"/>
      <c r="L292" s="308"/>
      <c r="M292" s="308"/>
      <c r="N292" s="259"/>
      <c r="O292" s="259"/>
      <c r="P292" s="309"/>
    </row>
    <row r="293" spans="1:16" s="147" customFormat="1" ht="84" customHeight="1" hidden="1">
      <c r="A293" s="153">
        <v>1518340</v>
      </c>
      <c r="B293" s="68">
        <v>8340</v>
      </c>
      <c r="C293" s="8" t="s">
        <v>416</v>
      </c>
      <c r="D293" s="9" t="s">
        <v>504</v>
      </c>
      <c r="E293" s="42" t="s">
        <v>8</v>
      </c>
      <c r="F293" s="42" t="s">
        <v>13</v>
      </c>
      <c r="G293" s="121">
        <f t="shared" si="19"/>
        <v>0</v>
      </c>
      <c r="H293" s="95">
        <v>0</v>
      </c>
      <c r="I293" s="33"/>
      <c r="J293" s="13">
        <f>I293</f>
        <v>0</v>
      </c>
      <c r="K293" s="308"/>
      <c r="L293" s="307"/>
      <c r="M293" s="308"/>
      <c r="N293" s="259"/>
      <c r="O293" s="259"/>
      <c r="P293" s="309"/>
    </row>
    <row r="294" spans="1:16" s="147" customFormat="1" ht="84" customHeight="1" hidden="1">
      <c r="A294" s="153">
        <v>1519750</v>
      </c>
      <c r="B294" s="68">
        <v>9750</v>
      </c>
      <c r="C294" s="8" t="s">
        <v>410</v>
      </c>
      <c r="D294" s="9" t="s">
        <v>114</v>
      </c>
      <c r="E294" s="24" t="s">
        <v>632</v>
      </c>
      <c r="F294" s="61" t="s">
        <v>393</v>
      </c>
      <c r="G294" s="121">
        <f>H294+I294</f>
        <v>0</v>
      </c>
      <c r="H294" s="95">
        <v>0</v>
      </c>
      <c r="I294" s="33">
        <f>0+3000000-3000000</f>
        <v>0</v>
      </c>
      <c r="J294" s="13">
        <f>I294</f>
        <v>0</v>
      </c>
      <c r="K294" s="308"/>
      <c r="L294" s="307"/>
      <c r="M294" s="308"/>
      <c r="N294" s="259"/>
      <c r="O294" s="259"/>
      <c r="P294" s="309"/>
    </row>
    <row r="295" spans="1:16" s="15" customFormat="1" ht="49.5" customHeight="1">
      <c r="A295" s="35">
        <v>1600000</v>
      </c>
      <c r="B295" s="34"/>
      <c r="C295" s="34"/>
      <c r="D295" s="377" t="s">
        <v>411</v>
      </c>
      <c r="E295" s="378"/>
      <c r="F295" s="36" t="s">
        <v>552</v>
      </c>
      <c r="G295" s="39">
        <f>G296</f>
        <v>1189900</v>
      </c>
      <c r="H295" s="39">
        <f>H296</f>
        <v>876200</v>
      </c>
      <c r="I295" s="39">
        <f>I296</f>
        <v>313700</v>
      </c>
      <c r="J295" s="39">
        <f>J296</f>
        <v>313700</v>
      </c>
      <c r="K295" s="248"/>
      <c r="L295" s="248"/>
      <c r="M295" s="248"/>
      <c r="N295" s="259"/>
      <c r="O295" s="259"/>
      <c r="P295" s="128"/>
    </row>
    <row r="296" spans="1:16" s="23" customFormat="1" ht="60.75" customHeight="1">
      <c r="A296" s="19">
        <v>1610000</v>
      </c>
      <c r="B296" s="18"/>
      <c r="C296" s="18"/>
      <c r="D296" s="369" t="s">
        <v>412</v>
      </c>
      <c r="E296" s="370"/>
      <c r="F296" s="20" t="s">
        <v>552</v>
      </c>
      <c r="G296" s="32">
        <f>H296+I296</f>
        <v>1189900</v>
      </c>
      <c r="H296" s="32">
        <f>H297+H298</f>
        <v>876200</v>
      </c>
      <c r="I296" s="32">
        <f>I297+I298</f>
        <v>313700</v>
      </c>
      <c r="J296" s="32">
        <f>J297+J298</f>
        <v>313700</v>
      </c>
      <c r="K296" s="247"/>
      <c r="L296" s="247"/>
      <c r="M296" s="247"/>
      <c r="N296" s="260"/>
      <c r="O296" s="260"/>
      <c r="P296" s="125"/>
    </row>
    <row r="297" spans="1:16" s="15" customFormat="1" ht="102" customHeight="1">
      <c r="A297" s="25" t="s">
        <v>161</v>
      </c>
      <c r="B297" s="25" t="s">
        <v>410</v>
      </c>
      <c r="C297" s="25" t="s">
        <v>366</v>
      </c>
      <c r="D297" s="9" t="s">
        <v>50</v>
      </c>
      <c r="E297" s="24" t="s">
        <v>644</v>
      </c>
      <c r="F297" s="24" t="s">
        <v>592</v>
      </c>
      <c r="G297" s="11">
        <f>SUM(H297+I297)</f>
        <v>189900</v>
      </c>
      <c r="H297" s="17">
        <f>219900+20000-50000</f>
        <v>189900</v>
      </c>
      <c r="I297" s="13">
        <v>0</v>
      </c>
      <c r="J297" s="13">
        <v>0</v>
      </c>
      <c r="K297" s="248"/>
      <c r="L297" s="248"/>
      <c r="M297" s="248"/>
      <c r="N297" s="259"/>
      <c r="O297" s="259"/>
      <c r="P297" s="128"/>
    </row>
    <row r="298" spans="1:16" s="15" customFormat="1" ht="149.25" customHeight="1">
      <c r="A298" s="25" t="s">
        <v>14</v>
      </c>
      <c r="B298" s="25" t="s">
        <v>357</v>
      </c>
      <c r="C298" s="25" t="s">
        <v>358</v>
      </c>
      <c r="D298" s="9" t="s">
        <v>359</v>
      </c>
      <c r="E298" s="24" t="s">
        <v>645</v>
      </c>
      <c r="F298" s="65" t="s">
        <v>655</v>
      </c>
      <c r="G298" s="11">
        <f>SUM(H298+I298)</f>
        <v>1000000</v>
      </c>
      <c r="H298" s="17">
        <v>686300</v>
      </c>
      <c r="I298" s="13">
        <v>313700</v>
      </c>
      <c r="J298" s="13">
        <f>I298</f>
        <v>313700</v>
      </c>
      <c r="K298" s="248"/>
      <c r="L298" s="248"/>
      <c r="M298" s="248"/>
      <c r="N298" s="259"/>
      <c r="O298" s="259"/>
      <c r="P298" s="128"/>
    </row>
    <row r="299" spans="1:16" s="38" customFormat="1" ht="60.75" customHeight="1">
      <c r="A299" s="34" t="s">
        <v>162</v>
      </c>
      <c r="B299" s="35"/>
      <c r="C299" s="35"/>
      <c r="D299" s="386" t="s">
        <v>163</v>
      </c>
      <c r="E299" s="387"/>
      <c r="F299" s="36" t="s">
        <v>552</v>
      </c>
      <c r="G299" s="37">
        <f>G300</f>
        <v>114000</v>
      </c>
      <c r="H299" s="37">
        <f>H300</f>
        <v>114000</v>
      </c>
      <c r="I299" s="37">
        <f>I300</f>
        <v>0</v>
      </c>
      <c r="J299" s="37">
        <f>J300</f>
        <v>0</v>
      </c>
      <c r="K299" s="248"/>
      <c r="L299" s="248"/>
      <c r="M299" s="248"/>
      <c r="N299" s="259"/>
      <c r="O299" s="259"/>
      <c r="P299" s="248"/>
    </row>
    <row r="300" spans="1:16" s="38" customFormat="1" ht="61.5" customHeight="1">
      <c r="A300" s="18" t="s">
        <v>164</v>
      </c>
      <c r="B300" s="19"/>
      <c r="C300" s="19"/>
      <c r="D300" s="379" t="s">
        <v>660</v>
      </c>
      <c r="E300" s="380"/>
      <c r="F300" s="20" t="s">
        <v>552</v>
      </c>
      <c r="G300" s="21">
        <f>H300+I300</f>
        <v>114000</v>
      </c>
      <c r="H300" s="21">
        <f>H301</f>
        <v>114000</v>
      </c>
      <c r="I300" s="21">
        <f>I301</f>
        <v>0</v>
      </c>
      <c r="J300" s="21">
        <f>J301</f>
        <v>0</v>
      </c>
      <c r="K300" s="247"/>
      <c r="L300" s="247"/>
      <c r="M300" s="247"/>
      <c r="N300" s="260"/>
      <c r="O300" s="260"/>
      <c r="P300" s="248"/>
    </row>
    <row r="301" spans="1:16" s="38" customFormat="1" ht="90.75">
      <c r="A301" s="8" t="s">
        <v>165</v>
      </c>
      <c r="B301" s="8" t="s">
        <v>410</v>
      </c>
      <c r="C301" s="8" t="s">
        <v>366</v>
      </c>
      <c r="D301" s="9" t="s">
        <v>50</v>
      </c>
      <c r="E301" s="24" t="s">
        <v>644</v>
      </c>
      <c r="F301" s="24" t="s">
        <v>592</v>
      </c>
      <c r="G301" s="11">
        <f>SUM(H301+I301)</f>
        <v>114000</v>
      </c>
      <c r="H301" s="17">
        <v>114000</v>
      </c>
      <c r="I301" s="12">
        <v>0</v>
      </c>
      <c r="J301" s="13">
        <v>0</v>
      </c>
      <c r="K301" s="248"/>
      <c r="L301" s="248"/>
      <c r="M301" s="248"/>
      <c r="N301" s="259"/>
      <c r="O301" s="259"/>
      <c r="P301" s="248"/>
    </row>
    <row r="302" spans="1:16" s="15" customFormat="1" ht="88.5" customHeight="1">
      <c r="A302" s="35" t="s">
        <v>497</v>
      </c>
      <c r="B302" s="34"/>
      <c r="C302" s="34"/>
      <c r="D302" s="377" t="s">
        <v>249</v>
      </c>
      <c r="E302" s="378"/>
      <c r="F302" s="36" t="s">
        <v>552</v>
      </c>
      <c r="G302" s="39">
        <f>G303</f>
        <v>126130840.34</v>
      </c>
      <c r="H302" s="39">
        <f>H303</f>
        <v>79357736</v>
      </c>
      <c r="I302" s="39">
        <f>I303</f>
        <v>46773104.34</v>
      </c>
      <c r="J302" s="39">
        <f>J303</f>
        <v>46767604.34</v>
      </c>
      <c r="K302" s="248"/>
      <c r="L302" s="248"/>
      <c r="M302" s="248"/>
      <c r="N302" s="259"/>
      <c r="O302" s="259"/>
      <c r="P302" s="128"/>
    </row>
    <row r="303" spans="1:16" s="15" customFormat="1" ht="63.75" customHeight="1">
      <c r="A303" s="19" t="s">
        <v>498</v>
      </c>
      <c r="B303" s="18"/>
      <c r="C303" s="18"/>
      <c r="D303" s="369" t="s">
        <v>417</v>
      </c>
      <c r="E303" s="370"/>
      <c r="F303" s="20" t="s">
        <v>552</v>
      </c>
      <c r="G303" s="32">
        <f>H303+I303</f>
        <v>126130840.34</v>
      </c>
      <c r="H303" s="32">
        <f>SUM(H304+H305+H308+H309+H310+H306)</f>
        <v>79357736</v>
      </c>
      <c r="I303" s="32">
        <f>SUM(I304+I305+I308+I309+I310+I306)</f>
        <v>46773104.34</v>
      </c>
      <c r="J303" s="32">
        <f>SUM(J304+J305+J308+J309+J310+J306)</f>
        <v>46767604.34</v>
      </c>
      <c r="K303" s="247"/>
      <c r="L303" s="247"/>
      <c r="M303" s="247"/>
      <c r="N303" s="260"/>
      <c r="O303" s="260"/>
      <c r="P303" s="128"/>
    </row>
    <row r="304" spans="1:16" s="15" customFormat="1" ht="90.75">
      <c r="A304" s="25" t="s">
        <v>166</v>
      </c>
      <c r="B304" s="25" t="s">
        <v>410</v>
      </c>
      <c r="C304" s="25" t="s">
        <v>366</v>
      </c>
      <c r="D304" s="9" t="s">
        <v>50</v>
      </c>
      <c r="E304" s="24" t="s">
        <v>644</v>
      </c>
      <c r="F304" s="24" t="s">
        <v>592</v>
      </c>
      <c r="G304" s="11">
        <f>SUM(H304+I304)</f>
        <v>347740</v>
      </c>
      <c r="H304" s="17">
        <f>442200-268300+55840+49000+49000+20000</f>
        <v>347740</v>
      </c>
      <c r="I304" s="13">
        <v>0</v>
      </c>
      <c r="J304" s="13">
        <v>0</v>
      </c>
      <c r="K304" s="247"/>
      <c r="L304" s="248"/>
      <c r="M304" s="248"/>
      <c r="N304" s="259"/>
      <c r="O304" s="259"/>
      <c r="P304" s="128"/>
    </row>
    <row r="305" spans="1:16" s="15" customFormat="1" ht="90.75" customHeight="1">
      <c r="A305" s="7">
        <v>1917413</v>
      </c>
      <c r="B305" s="7">
        <v>7413</v>
      </c>
      <c r="C305" s="7" t="s">
        <v>419</v>
      </c>
      <c r="D305" s="9" t="s">
        <v>197</v>
      </c>
      <c r="E305" s="42" t="s">
        <v>226</v>
      </c>
      <c r="F305" s="42" t="s">
        <v>57</v>
      </c>
      <c r="G305" s="11">
        <f>SUM(H305+I305)</f>
        <v>7480</v>
      </c>
      <c r="H305" s="41">
        <f>107300-103815-3485+1980</f>
        <v>1980</v>
      </c>
      <c r="I305" s="12">
        <f>5500</f>
        <v>5500</v>
      </c>
      <c r="J305" s="12">
        <v>0</v>
      </c>
      <c r="K305" s="284"/>
      <c r="L305" s="247"/>
      <c r="M305" s="248"/>
      <c r="N305" s="259"/>
      <c r="O305" s="259"/>
      <c r="P305" s="128"/>
    </row>
    <row r="306" spans="1:16" s="15" customFormat="1" ht="90.75" customHeight="1">
      <c r="A306" s="7">
        <v>1917413</v>
      </c>
      <c r="B306" s="7">
        <v>7413</v>
      </c>
      <c r="C306" s="7" t="s">
        <v>419</v>
      </c>
      <c r="D306" s="9" t="s">
        <v>197</v>
      </c>
      <c r="E306" s="24" t="s">
        <v>632</v>
      </c>
      <c r="F306" s="61" t="s">
        <v>393</v>
      </c>
      <c r="G306" s="11">
        <f>SUM(H306+I306)</f>
        <v>29885462.34</v>
      </c>
      <c r="H306" s="41">
        <v>0</v>
      </c>
      <c r="I306" s="12">
        <f>25720000+4165462.34</f>
        <v>29885462.34</v>
      </c>
      <c r="J306" s="12">
        <f>25720000+4165462.34</f>
        <v>29885462.34</v>
      </c>
      <c r="K306" s="248"/>
      <c r="L306" s="248"/>
      <c r="M306" s="248"/>
      <c r="N306" s="259"/>
      <c r="O306" s="259"/>
      <c r="P306" s="128"/>
    </row>
    <row r="307" spans="1:16" s="152" customFormat="1" ht="95.25" customHeight="1">
      <c r="A307" s="100"/>
      <c r="B307" s="101"/>
      <c r="C307" s="101"/>
      <c r="D307" s="78" t="s">
        <v>573</v>
      </c>
      <c r="E307" s="102"/>
      <c r="F307" s="102"/>
      <c r="G307" s="103">
        <f>H307+I307</f>
        <v>29885462.34</v>
      </c>
      <c r="H307" s="104">
        <v>0</v>
      </c>
      <c r="I307" s="79">
        <f>25720000+4165462.34</f>
        <v>29885462.34</v>
      </c>
      <c r="J307" s="79">
        <f>25720000+4165462.34</f>
        <v>29885462.34</v>
      </c>
      <c r="K307" s="275"/>
      <c r="L307" s="276"/>
      <c r="M307" s="276"/>
      <c r="N307" s="277"/>
      <c r="O307" s="277"/>
      <c r="P307" s="276"/>
    </row>
    <row r="308" spans="1:16" s="15" customFormat="1" ht="80.25" customHeight="1">
      <c r="A308" s="7" t="s">
        <v>206</v>
      </c>
      <c r="B308" s="7" t="s">
        <v>207</v>
      </c>
      <c r="C308" s="7" t="s">
        <v>38</v>
      </c>
      <c r="D308" s="9" t="s">
        <v>418</v>
      </c>
      <c r="E308" s="42" t="s">
        <v>231</v>
      </c>
      <c r="F308" s="42" t="s">
        <v>149</v>
      </c>
      <c r="G308" s="11">
        <f>SUM(H308+I308)</f>
        <v>79008016</v>
      </c>
      <c r="H308" s="41">
        <f>76393200-551324+2538972+627168</f>
        <v>79008016</v>
      </c>
      <c r="I308" s="12">
        <v>0</v>
      </c>
      <c r="J308" s="13">
        <f>I308</f>
        <v>0</v>
      </c>
      <c r="K308" s="248"/>
      <c r="L308" s="248"/>
      <c r="M308" s="248"/>
      <c r="N308" s="259"/>
      <c r="O308" s="259"/>
      <c r="P308" s="128"/>
    </row>
    <row r="309" spans="1:16" s="15" customFormat="1" ht="119.25" customHeight="1" hidden="1">
      <c r="A309" s="154">
        <v>1917670</v>
      </c>
      <c r="B309" s="154">
        <v>7670</v>
      </c>
      <c r="C309" s="154" t="s">
        <v>382</v>
      </c>
      <c r="D309" s="155" t="s">
        <v>437</v>
      </c>
      <c r="E309" s="156" t="s">
        <v>563</v>
      </c>
      <c r="F309" s="156" t="s">
        <v>56</v>
      </c>
      <c r="G309" s="157">
        <f>SUM(H309+I309)</f>
        <v>0</v>
      </c>
      <c r="H309" s="41"/>
      <c r="I309" s="12"/>
      <c r="J309" s="13">
        <f>I309</f>
        <v>0</v>
      </c>
      <c r="K309" s="247"/>
      <c r="L309" s="248"/>
      <c r="M309" s="248"/>
      <c r="N309" s="259"/>
      <c r="O309" s="259"/>
      <c r="P309" s="305"/>
    </row>
    <row r="310" spans="1:16" s="15" customFormat="1" ht="81.75" customHeight="1">
      <c r="A310" s="7">
        <v>1917670</v>
      </c>
      <c r="B310" s="7">
        <v>7670</v>
      </c>
      <c r="C310" s="7" t="s">
        <v>382</v>
      </c>
      <c r="D310" s="9" t="s">
        <v>437</v>
      </c>
      <c r="E310" s="42" t="s">
        <v>231</v>
      </c>
      <c r="F310" s="42" t="s">
        <v>150</v>
      </c>
      <c r="G310" s="117">
        <f>SUM(H310+I310)</f>
        <v>16882142</v>
      </c>
      <c r="H310" s="41">
        <v>0</v>
      </c>
      <c r="I310" s="12">
        <f>21000000-8000000+796958+551324+2533860</f>
        <v>16882142</v>
      </c>
      <c r="J310" s="12">
        <f>I310</f>
        <v>16882142</v>
      </c>
      <c r="K310" s="248"/>
      <c r="L310" s="266"/>
      <c r="M310" s="248"/>
      <c r="N310" s="259"/>
      <c r="O310" s="259"/>
      <c r="P310" s="305"/>
    </row>
    <row r="311" spans="1:16" s="15" customFormat="1" ht="58.5" customHeight="1">
      <c r="A311" s="35">
        <v>2700000</v>
      </c>
      <c r="B311" s="34"/>
      <c r="C311" s="34"/>
      <c r="D311" s="377" t="s">
        <v>167</v>
      </c>
      <c r="E311" s="378"/>
      <c r="F311" s="36" t="s">
        <v>552</v>
      </c>
      <c r="G311" s="39">
        <f>G312</f>
        <v>912032.46</v>
      </c>
      <c r="H311" s="39">
        <f>H312</f>
        <v>912032.46</v>
      </c>
      <c r="I311" s="39">
        <f>I312</f>
        <v>0</v>
      </c>
      <c r="J311" s="39">
        <f>J312</f>
        <v>0</v>
      </c>
      <c r="K311" s="247"/>
      <c r="L311" s="248"/>
      <c r="M311" s="248"/>
      <c r="N311" s="259"/>
      <c r="O311" s="259"/>
      <c r="P311" s="128"/>
    </row>
    <row r="312" spans="1:16" s="15" customFormat="1" ht="48" customHeight="1">
      <c r="A312" s="19">
        <v>2710000</v>
      </c>
      <c r="B312" s="18"/>
      <c r="C312" s="18"/>
      <c r="D312" s="369" t="s">
        <v>336</v>
      </c>
      <c r="E312" s="370"/>
      <c r="F312" s="20" t="s">
        <v>552</v>
      </c>
      <c r="G312" s="32">
        <f>H312+I312</f>
        <v>912032.46</v>
      </c>
      <c r="H312" s="32">
        <f>SUM(H313+H314+H315+H316)</f>
        <v>912032.46</v>
      </c>
      <c r="I312" s="32">
        <f>SUM(I313+I314+I315+I316)</f>
        <v>0</v>
      </c>
      <c r="J312" s="32">
        <f>SUM(J313+J314+J315+J316)</f>
        <v>0</v>
      </c>
      <c r="K312" s="247"/>
      <c r="L312" s="247"/>
      <c r="M312" s="247"/>
      <c r="N312" s="260"/>
      <c r="O312" s="260"/>
      <c r="P312" s="128"/>
    </row>
    <row r="313" spans="1:16" s="15" customFormat="1" ht="90.75">
      <c r="A313" s="25" t="s">
        <v>168</v>
      </c>
      <c r="B313" s="25" t="s">
        <v>410</v>
      </c>
      <c r="C313" s="25" t="s">
        <v>366</v>
      </c>
      <c r="D313" s="9" t="s">
        <v>50</v>
      </c>
      <c r="E313" s="24" t="s">
        <v>535</v>
      </c>
      <c r="F313" s="24" t="s">
        <v>592</v>
      </c>
      <c r="G313" s="11">
        <f>SUM(H313+I313)</f>
        <v>433739</v>
      </c>
      <c r="H313" s="17">
        <f>520900-261800+51649+49000+49000+24990</f>
        <v>433739</v>
      </c>
      <c r="I313" s="13">
        <v>0</v>
      </c>
      <c r="J313" s="13">
        <v>0</v>
      </c>
      <c r="K313" s="248"/>
      <c r="L313" s="248"/>
      <c r="M313" s="248"/>
      <c r="N313" s="259"/>
      <c r="O313" s="259"/>
      <c r="P313" s="128"/>
    </row>
    <row r="314" spans="1:16" s="15" customFormat="1" ht="102.75" customHeight="1" hidden="1">
      <c r="A314" s="7" t="s">
        <v>208</v>
      </c>
      <c r="B314" s="7" t="s">
        <v>209</v>
      </c>
      <c r="C314" s="8" t="s">
        <v>421</v>
      </c>
      <c r="D314" s="158" t="s">
        <v>194</v>
      </c>
      <c r="E314" s="42" t="s">
        <v>564</v>
      </c>
      <c r="F314" s="42" t="s">
        <v>583</v>
      </c>
      <c r="G314" s="11">
        <f>SUM(H314+I314)</f>
        <v>0</v>
      </c>
      <c r="H314" s="41"/>
      <c r="I314" s="12"/>
      <c r="J314" s="12">
        <f>I314</f>
        <v>0</v>
      </c>
      <c r="K314" s="248"/>
      <c r="L314" s="248"/>
      <c r="M314" s="248"/>
      <c r="N314" s="259"/>
      <c r="O314" s="259"/>
      <c r="P314" s="128"/>
    </row>
    <row r="315" spans="1:16" s="15" customFormat="1" ht="97.5" customHeight="1">
      <c r="A315" s="7" t="s">
        <v>210</v>
      </c>
      <c r="B315" s="7" t="s">
        <v>211</v>
      </c>
      <c r="C315" s="7" t="s">
        <v>421</v>
      </c>
      <c r="D315" s="9" t="s">
        <v>438</v>
      </c>
      <c r="E315" s="42" t="s">
        <v>635</v>
      </c>
      <c r="F315" s="65" t="s">
        <v>19</v>
      </c>
      <c r="G315" s="11">
        <f>SUM(H315+I315)</f>
        <v>94000</v>
      </c>
      <c r="H315" s="41">
        <f>118030-10000-14030</f>
        <v>94000</v>
      </c>
      <c r="I315" s="12">
        <v>0</v>
      </c>
      <c r="J315" s="12">
        <f>I315</f>
        <v>0</v>
      </c>
      <c r="K315" s="248"/>
      <c r="L315" s="248"/>
      <c r="M315" s="248"/>
      <c r="N315" s="259"/>
      <c r="O315" s="259"/>
      <c r="P315" s="128"/>
    </row>
    <row r="316" spans="1:16" s="38" customFormat="1" ht="93" customHeight="1">
      <c r="A316" s="30">
        <v>2717693</v>
      </c>
      <c r="B316" s="25" t="s">
        <v>195</v>
      </c>
      <c r="C316" s="25" t="s">
        <v>382</v>
      </c>
      <c r="D316" s="158" t="s">
        <v>196</v>
      </c>
      <c r="E316" s="65" t="s">
        <v>639</v>
      </c>
      <c r="F316" s="42" t="s">
        <v>3</v>
      </c>
      <c r="G316" s="11">
        <f>SUM(H316+I316)</f>
        <v>384293.45999999996</v>
      </c>
      <c r="H316" s="41">
        <f>5000000-1814027.54-2621994-179685</f>
        <v>384293.45999999996</v>
      </c>
      <c r="I316" s="12">
        <v>0</v>
      </c>
      <c r="J316" s="12">
        <f>I316</f>
        <v>0</v>
      </c>
      <c r="K316" s="248"/>
      <c r="L316" s="248"/>
      <c r="M316" s="248"/>
      <c r="N316" s="259"/>
      <c r="O316" s="259"/>
      <c r="P316" s="248"/>
    </row>
    <row r="317" spans="1:16" s="38" customFormat="1" ht="70.5" customHeight="1">
      <c r="A317" s="35" t="s">
        <v>495</v>
      </c>
      <c r="B317" s="34"/>
      <c r="C317" s="34"/>
      <c r="D317" s="377" t="s">
        <v>414</v>
      </c>
      <c r="E317" s="378"/>
      <c r="F317" s="36" t="s">
        <v>552</v>
      </c>
      <c r="G317" s="39">
        <f>G318</f>
        <v>11229039.18</v>
      </c>
      <c r="H317" s="39">
        <f>H318</f>
        <v>927570</v>
      </c>
      <c r="I317" s="39">
        <f>I318</f>
        <v>10301469.18</v>
      </c>
      <c r="J317" s="39">
        <f>J318</f>
        <v>1271450</v>
      </c>
      <c r="K317" s="248"/>
      <c r="L317" s="248"/>
      <c r="M317" s="248"/>
      <c r="N317" s="259"/>
      <c r="O317" s="259"/>
      <c r="P317" s="248"/>
    </row>
    <row r="318" spans="1:16" s="38" customFormat="1" ht="63" customHeight="1">
      <c r="A318" s="19" t="s">
        <v>496</v>
      </c>
      <c r="B318" s="18"/>
      <c r="C318" s="18"/>
      <c r="D318" s="379" t="s">
        <v>559</v>
      </c>
      <c r="E318" s="380"/>
      <c r="F318" s="20" t="s">
        <v>552</v>
      </c>
      <c r="G318" s="32">
        <f>H318+I318</f>
        <v>11229039.18</v>
      </c>
      <c r="H318" s="32">
        <f>SUM(H319+H320+H321+H322)</f>
        <v>927570</v>
      </c>
      <c r="I318" s="32">
        <f>SUM(I319+I320+I321+I322)</f>
        <v>10301469.18</v>
      </c>
      <c r="J318" s="32">
        <f>SUM(J319+J320+J321+J322)</f>
        <v>1271450</v>
      </c>
      <c r="K318" s="247"/>
      <c r="L318" s="247"/>
      <c r="M318" s="247"/>
      <c r="N318" s="260"/>
      <c r="O318" s="260"/>
      <c r="P318" s="248"/>
    </row>
    <row r="319" spans="1:16" s="38" customFormat="1" ht="98.25" customHeight="1">
      <c r="A319" s="25" t="s">
        <v>169</v>
      </c>
      <c r="B319" s="25" t="s">
        <v>410</v>
      </c>
      <c r="C319" s="25" t="s">
        <v>366</v>
      </c>
      <c r="D319" s="9" t="s">
        <v>50</v>
      </c>
      <c r="E319" s="24" t="s">
        <v>220</v>
      </c>
      <c r="F319" s="24" t="s">
        <v>592</v>
      </c>
      <c r="G319" s="11">
        <f>SUM(H319+I319)</f>
        <v>297580</v>
      </c>
      <c r="H319" s="17">
        <f>391800-217800+51420+49000+49000-40840+15000</f>
        <v>297580</v>
      </c>
      <c r="I319" s="13">
        <v>0</v>
      </c>
      <c r="J319" s="13">
        <v>0</v>
      </c>
      <c r="K319" s="248"/>
      <c r="L319" s="248"/>
      <c r="M319" s="248"/>
      <c r="N319" s="259"/>
      <c r="O319" s="259"/>
      <c r="P319" s="248"/>
    </row>
    <row r="320" spans="1:16" s="38" customFormat="1" ht="101.25" customHeight="1">
      <c r="A320" s="25" t="s">
        <v>159</v>
      </c>
      <c r="B320" s="25" t="s">
        <v>158</v>
      </c>
      <c r="C320" s="7" t="s">
        <v>382</v>
      </c>
      <c r="D320" s="9" t="s">
        <v>437</v>
      </c>
      <c r="E320" s="97" t="s">
        <v>225</v>
      </c>
      <c r="F320" s="65" t="s">
        <v>247</v>
      </c>
      <c r="G320" s="11">
        <f>SUM(H320+I320)</f>
        <v>1271450</v>
      </c>
      <c r="H320" s="17">
        <v>0</v>
      </c>
      <c r="I320" s="13">
        <f>85000+1000000+186450</f>
        <v>1271450</v>
      </c>
      <c r="J320" s="12">
        <f>I320</f>
        <v>1271450</v>
      </c>
      <c r="K320" s="248"/>
      <c r="L320" s="248"/>
      <c r="M320" s="248"/>
      <c r="N320" s="259"/>
      <c r="O320" s="259"/>
      <c r="P320" s="248"/>
    </row>
    <row r="321" spans="1:16" s="38" customFormat="1" ht="101.25" customHeight="1">
      <c r="A321" s="7">
        <v>2818330</v>
      </c>
      <c r="B321" s="7">
        <v>8330</v>
      </c>
      <c r="C321" s="7" t="s">
        <v>416</v>
      </c>
      <c r="D321" s="63" t="s">
        <v>345</v>
      </c>
      <c r="E321" s="65" t="s">
        <v>394</v>
      </c>
      <c r="F321" s="65" t="s">
        <v>3</v>
      </c>
      <c r="G321" s="117">
        <f>SUM(H321+I321)</f>
        <v>629990</v>
      </c>
      <c r="H321" s="120">
        <f>134990+495000</f>
        <v>629990</v>
      </c>
      <c r="I321" s="57">
        <v>0</v>
      </c>
      <c r="J321" s="57">
        <f>I321</f>
        <v>0</v>
      </c>
      <c r="K321" s="248"/>
      <c r="L321" s="248"/>
      <c r="M321" s="248"/>
      <c r="N321" s="259"/>
      <c r="O321" s="259"/>
      <c r="P321" s="248"/>
    </row>
    <row r="322" spans="1:16" s="38" customFormat="1" ht="70.5" customHeight="1">
      <c r="A322" s="7">
        <v>2818340</v>
      </c>
      <c r="B322" s="7">
        <v>8340</v>
      </c>
      <c r="C322" s="7" t="s">
        <v>416</v>
      </c>
      <c r="D322" s="63" t="s">
        <v>504</v>
      </c>
      <c r="E322" s="65" t="s">
        <v>8</v>
      </c>
      <c r="F322" s="65" t="s">
        <v>287</v>
      </c>
      <c r="G322" s="117">
        <f>SUM(H322+I322)</f>
        <v>9030019.18</v>
      </c>
      <c r="H322" s="120">
        <v>0</v>
      </c>
      <c r="I322" s="120">
        <f>8450000+580019.18-600000+600000-600000+600000</f>
        <v>9030019.18</v>
      </c>
      <c r="J322" s="57">
        <v>0</v>
      </c>
      <c r="K322" s="304"/>
      <c r="L322" s="248"/>
      <c r="M322" s="248"/>
      <c r="N322" s="259"/>
      <c r="O322" s="259"/>
      <c r="P322" s="248"/>
    </row>
    <row r="323" spans="1:16" s="38" customFormat="1" ht="72" customHeight="1">
      <c r="A323" s="35" t="s">
        <v>170</v>
      </c>
      <c r="B323" s="34"/>
      <c r="C323" s="34"/>
      <c r="D323" s="377" t="s">
        <v>250</v>
      </c>
      <c r="E323" s="378"/>
      <c r="F323" s="36" t="s">
        <v>552</v>
      </c>
      <c r="G323" s="39">
        <f>G324</f>
        <v>685700</v>
      </c>
      <c r="H323" s="39">
        <f>H324</f>
        <v>185700</v>
      </c>
      <c r="I323" s="39">
        <f>I324</f>
        <v>500000</v>
      </c>
      <c r="J323" s="39">
        <f>J324</f>
        <v>500000</v>
      </c>
      <c r="K323" s="248"/>
      <c r="L323" s="248"/>
      <c r="M323" s="248"/>
      <c r="N323" s="259"/>
      <c r="O323" s="259"/>
      <c r="P323" s="248"/>
    </row>
    <row r="324" spans="1:16" s="38" customFormat="1" ht="63" customHeight="1">
      <c r="A324" s="19">
        <v>2910000</v>
      </c>
      <c r="B324" s="18"/>
      <c r="C324" s="18"/>
      <c r="D324" s="369" t="s">
        <v>420</v>
      </c>
      <c r="E324" s="370"/>
      <c r="F324" s="20" t="s">
        <v>552</v>
      </c>
      <c r="G324" s="32">
        <f>H324+I324</f>
        <v>685700</v>
      </c>
      <c r="H324" s="32">
        <f>SUM(H325+H326+H327+H328)</f>
        <v>185700</v>
      </c>
      <c r="I324" s="32">
        <f>SUM(I325+I326+I327+I328)</f>
        <v>500000</v>
      </c>
      <c r="J324" s="32">
        <f>SUM(J325+J326+J327+J328)</f>
        <v>500000</v>
      </c>
      <c r="K324" s="247"/>
      <c r="L324" s="247"/>
      <c r="M324" s="247"/>
      <c r="N324" s="260"/>
      <c r="O324" s="260"/>
      <c r="P324" s="246"/>
    </row>
    <row r="325" spans="1:16" s="38" customFormat="1" ht="99.75" customHeight="1">
      <c r="A325" s="25" t="s">
        <v>171</v>
      </c>
      <c r="B325" s="25" t="s">
        <v>410</v>
      </c>
      <c r="C325" s="25" t="s">
        <v>366</v>
      </c>
      <c r="D325" s="9" t="s">
        <v>50</v>
      </c>
      <c r="E325" s="24" t="s">
        <v>535</v>
      </c>
      <c r="F325" s="24" t="s">
        <v>592</v>
      </c>
      <c r="G325" s="11">
        <f>SUM(H325+I325)</f>
        <v>185700</v>
      </c>
      <c r="H325" s="17">
        <f>338200-212500+49000+49000+49000-98000+11000</f>
        <v>185700</v>
      </c>
      <c r="I325" s="13">
        <v>0</v>
      </c>
      <c r="J325" s="13">
        <v>0</v>
      </c>
      <c r="K325" s="247"/>
      <c r="L325" s="248"/>
      <c r="M325" s="248"/>
      <c r="N325" s="259"/>
      <c r="O325" s="259"/>
      <c r="P325" s="248"/>
    </row>
    <row r="326" spans="1:16" s="38" customFormat="1" ht="120" customHeight="1" hidden="1">
      <c r="A326" s="25" t="s">
        <v>255</v>
      </c>
      <c r="B326" s="7">
        <v>7130</v>
      </c>
      <c r="C326" s="7" t="s">
        <v>406</v>
      </c>
      <c r="D326" s="9" t="s">
        <v>500</v>
      </c>
      <c r="E326" s="85" t="s">
        <v>15</v>
      </c>
      <c r="F326" s="24" t="s">
        <v>46</v>
      </c>
      <c r="G326" s="11">
        <f>SUM(H326+I326)</f>
        <v>0</v>
      </c>
      <c r="H326" s="17"/>
      <c r="I326" s="13">
        <v>0</v>
      </c>
      <c r="J326" s="13">
        <v>0</v>
      </c>
      <c r="K326" s="247"/>
      <c r="L326" s="248"/>
      <c r="M326" s="248"/>
      <c r="N326" s="259"/>
      <c r="O326" s="259"/>
      <c r="P326" s="248"/>
    </row>
    <row r="327" spans="1:16" s="38" customFormat="1" ht="100.5" customHeight="1">
      <c r="A327" s="25" t="s">
        <v>10</v>
      </c>
      <c r="B327" s="8" t="s">
        <v>11</v>
      </c>
      <c r="C327" s="7" t="s">
        <v>413</v>
      </c>
      <c r="D327" s="9" t="s">
        <v>37</v>
      </c>
      <c r="E327" s="97" t="s">
        <v>44</v>
      </c>
      <c r="F327" s="24" t="s">
        <v>634</v>
      </c>
      <c r="G327" s="11">
        <f>SUM(H327+I327)</f>
        <v>500000</v>
      </c>
      <c r="H327" s="17">
        <v>0</v>
      </c>
      <c r="I327" s="13">
        <v>500000</v>
      </c>
      <c r="J327" s="13">
        <f>I327</f>
        <v>500000</v>
      </c>
      <c r="K327" s="247"/>
      <c r="L327" s="248"/>
      <c r="M327" s="248"/>
      <c r="N327" s="259"/>
      <c r="O327" s="259"/>
      <c r="P327" s="248"/>
    </row>
    <row r="328" spans="1:16" s="38" customFormat="1" ht="63.75" customHeight="1" hidden="1">
      <c r="A328" s="7" t="s">
        <v>180</v>
      </c>
      <c r="B328" s="7">
        <v>9770</v>
      </c>
      <c r="C328" s="7" t="s">
        <v>410</v>
      </c>
      <c r="D328" s="84" t="s">
        <v>181</v>
      </c>
      <c r="E328" s="393" t="s">
        <v>108</v>
      </c>
      <c r="F328" s="393" t="s">
        <v>2</v>
      </c>
      <c r="G328" s="11">
        <f>SUM(H328+I328)</f>
        <v>0</v>
      </c>
      <c r="H328" s="41"/>
      <c r="I328" s="12"/>
      <c r="J328" s="12">
        <f>I328</f>
        <v>0</v>
      </c>
      <c r="K328" s="248"/>
      <c r="L328" s="248"/>
      <c r="M328" s="248"/>
      <c r="N328" s="259"/>
      <c r="O328" s="259"/>
      <c r="P328" s="248"/>
    </row>
    <row r="329" spans="1:16" s="105" customFormat="1" ht="114.75" customHeight="1" hidden="1">
      <c r="A329" s="141"/>
      <c r="B329" s="141"/>
      <c r="C329" s="142"/>
      <c r="D329" s="72" t="s">
        <v>111</v>
      </c>
      <c r="E329" s="393"/>
      <c r="F329" s="393"/>
      <c r="G329" s="103">
        <f>H329+I329</f>
        <v>0</v>
      </c>
      <c r="H329" s="79"/>
      <c r="I329" s="74"/>
      <c r="J329" s="12">
        <f>I329</f>
        <v>0</v>
      </c>
      <c r="K329" s="271"/>
      <c r="L329" s="272"/>
      <c r="M329" s="272"/>
      <c r="N329" s="259"/>
      <c r="O329" s="259"/>
      <c r="P329" s="272"/>
    </row>
    <row r="330" spans="1:16" s="38" customFormat="1" ht="50.25" customHeight="1">
      <c r="A330" s="35" t="s">
        <v>400</v>
      </c>
      <c r="B330" s="34"/>
      <c r="C330" s="34"/>
      <c r="D330" s="377" t="s">
        <v>499</v>
      </c>
      <c r="E330" s="378"/>
      <c r="F330" s="36" t="s">
        <v>552</v>
      </c>
      <c r="G330" s="39">
        <f>G331</f>
        <v>1262400</v>
      </c>
      <c r="H330" s="39">
        <f>H331</f>
        <v>163700</v>
      </c>
      <c r="I330" s="39">
        <f>I331</f>
        <v>1098700</v>
      </c>
      <c r="J330" s="39">
        <f>J331</f>
        <v>1098700</v>
      </c>
      <c r="K330" s="248"/>
      <c r="L330" s="248"/>
      <c r="M330" s="248"/>
      <c r="N330" s="259"/>
      <c r="O330" s="259"/>
      <c r="P330" s="248"/>
    </row>
    <row r="331" spans="1:16" s="38" customFormat="1" ht="67.5" customHeight="1">
      <c r="A331" s="19" t="s">
        <v>401</v>
      </c>
      <c r="B331" s="18"/>
      <c r="C331" s="18"/>
      <c r="D331" s="369" t="s">
        <v>405</v>
      </c>
      <c r="E331" s="370"/>
      <c r="F331" s="20" t="s">
        <v>552</v>
      </c>
      <c r="G331" s="32">
        <f>H331+I331</f>
        <v>1262400</v>
      </c>
      <c r="H331" s="32">
        <f>SUM(H332+H333+H334+H335+H336+H337+H338+H339+H340+H341+H342)</f>
        <v>163700</v>
      </c>
      <c r="I331" s="32">
        <f>SUM(I332+I333+I334+I335+I336+I337+I338+I339+I340+I341+I342)</f>
        <v>1098700</v>
      </c>
      <c r="J331" s="32">
        <f>SUM(J332+J333+J334+J335+J336+J337+J338+J339+J340+J341+J342)</f>
        <v>1098700</v>
      </c>
      <c r="K331" s="247"/>
      <c r="L331" s="247"/>
      <c r="M331" s="247"/>
      <c r="N331" s="260"/>
      <c r="O331" s="260"/>
      <c r="P331" s="248"/>
    </row>
    <row r="332" spans="1:16" s="38" customFormat="1" ht="98.25" customHeight="1">
      <c r="A332" s="25" t="s">
        <v>172</v>
      </c>
      <c r="B332" s="25" t="s">
        <v>410</v>
      </c>
      <c r="C332" s="25" t="s">
        <v>366</v>
      </c>
      <c r="D332" s="9" t="s">
        <v>50</v>
      </c>
      <c r="E332" s="24" t="s">
        <v>640</v>
      </c>
      <c r="F332" s="24" t="s">
        <v>592</v>
      </c>
      <c r="G332" s="11">
        <f>SUM(H332+I332)</f>
        <v>131700</v>
      </c>
      <c r="H332" s="17">
        <f>251700-120000</f>
        <v>131700</v>
      </c>
      <c r="I332" s="13">
        <v>0</v>
      </c>
      <c r="J332" s="13">
        <v>0</v>
      </c>
      <c r="K332" s="247"/>
      <c r="L332" s="248"/>
      <c r="M332" s="248"/>
      <c r="N332" s="259"/>
      <c r="O332" s="259"/>
      <c r="P332" s="248"/>
    </row>
    <row r="333" spans="1:16" s="38" customFormat="1" ht="212.25" customHeight="1" hidden="1">
      <c r="A333" s="25" t="s">
        <v>182</v>
      </c>
      <c r="B333" s="25" t="s">
        <v>183</v>
      </c>
      <c r="C333" s="25" t="s">
        <v>190</v>
      </c>
      <c r="D333" s="158" t="s">
        <v>184</v>
      </c>
      <c r="E333" s="109" t="s">
        <v>94</v>
      </c>
      <c r="F333" s="109" t="s">
        <v>678</v>
      </c>
      <c r="G333" s="11">
        <f aca="true" t="shared" si="20" ref="G333:G342">SUM(H333+I333)</f>
        <v>0</v>
      </c>
      <c r="H333" s="12"/>
      <c r="I333" s="13"/>
      <c r="J333" s="12">
        <f aca="true" t="shared" si="21" ref="J333:J342">I333</f>
        <v>0</v>
      </c>
      <c r="K333" s="250"/>
      <c r="L333" s="248"/>
      <c r="M333" s="248"/>
      <c r="N333" s="259"/>
      <c r="O333" s="259"/>
      <c r="P333" s="248"/>
    </row>
    <row r="334" spans="1:16" s="38" customFormat="1" ht="120.75" customHeight="1" hidden="1">
      <c r="A334" s="25" t="s">
        <v>182</v>
      </c>
      <c r="B334" s="25" t="s">
        <v>183</v>
      </c>
      <c r="C334" s="25" t="s">
        <v>190</v>
      </c>
      <c r="D334" s="158" t="s">
        <v>184</v>
      </c>
      <c r="E334" s="109" t="s">
        <v>566</v>
      </c>
      <c r="F334" s="109" t="s">
        <v>677</v>
      </c>
      <c r="G334" s="11">
        <f>SUM(H334+I334)</f>
        <v>0</v>
      </c>
      <c r="H334" s="12"/>
      <c r="I334" s="13"/>
      <c r="J334" s="12">
        <f t="shared" si="21"/>
        <v>0</v>
      </c>
      <c r="K334" s="250"/>
      <c r="L334" s="248"/>
      <c r="M334" s="248"/>
      <c r="N334" s="259"/>
      <c r="O334" s="259"/>
      <c r="P334" s="248"/>
    </row>
    <row r="335" spans="1:16" s="161" customFormat="1" ht="210" customHeight="1" hidden="1">
      <c r="A335" s="58" t="s">
        <v>182</v>
      </c>
      <c r="B335" s="58" t="s">
        <v>183</v>
      </c>
      <c r="C335" s="58" t="s">
        <v>190</v>
      </c>
      <c r="D335" s="160" t="s">
        <v>184</v>
      </c>
      <c r="E335" s="108" t="s">
        <v>94</v>
      </c>
      <c r="F335" s="108" t="s">
        <v>16</v>
      </c>
      <c r="G335" s="117">
        <f>SUM(H335+I335)</f>
        <v>0</v>
      </c>
      <c r="H335" s="57">
        <v>0</v>
      </c>
      <c r="I335" s="57">
        <f>650000-450000-200000</f>
        <v>0</v>
      </c>
      <c r="J335" s="57">
        <f t="shared" si="21"/>
        <v>0</v>
      </c>
      <c r="K335" s="310"/>
      <c r="L335" s="265"/>
      <c r="M335" s="311"/>
      <c r="N335" s="267"/>
      <c r="O335" s="267"/>
      <c r="P335" s="265"/>
    </row>
    <row r="336" spans="1:16" s="161" customFormat="1" ht="150" customHeight="1" hidden="1">
      <c r="A336" s="58" t="s">
        <v>191</v>
      </c>
      <c r="B336" s="58" t="s">
        <v>192</v>
      </c>
      <c r="C336" s="58" t="s">
        <v>190</v>
      </c>
      <c r="D336" s="145" t="s">
        <v>193</v>
      </c>
      <c r="E336" s="97" t="s">
        <v>565</v>
      </c>
      <c r="F336" s="97" t="s">
        <v>676</v>
      </c>
      <c r="G336" s="117">
        <f>SUM(H336+I336)</f>
        <v>0</v>
      </c>
      <c r="H336" s="62"/>
      <c r="I336" s="57"/>
      <c r="J336" s="57">
        <f>I336</f>
        <v>0</v>
      </c>
      <c r="K336" s="310"/>
      <c r="L336" s="265"/>
      <c r="M336" s="265"/>
      <c r="N336" s="267"/>
      <c r="O336" s="267"/>
      <c r="P336" s="265"/>
    </row>
    <row r="337" spans="1:16" s="161" customFormat="1" ht="213" customHeight="1" hidden="1">
      <c r="A337" s="58" t="s">
        <v>191</v>
      </c>
      <c r="B337" s="58" t="s">
        <v>192</v>
      </c>
      <c r="C337" s="58" t="s">
        <v>190</v>
      </c>
      <c r="D337" s="145" t="s">
        <v>193</v>
      </c>
      <c r="E337" s="108" t="s">
        <v>612</v>
      </c>
      <c r="F337" s="108" t="s">
        <v>16</v>
      </c>
      <c r="G337" s="117">
        <f>SUM(H337+I337)</f>
        <v>0</v>
      </c>
      <c r="H337" s="62">
        <f>55800-42992-12808</f>
        <v>0</v>
      </c>
      <c r="I337" s="57">
        <v>0</v>
      </c>
      <c r="J337" s="57">
        <f t="shared" si="21"/>
        <v>0</v>
      </c>
      <c r="K337" s="312"/>
      <c r="L337" s="265"/>
      <c r="M337" s="311"/>
      <c r="N337" s="267"/>
      <c r="O337" s="267"/>
      <c r="P337" s="265"/>
    </row>
    <row r="338" spans="1:16" s="161" customFormat="1" ht="192" customHeight="1" hidden="1">
      <c r="A338" s="58" t="s">
        <v>191</v>
      </c>
      <c r="B338" s="58" t="s">
        <v>192</v>
      </c>
      <c r="C338" s="58" t="s">
        <v>190</v>
      </c>
      <c r="D338" s="145" t="s">
        <v>193</v>
      </c>
      <c r="E338" s="108" t="s">
        <v>390</v>
      </c>
      <c r="F338" s="108" t="s">
        <v>60</v>
      </c>
      <c r="G338" s="117">
        <f>SUM(H338+I338)</f>
        <v>0</v>
      </c>
      <c r="H338" s="57"/>
      <c r="I338" s="57"/>
      <c r="J338" s="57">
        <f>I338</f>
        <v>0</v>
      </c>
      <c r="K338" s="310"/>
      <c r="L338" s="265"/>
      <c r="M338" s="311"/>
      <c r="N338" s="267"/>
      <c r="O338" s="267"/>
      <c r="P338" s="265"/>
    </row>
    <row r="339" spans="1:16" s="38" customFormat="1" ht="96.75" customHeight="1" hidden="1">
      <c r="A339" s="7">
        <v>3117130</v>
      </c>
      <c r="B339" s="7">
        <v>7130</v>
      </c>
      <c r="C339" s="7" t="s">
        <v>406</v>
      </c>
      <c r="D339" s="9" t="s">
        <v>500</v>
      </c>
      <c r="E339" s="42" t="s">
        <v>40</v>
      </c>
      <c r="F339" s="65" t="s">
        <v>39</v>
      </c>
      <c r="G339" s="11">
        <f t="shared" si="20"/>
        <v>0</v>
      </c>
      <c r="H339" s="41">
        <v>0</v>
      </c>
      <c r="I339" s="12">
        <v>0</v>
      </c>
      <c r="J339" s="12">
        <f t="shared" si="21"/>
        <v>0</v>
      </c>
      <c r="K339" s="248"/>
      <c r="L339" s="248"/>
      <c r="M339" s="248"/>
      <c r="N339" s="259"/>
      <c r="O339" s="259"/>
      <c r="P339" s="248"/>
    </row>
    <row r="340" spans="1:16" s="38" customFormat="1" ht="90" customHeight="1">
      <c r="A340" s="7">
        <v>3117650</v>
      </c>
      <c r="B340" s="7">
        <v>7650</v>
      </c>
      <c r="C340" s="7" t="s">
        <v>382</v>
      </c>
      <c r="D340" s="9" t="s">
        <v>318</v>
      </c>
      <c r="E340" s="42" t="s">
        <v>40</v>
      </c>
      <c r="F340" s="65" t="s">
        <v>39</v>
      </c>
      <c r="G340" s="11">
        <f t="shared" si="20"/>
        <v>949700</v>
      </c>
      <c r="H340" s="41">
        <v>0</v>
      </c>
      <c r="I340" s="12">
        <f>113700-65000+451000+450000</f>
        <v>949700</v>
      </c>
      <c r="J340" s="12">
        <f t="shared" si="21"/>
        <v>949700</v>
      </c>
      <c r="K340" s="248"/>
      <c r="L340" s="248"/>
      <c r="M340" s="248"/>
      <c r="N340" s="259"/>
      <c r="O340" s="259"/>
      <c r="P340" s="248"/>
    </row>
    <row r="341" spans="1:16" s="38" customFormat="1" ht="150.75" customHeight="1">
      <c r="A341" s="7">
        <v>3117660</v>
      </c>
      <c r="B341" s="7">
        <v>7660</v>
      </c>
      <c r="C341" s="7" t="s">
        <v>382</v>
      </c>
      <c r="D341" s="9" t="s">
        <v>271</v>
      </c>
      <c r="E341" s="42" t="s">
        <v>40</v>
      </c>
      <c r="F341" s="65" t="s">
        <v>39</v>
      </c>
      <c r="G341" s="11">
        <f t="shared" si="20"/>
        <v>149000</v>
      </c>
      <c r="H341" s="41">
        <v>0</v>
      </c>
      <c r="I341" s="12">
        <f>227500+65000+307500-451000</f>
        <v>149000</v>
      </c>
      <c r="J341" s="12">
        <f t="shared" si="21"/>
        <v>149000</v>
      </c>
      <c r="K341" s="248"/>
      <c r="L341" s="248"/>
      <c r="M341" s="248"/>
      <c r="N341" s="259"/>
      <c r="O341" s="259"/>
      <c r="P341" s="248"/>
    </row>
    <row r="342" spans="1:16" s="38" customFormat="1" ht="125.25" customHeight="1">
      <c r="A342" s="25" t="s">
        <v>212</v>
      </c>
      <c r="B342" s="25" t="s">
        <v>195</v>
      </c>
      <c r="C342" s="25" t="s">
        <v>382</v>
      </c>
      <c r="D342" s="158" t="s">
        <v>213</v>
      </c>
      <c r="E342" s="24" t="s">
        <v>567</v>
      </c>
      <c r="F342" s="24" t="s">
        <v>674</v>
      </c>
      <c r="G342" s="11">
        <f t="shared" si="20"/>
        <v>32000</v>
      </c>
      <c r="H342" s="17">
        <v>32000</v>
      </c>
      <c r="I342" s="13">
        <v>0</v>
      </c>
      <c r="J342" s="12">
        <f t="shared" si="21"/>
        <v>0</v>
      </c>
      <c r="K342" s="248"/>
      <c r="L342" s="248"/>
      <c r="M342" s="248"/>
      <c r="N342" s="259"/>
      <c r="O342" s="259"/>
      <c r="P342" s="248"/>
    </row>
    <row r="343" spans="1:16" s="38" customFormat="1" ht="47.25" customHeight="1">
      <c r="A343" s="35" t="s">
        <v>173</v>
      </c>
      <c r="B343" s="34"/>
      <c r="C343" s="34"/>
      <c r="D343" s="377" t="s">
        <v>175</v>
      </c>
      <c r="E343" s="378"/>
      <c r="F343" s="36" t="s">
        <v>552</v>
      </c>
      <c r="G343" s="39">
        <f>G344</f>
        <v>583500</v>
      </c>
      <c r="H343" s="39">
        <f>H344</f>
        <v>583500</v>
      </c>
      <c r="I343" s="39">
        <f>I344</f>
        <v>0</v>
      </c>
      <c r="J343" s="39">
        <f>J344</f>
        <v>0</v>
      </c>
      <c r="K343" s="248"/>
      <c r="L343" s="248"/>
      <c r="M343" s="248"/>
      <c r="N343" s="259"/>
      <c r="O343" s="259"/>
      <c r="P343" s="248"/>
    </row>
    <row r="344" spans="1:16" s="38" customFormat="1" ht="48.75" customHeight="1">
      <c r="A344" s="19" t="s">
        <v>174</v>
      </c>
      <c r="B344" s="18"/>
      <c r="C344" s="18"/>
      <c r="D344" s="369" t="s">
        <v>402</v>
      </c>
      <c r="E344" s="370"/>
      <c r="F344" s="20" t="s">
        <v>552</v>
      </c>
      <c r="G344" s="32">
        <f>H344+I344</f>
        <v>583500</v>
      </c>
      <c r="H344" s="32">
        <f>H345+H346</f>
        <v>583500</v>
      </c>
      <c r="I344" s="32">
        <f>I345+I346</f>
        <v>0</v>
      </c>
      <c r="J344" s="32">
        <f>J345+J346</f>
        <v>0</v>
      </c>
      <c r="K344" s="260"/>
      <c r="L344" s="260"/>
      <c r="M344" s="260"/>
      <c r="N344" s="260"/>
      <c r="O344" s="260"/>
      <c r="P344" s="248"/>
    </row>
    <row r="345" spans="1:16" s="38" customFormat="1" ht="105" customHeight="1">
      <c r="A345" s="7" t="s">
        <v>176</v>
      </c>
      <c r="B345" s="25" t="s">
        <v>410</v>
      </c>
      <c r="C345" s="7" t="s">
        <v>366</v>
      </c>
      <c r="D345" s="9" t="s">
        <v>50</v>
      </c>
      <c r="E345" s="24" t="s">
        <v>643</v>
      </c>
      <c r="F345" s="24" t="s">
        <v>592</v>
      </c>
      <c r="G345" s="11">
        <f>SUM(H345+I345)</f>
        <v>583500</v>
      </c>
      <c r="H345" s="17">
        <f>1681300-143800+49000-1003000</f>
        <v>583500</v>
      </c>
      <c r="I345" s="12">
        <v>0</v>
      </c>
      <c r="J345" s="12">
        <v>0</v>
      </c>
      <c r="K345" s="248"/>
      <c r="L345" s="248"/>
      <c r="M345" s="248"/>
      <c r="N345" s="259"/>
      <c r="O345" s="259"/>
      <c r="P345" s="248"/>
    </row>
    <row r="346" spans="1:16" s="38" customFormat="1" ht="87" customHeight="1" hidden="1">
      <c r="A346" s="7">
        <v>3216030</v>
      </c>
      <c r="B346" s="7">
        <v>6030</v>
      </c>
      <c r="C346" s="7" t="s">
        <v>369</v>
      </c>
      <c r="D346" s="9" t="s">
        <v>603</v>
      </c>
      <c r="E346" s="6" t="s">
        <v>568</v>
      </c>
      <c r="F346" s="6" t="s">
        <v>586</v>
      </c>
      <c r="G346" s="40">
        <f>H346+I346</f>
        <v>0</v>
      </c>
      <c r="H346" s="13"/>
      <c r="I346" s="12"/>
      <c r="J346" s="12">
        <f>I346</f>
        <v>0</v>
      </c>
      <c r="K346" s="248"/>
      <c r="L346" s="248"/>
      <c r="M346" s="248"/>
      <c r="N346" s="259"/>
      <c r="O346" s="259"/>
      <c r="P346" s="248"/>
    </row>
    <row r="347" spans="1:16" s="38" customFormat="1" ht="36" customHeight="1">
      <c r="A347" s="35" t="s">
        <v>501</v>
      </c>
      <c r="B347" s="34"/>
      <c r="C347" s="34"/>
      <c r="D347" s="377" t="s">
        <v>502</v>
      </c>
      <c r="E347" s="378"/>
      <c r="F347" s="36" t="s">
        <v>552</v>
      </c>
      <c r="G347" s="39">
        <f>G348</f>
        <v>7861045</v>
      </c>
      <c r="H347" s="39">
        <f>H348</f>
        <v>7861045</v>
      </c>
      <c r="I347" s="39">
        <f>I348</f>
        <v>0</v>
      </c>
      <c r="J347" s="39">
        <f>J348</f>
        <v>0</v>
      </c>
      <c r="K347" s="248"/>
      <c r="L347" s="248"/>
      <c r="M347" s="248"/>
      <c r="N347" s="259"/>
      <c r="O347" s="259"/>
      <c r="P347" s="248"/>
    </row>
    <row r="348" spans="1:16" s="38" customFormat="1" ht="53.25" customHeight="1">
      <c r="A348" s="19" t="s">
        <v>503</v>
      </c>
      <c r="B348" s="18"/>
      <c r="C348" s="18"/>
      <c r="D348" s="369" t="s">
        <v>403</v>
      </c>
      <c r="E348" s="370"/>
      <c r="F348" s="20" t="s">
        <v>552</v>
      </c>
      <c r="G348" s="32">
        <f>H348+I348</f>
        <v>7861045</v>
      </c>
      <c r="H348" s="32">
        <f>H349+H350+H351+H352</f>
        <v>7861045</v>
      </c>
      <c r="I348" s="32">
        <f>I349+I350+I351+I352</f>
        <v>0</v>
      </c>
      <c r="J348" s="32">
        <f>J349+J350+J351+J352</f>
        <v>0</v>
      </c>
      <c r="K348" s="247"/>
      <c r="L348" s="247"/>
      <c r="M348" s="247"/>
      <c r="N348" s="260"/>
      <c r="O348" s="260"/>
      <c r="P348" s="248"/>
    </row>
    <row r="349" spans="1:16" s="38" customFormat="1" ht="99.75" customHeight="1">
      <c r="A349" s="25" t="s">
        <v>177</v>
      </c>
      <c r="B349" s="25" t="s">
        <v>410</v>
      </c>
      <c r="C349" s="25" t="s">
        <v>366</v>
      </c>
      <c r="D349" s="9" t="s">
        <v>50</v>
      </c>
      <c r="E349" s="24" t="s">
        <v>641</v>
      </c>
      <c r="F349" s="24" t="s">
        <v>592</v>
      </c>
      <c r="G349" s="40">
        <f>H349+I349</f>
        <v>351045</v>
      </c>
      <c r="H349" s="17">
        <f>487700-266100+75445+49000+49000-44000</f>
        <v>351045</v>
      </c>
      <c r="I349" s="13">
        <v>0</v>
      </c>
      <c r="J349" s="13">
        <v>0</v>
      </c>
      <c r="K349" s="247"/>
      <c r="L349" s="248"/>
      <c r="M349" s="248"/>
      <c r="N349" s="259"/>
      <c r="O349" s="259"/>
      <c r="P349" s="248"/>
    </row>
    <row r="350" spans="1:16" s="38" customFormat="1" ht="165" customHeight="1" hidden="1">
      <c r="A350" s="25" t="s">
        <v>434</v>
      </c>
      <c r="B350" s="7">
        <v>6020</v>
      </c>
      <c r="C350" s="7" t="s">
        <v>369</v>
      </c>
      <c r="D350" s="9" t="s">
        <v>529</v>
      </c>
      <c r="E350" s="42" t="s">
        <v>342</v>
      </c>
      <c r="F350" s="42" t="s">
        <v>95</v>
      </c>
      <c r="G350" s="40">
        <f>H350+I350</f>
        <v>0</v>
      </c>
      <c r="H350" s="41"/>
      <c r="I350" s="13"/>
      <c r="J350" s="12">
        <f>I350</f>
        <v>0</v>
      </c>
      <c r="K350" s="247"/>
      <c r="L350" s="248"/>
      <c r="M350" s="248"/>
      <c r="N350" s="259"/>
      <c r="O350" s="259"/>
      <c r="P350" s="248"/>
    </row>
    <row r="351" spans="1:16" s="38" customFormat="1" ht="117.75" customHeight="1">
      <c r="A351" s="25" t="s">
        <v>434</v>
      </c>
      <c r="B351" s="7">
        <v>6020</v>
      </c>
      <c r="C351" s="7" t="s">
        <v>369</v>
      </c>
      <c r="D351" s="9" t="s">
        <v>529</v>
      </c>
      <c r="E351" s="42" t="s">
        <v>642</v>
      </c>
      <c r="F351" s="42" t="s">
        <v>657</v>
      </c>
      <c r="G351" s="40">
        <f>H351+I351</f>
        <v>7500000</v>
      </c>
      <c r="H351" s="41">
        <v>7500000</v>
      </c>
      <c r="I351" s="13">
        <v>0</v>
      </c>
      <c r="J351" s="12">
        <f>I351</f>
        <v>0</v>
      </c>
      <c r="K351" s="248"/>
      <c r="L351" s="248"/>
      <c r="M351" s="248"/>
      <c r="N351" s="259"/>
      <c r="O351" s="259"/>
      <c r="P351" s="248"/>
    </row>
    <row r="352" spans="1:16" s="38" customFormat="1" ht="129" customHeight="1">
      <c r="A352" s="59">
        <v>3417610</v>
      </c>
      <c r="B352" s="59">
        <v>7610</v>
      </c>
      <c r="C352" s="59" t="s">
        <v>404</v>
      </c>
      <c r="D352" s="63" t="s">
        <v>436</v>
      </c>
      <c r="E352" s="65" t="s">
        <v>270</v>
      </c>
      <c r="F352" s="65" t="s">
        <v>692</v>
      </c>
      <c r="G352" s="27">
        <f>H352+I352</f>
        <v>10000</v>
      </c>
      <c r="H352" s="120">
        <v>10000</v>
      </c>
      <c r="I352" s="57">
        <v>0</v>
      </c>
      <c r="J352" s="57">
        <f>I352</f>
        <v>0</v>
      </c>
      <c r="K352" s="248"/>
      <c r="L352" s="248"/>
      <c r="M352" s="248"/>
      <c r="N352" s="259"/>
      <c r="O352" s="259"/>
      <c r="P352" s="248"/>
    </row>
    <row r="353" spans="1:16" s="38" customFormat="1" ht="39" customHeight="1">
      <c r="A353" s="35">
        <v>3700000</v>
      </c>
      <c r="B353" s="34"/>
      <c r="C353" s="35"/>
      <c r="D353" s="386" t="s">
        <v>178</v>
      </c>
      <c r="E353" s="387"/>
      <c r="F353" s="131" t="s">
        <v>552</v>
      </c>
      <c r="G353" s="37">
        <f>G354</f>
        <v>5604290</v>
      </c>
      <c r="H353" s="37">
        <f>H354</f>
        <v>3679290</v>
      </c>
      <c r="I353" s="37">
        <f>I354</f>
        <v>1925000</v>
      </c>
      <c r="J353" s="37">
        <f>J354</f>
        <v>1925000</v>
      </c>
      <c r="K353" s="248"/>
      <c r="L353" s="248"/>
      <c r="M353" s="248"/>
      <c r="N353" s="259"/>
      <c r="O353" s="259"/>
      <c r="P353" s="248"/>
    </row>
    <row r="354" spans="1:16" s="159" customFormat="1" ht="36" customHeight="1">
      <c r="A354" s="19">
        <v>3710000</v>
      </c>
      <c r="B354" s="18"/>
      <c r="C354" s="19"/>
      <c r="D354" s="369" t="s">
        <v>604</v>
      </c>
      <c r="E354" s="370"/>
      <c r="F354" s="20" t="s">
        <v>552</v>
      </c>
      <c r="G354" s="32">
        <f>H354+I354</f>
        <v>5604290</v>
      </c>
      <c r="H354" s="32">
        <f>H355+H358+H359+H360</f>
        <v>3679290</v>
      </c>
      <c r="I354" s="32">
        <f>I355+I358+I359+I360</f>
        <v>1925000</v>
      </c>
      <c r="J354" s="32">
        <f>J355+J358+J359+J360</f>
        <v>1925000</v>
      </c>
      <c r="K354" s="260"/>
      <c r="L354" s="260"/>
      <c r="M354" s="260"/>
      <c r="N354" s="260"/>
      <c r="O354" s="260"/>
      <c r="P354" s="246"/>
    </row>
    <row r="355" spans="1:16" s="38" customFormat="1" ht="93" customHeight="1">
      <c r="A355" s="30">
        <v>3710180</v>
      </c>
      <c r="B355" s="25" t="s">
        <v>410</v>
      </c>
      <c r="C355" s="25" t="s">
        <v>366</v>
      </c>
      <c r="D355" s="9" t="s">
        <v>50</v>
      </c>
      <c r="E355" s="24" t="s">
        <v>535</v>
      </c>
      <c r="F355" s="24" t="s">
        <v>592</v>
      </c>
      <c r="G355" s="11">
        <f>SUM(H355+I355)</f>
        <v>154290</v>
      </c>
      <c r="H355" s="17">
        <f>273800-213500+49000+20000+24990</f>
        <v>154290</v>
      </c>
      <c r="I355" s="12">
        <v>0</v>
      </c>
      <c r="J355" s="12">
        <v>0</v>
      </c>
      <c r="K355" s="248"/>
      <c r="L355" s="248"/>
      <c r="M355" s="248"/>
      <c r="N355" s="259"/>
      <c r="O355" s="259"/>
      <c r="P355" s="248"/>
    </row>
    <row r="356" spans="1:16" s="38" customFormat="1" ht="59.25" customHeight="1" hidden="1">
      <c r="A356" s="7" t="s">
        <v>107</v>
      </c>
      <c r="B356" s="7">
        <v>9770</v>
      </c>
      <c r="C356" s="7" t="s">
        <v>410</v>
      </c>
      <c r="D356" s="84" t="s">
        <v>181</v>
      </c>
      <c r="E356" s="401" t="s">
        <v>122</v>
      </c>
      <c r="F356" s="401" t="s">
        <v>461</v>
      </c>
      <c r="G356" s="11">
        <f>SUM(H356+I356)</f>
        <v>0</v>
      </c>
      <c r="H356" s="17"/>
      <c r="I356" s="12"/>
      <c r="J356" s="12">
        <f>I356</f>
        <v>0</v>
      </c>
      <c r="K356" s="248"/>
      <c r="L356" s="248"/>
      <c r="M356" s="248"/>
      <c r="N356" s="259"/>
      <c r="O356" s="259"/>
      <c r="P356" s="248"/>
    </row>
    <row r="357" spans="1:16" s="105" customFormat="1" ht="81" customHeight="1" hidden="1">
      <c r="A357" s="141"/>
      <c r="B357" s="141"/>
      <c r="C357" s="142"/>
      <c r="D357" s="72" t="s">
        <v>112</v>
      </c>
      <c r="E357" s="401"/>
      <c r="F357" s="401"/>
      <c r="G357" s="103">
        <f>H357+I357</f>
        <v>0</v>
      </c>
      <c r="H357" s="79"/>
      <c r="I357" s="74"/>
      <c r="J357" s="12">
        <f>I357</f>
        <v>0</v>
      </c>
      <c r="K357" s="271"/>
      <c r="L357" s="272"/>
      <c r="M357" s="272"/>
      <c r="N357" s="259"/>
      <c r="O357" s="259"/>
      <c r="P357" s="272"/>
    </row>
    <row r="358" spans="1:16" s="38" customFormat="1" ht="119.25" customHeight="1">
      <c r="A358" s="30" t="s">
        <v>109</v>
      </c>
      <c r="B358" s="25">
        <v>9800</v>
      </c>
      <c r="C358" s="25" t="s">
        <v>410</v>
      </c>
      <c r="D358" s="9" t="s">
        <v>110</v>
      </c>
      <c r="E358" s="24" t="s">
        <v>392</v>
      </c>
      <c r="F358" s="24" t="s">
        <v>520</v>
      </c>
      <c r="G358" s="11">
        <f>SUM(H358+I358)</f>
        <v>4500000</v>
      </c>
      <c r="H358" s="17">
        <f>1200000+1180000+200000+115000</f>
        <v>2695000</v>
      </c>
      <c r="I358" s="12">
        <f>800000+820000+100000+85000</f>
        <v>1805000</v>
      </c>
      <c r="J358" s="12">
        <f>I358</f>
        <v>1805000</v>
      </c>
      <c r="K358" s="284"/>
      <c r="L358" s="247"/>
      <c r="M358" s="247"/>
      <c r="N358" s="247"/>
      <c r="O358" s="259"/>
      <c r="P358" s="248"/>
    </row>
    <row r="359" spans="1:16" s="38" customFormat="1" ht="306.75" customHeight="1">
      <c r="A359" s="30" t="s">
        <v>109</v>
      </c>
      <c r="B359" s="25">
        <v>9800</v>
      </c>
      <c r="C359" s="25" t="s">
        <v>410</v>
      </c>
      <c r="D359" s="9" t="s">
        <v>110</v>
      </c>
      <c r="E359" s="24" t="s">
        <v>391</v>
      </c>
      <c r="F359" s="24" t="s">
        <v>288</v>
      </c>
      <c r="G359" s="11">
        <f>SUM(H359+I359)</f>
        <v>450000</v>
      </c>
      <c r="H359" s="17">
        <f>250000+80000</f>
        <v>330000</v>
      </c>
      <c r="I359" s="12">
        <f>120000</f>
        <v>120000</v>
      </c>
      <c r="J359" s="12">
        <f>I359</f>
        <v>120000</v>
      </c>
      <c r="K359" s="247"/>
      <c r="L359" s="247"/>
      <c r="M359" s="248"/>
      <c r="N359" s="259"/>
      <c r="O359" s="259"/>
      <c r="P359" s="248"/>
    </row>
    <row r="360" spans="1:16" s="38" customFormat="1" ht="99.75" customHeight="1">
      <c r="A360" s="30" t="s">
        <v>109</v>
      </c>
      <c r="B360" s="25">
        <v>9800</v>
      </c>
      <c r="C360" s="25" t="s">
        <v>410</v>
      </c>
      <c r="D360" s="9" t="s">
        <v>110</v>
      </c>
      <c r="E360" s="97" t="s">
        <v>44</v>
      </c>
      <c r="F360" s="24" t="s">
        <v>634</v>
      </c>
      <c r="G360" s="11">
        <f>SUM(H360+I360)</f>
        <v>500000</v>
      </c>
      <c r="H360" s="17">
        <v>500000</v>
      </c>
      <c r="I360" s="12">
        <v>0</v>
      </c>
      <c r="J360" s="12">
        <f>I360</f>
        <v>0</v>
      </c>
      <c r="K360" s="248"/>
      <c r="L360" s="248"/>
      <c r="M360" s="248"/>
      <c r="N360" s="259"/>
      <c r="O360" s="259"/>
      <c r="P360" s="248"/>
    </row>
    <row r="361" spans="1:16" s="15" customFormat="1" ht="112.5" customHeight="1" hidden="1">
      <c r="A361" s="7" t="s">
        <v>536</v>
      </c>
      <c r="B361" s="8" t="s">
        <v>410</v>
      </c>
      <c r="C361" s="7" t="s">
        <v>366</v>
      </c>
      <c r="D361" s="9" t="s">
        <v>439</v>
      </c>
      <c r="E361" s="24" t="s">
        <v>535</v>
      </c>
      <c r="F361" s="24" t="s">
        <v>592</v>
      </c>
      <c r="G361" s="11">
        <f>SUM(H361+I361)</f>
        <v>0</v>
      </c>
      <c r="H361" s="17"/>
      <c r="I361" s="12"/>
      <c r="J361" s="12"/>
      <c r="K361" s="247"/>
      <c r="L361" s="248"/>
      <c r="M361" s="248"/>
      <c r="N361" s="259"/>
      <c r="O361" s="259"/>
      <c r="P361" s="128"/>
    </row>
    <row r="362" spans="1:16" s="15" customFormat="1" ht="123.75" customHeight="1" hidden="1">
      <c r="A362" s="7" t="s">
        <v>536</v>
      </c>
      <c r="B362" s="8" t="s">
        <v>410</v>
      </c>
      <c r="C362" s="7" t="s">
        <v>366</v>
      </c>
      <c r="D362" s="9" t="s">
        <v>440</v>
      </c>
      <c r="E362" s="10" t="s">
        <v>234</v>
      </c>
      <c r="F362" s="10" t="s">
        <v>593</v>
      </c>
      <c r="G362" s="127">
        <f>SUM(H362+I362)</f>
        <v>0</v>
      </c>
      <c r="H362" s="12"/>
      <c r="I362" s="12"/>
      <c r="J362" s="12"/>
      <c r="K362" s="248"/>
      <c r="L362" s="248"/>
      <c r="M362" s="248"/>
      <c r="N362" s="259"/>
      <c r="O362" s="259"/>
      <c r="P362" s="128"/>
    </row>
    <row r="363" spans="1:16" s="15" customFormat="1" ht="99" customHeight="1" hidden="1">
      <c r="A363" s="7">
        <v>4113210</v>
      </c>
      <c r="B363" s="7">
        <v>3210</v>
      </c>
      <c r="C363" s="7" t="s">
        <v>367</v>
      </c>
      <c r="D363" s="9" t="s">
        <v>368</v>
      </c>
      <c r="E363" s="6" t="s">
        <v>5</v>
      </c>
      <c r="F363" s="6" t="s">
        <v>6</v>
      </c>
      <c r="G363" s="162">
        <f>H363+I363</f>
        <v>0</v>
      </c>
      <c r="H363" s="17"/>
      <c r="I363" s="17"/>
      <c r="J363" s="12">
        <f>I363</f>
        <v>0</v>
      </c>
      <c r="K363" s="248"/>
      <c r="L363" s="248"/>
      <c r="M363" s="248"/>
      <c r="N363" s="259"/>
      <c r="O363" s="259"/>
      <c r="P363" s="128"/>
    </row>
    <row r="364" spans="1:16" s="15" customFormat="1" ht="95.25" customHeight="1" hidden="1">
      <c r="A364" s="7">
        <v>4116030</v>
      </c>
      <c r="B364" s="7">
        <v>6030</v>
      </c>
      <c r="C364" s="7" t="s">
        <v>369</v>
      </c>
      <c r="D364" s="9" t="s">
        <v>603</v>
      </c>
      <c r="E364" s="6" t="s">
        <v>587</v>
      </c>
      <c r="F364" s="6" t="s">
        <v>586</v>
      </c>
      <c r="G364" s="40">
        <f>H364+I364</f>
        <v>0</v>
      </c>
      <c r="H364" s="13"/>
      <c r="I364" s="13"/>
      <c r="J364" s="12">
        <f>I364</f>
        <v>0</v>
      </c>
      <c r="K364" s="248"/>
      <c r="L364" s="248"/>
      <c r="M364" s="248"/>
      <c r="N364" s="259"/>
      <c r="O364" s="259"/>
      <c r="P364" s="128"/>
    </row>
    <row r="365" spans="1:16" s="15" customFormat="1" ht="54.75" customHeight="1" hidden="1">
      <c r="A365" s="35" t="s">
        <v>537</v>
      </c>
      <c r="B365" s="34"/>
      <c r="C365" s="34"/>
      <c r="D365" s="377" t="s">
        <v>251</v>
      </c>
      <c r="E365" s="378"/>
      <c r="F365" s="36" t="s">
        <v>552</v>
      </c>
      <c r="G365" s="70">
        <f>G366</f>
        <v>0</v>
      </c>
      <c r="H365" s="70">
        <f>H366</f>
        <v>0</v>
      </c>
      <c r="I365" s="70">
        <f>I366</f>
        <v>0</v>
      </c>
      <c r="J365" s="70">
        <f>J366</f>
        <v>0</v>
      </c>
      <c r="K365" s="248"/>
      <c r="L365" s="248"/>
      <c r="M365" s="248"/>
      <c r="N365" s="259"/>
      <c r="O365" s="259"/>
      <c r="P365" s="128"/>
    </row>
    <row r="366" spans="1:16" s="23" customFormat="1" ht="41.25" customHeight="1" hidden="1">
      <c r="A366" s="19">
        <v>4210000</v>
      </c>
      <c r="B366" s="18"/>
      <c r="C366" s="18"/>
      <c r="D366" s="369" t="s">
        <v>422</v>
      </c>
      <c r="E366" s="370"/>
      <c r="F366" s="20" t="s">
        <v>552</v>
      </c>
      <c r="G366" s="32">
        <f>SUM(G367+G368+G369+G370+G371)</f>
        <v>0</v>
      </c>
      <c r="H366" s="32">
        <f>SUM(H367+H368+H369+H370+H371)</f>
        <v>0</v>
      </c>
      <c r="I366" s="32">
        <f>SUM(I367+I368+I369+I370+I371)</f>
        <v>0</v>
      </c>
      <c r="J366" s="32">
        <f>SUM(J367+J368+J369+J370+J371)</f>
        <v>0</v>
      </c>
      <c r="K366" s="247"/>
      <c r="L366" s="247"/>
      <c r="M366" s="247"/>
      <c r="N366" s="259"/>
      <c r="O366" s="259"/>
      <c r="P366" s="125"/>
    </row>
    <row r="367" spans="1:16" s="15" customFormat="1" ht="105" customHeight="1" hidden="1">
      <c r="A367" s="7" t="s">
        <v>539</v>
      </c>
      <c r="B367" s="8" t="s">
        <v>410</v>
      </c>
      <c r="C367" s="7" t="s">
        <v>366</v>
      </c>
      <c r="D367" s="9" t="s">
        <v>439</v>
      </c>
      <c r="E367" s="24" t="s">
        <v>233</v>
      </c>
      <c r="F367" s="24" t="s">
        <v>592</v>
      </c>
      <c r="G367" s="11">
        <f>SUM(H367+I367)</f>
        <v>0</v>
      </c>
      <c r="H367" s="17"/>
      <c r="I367" s="12"/>
      <c r="J367" s="12"/>
      <c r="K367" s="248"/>
      <c r="L367" s="248"/>
      <c r="M367" s="248"/>
      <c r="N367" s="259"/>
      <c r="O367" s="259"/>
      <c r="P367" s="128"/>
    </row>
    <row r="368" spans="1:16" s="15" customFormat="1" ht="129.75" customHeight="1" hidden="1">
      <c r="A368" s="7" t="s">
        <v>539</v>
      </c>
      <c r="B368" s="8" t="s">
        <v>410</v>
      </c>
      <c r="C368" s="7" t="s">
        <v>366</v>
      </c>
      <c r="D368" s="9" t="s">
        <v>440</v>
      </c>
      <c r="E368" s="10" t="s">
        <v>234</v>
      </c>
      <c r="F368" s="10" t="s">
        <v>594</v>
      </c>
      <c r="G368" s="11">
        <f>SUM(H368+I368)</f>
        <v>0</v>
      </c>
      <c r="H368" s="12"/>
      <c r="I368" s="12"/>
      <c r="J368" s="12"/>
      <c r="K368" s="248"/>
      <c r="L368" s="248"/>
      <c r="M368" s="248"/>
      <c r="N368" s="259"/>
      <c r="O368" s="259"/>
      <c r="P368" s="128"/>
    </row>
    <row r="369" spans="1:16" s="15" customFormat="1" ht="90.75" customHeight="1" hidden="1">
      <c r="A369" s="7">
        <v>4213210</v>
      </c>
      <c r="B369" s="7">
        <v>3210</v>
      </c>
      <c r="C369" s="7" t="s">
        <v>367</v>
      </c>
      <c r="D369" s="9" t="s">
        <v>368</v>
      </c>
      <c r="E369" s="6" t="s">
        <v>5</v>
      </c>
      <c r="F369" s="6" t="s">
        <v>6</v>
      </c>
      <c r="G369" s="162">
        <f>H369+I369</f>
        <v>0</v>
      </c>
      <c r="H369" s="17"/>
      <c r="I369" s="17"/>
      <c r="J369" s="12">
        <f>I369</f>
        <v>0</v>
      </c>
      <c r="K369" s="248"/>
      <c r="L369" s="248"/>
      <c r="M369" s="248"/>
      <c r="N369" s="259"/>
      <c r="O369" s="259"/>
      <c r="P369" s="128"/>
    </row>
    <row r="370" spans="1:16" s="15" customFormat="1" ht="93" customHeight="1" hidden="1">
      <c r="A370" s="7">
        <v>4216017</v>
      </c>
      <c r="B370" s="7">
        <v>6017</v>
      </c>
      <c r="C370" s="8" t="s">
        <v>369</v>
      </c>
      <c r="D370" s="9" t="s">
        <v>239</v>
      </c>
      <c r="E370" s="6" t="s">
        <v>588</v>
      </c>
      <c r="F370" s="6" t="s">
        <v>586</v>
      </c>
      <c r="G370" s="40">
        <f>H370+I370</f>
        <v>0</v>
      </c>
      <c r="H370" s="13"/>
      <c r="I370" s="13"/>
      <c r="J370" s="12">
        <f>I370</f>
        <v>0</v>
      </c>
      <c r="K370" s="248"/>
      <c r="L370" s="248"/>
      <c r="M370" s="248"/>
      <c r="N370" s="259"/>
      <c r="O370" s="259"/>
      <c r="P370" s="128"/>
    </row>
    <row r="371" spans="1:16" s="15" customFormat="1" ht="82.5" customHeight="1" hidden="1">
      <c r="A371" s="7">
        <v>4216030</v>
      </c>
      <c r="B371" s="7">
        <v>6030</v>
      </c>
      <c r="C371" s="7" t="s">
        <v>369</v>
      </c>
      <c r="D371" s="9" t="s">
        <v>603</v>
      </c>
      <c r="E371" s="6" t="s">
        <v>588</v>
      </c>
      <c r="F371" s="6" t="s">
        <v>586</v>
      </c>
      <c r="G371" s="40">
        <f>H371+I371</f>
        <v>0</v>
      </c>
      <c r="H371" s="13"/>
      <c r="I371" s="13"/>
      <c r="J371" s="12">
        <f>I371</f>
        <v>0</v>
      </c>
      <c r="K371" s="248"/>
      <c r="L371" s="248"/>
      <c r="M371" s="248"/>
      <c r="N371" s="259"/>
      <c r="O371" s="259"/>
      <c r="P371" s="128"/>
    </row>
    <row r="372" spans="1:16" s="15" customFormat="1" ht="51" customHeight="1" hidden="1">
      <c r="A372" s="35" t="s">
        <v>538</v>
      </c>
      <c r="B372" s="34"/>
      <c r="C372" s="34"/>
      <c r="D372" s="377" t="s">
        <v>251</v>
      </c>
      <c r="E372" s="378"/>
      <c r="F372" s="36" t="s">
        <v>552</v>
      </c>
      <c r="G372" s="70">
        <f>G373</f>
        <v>0</v>
      </c>
      <c r="H372" s="70">
        <f>H373</f>
        <v>0</v>
      </c>
      <c r="I372" s="70">
        <f>I373</f>
        <v>0</v>
      </c>
      <c r="J372" s="70">
        <f>J373</f>
        <v>0</v>
      </c>
      <c r="K372" s="260"/>
      <c r="L372" s="260"/>
      <c r="M372" s="260"/>
      <c r="N372" s="259"/>
      <c r="O372" s="259"/>
      <c r="P372" s="128"/>
    </row>
    <row r="373" spans="1:16" s="23" customFormat="1" ht="31.5" customHeight="1" hidden="1">
      <c r="A373" s="19">
        <v>4310000</v>
      </c>
      <c r="B373" s="18"/>
      <c r="C373" s="18"/>
      <c r="D373" s="369" t="s">
        <v>424</v>
      </c>
      <c r="E373" s="370"/>
      <c r="F373" s="20" t="s">
        <v>552</v>
      </c>
      <c r="G373" s="32">
        <f>G374+G375+G376+G377</f>
        <v>0</v>
      </c>
      <c r="H373" s="32">
        <f>H374+H375+H376+H377</f>
        <v>0</v>
      </c>
      <c r="I373" s="32">
        <f>I374+I375+I376+I377</f>
        <v>0</v>
      </c>
      <c r="J373" s="32">
        <f>J374+J375+J376+J377</f>
        <v>0</v>
      </c>
      <c r="K373" s="286"/>
      <c r="L373" s="246"/>
      <c r="M373" s="246"/>
      <c r="N373" s="313"/>
      <c r="O373" s="313"/>
      <c r="P373" s="125"/>
    </row>
    <row r="374" spans="1:16" s="15" customFormat="1" ht="104.25" customHeight="1" hidden="1">
      <c r="A374" s="7" t="s">
        <v>544</v>
      </c>
      <c r="B374" s="8" t="s">
        <v>410</v>
      </c>
      <c r="C374" s="7" t="s">
        <v>366</v>
      </c>
      <c r="D374" s="9" t="s">
        <v>439</v>
      </c>
      <c r="E374" s="24" t="s">
        <v>535</v>
      </c>
      <c r="F374" s="24" t="s">
        <v>592</v>
      </c>
      <c r="G374" s="11">
        <f>SUM(H374+I374)</f>
        <v>0</v>
      </c>
      <c r="H374" s="17"/>
      <c r="I374" s="12"/>
      <c r="J374" s="13"/>
      <c r="K374" s="248"/>
      <c r="L374" s="248"/>
      <c r="M374" s="248"/>
      <c r="N374" s="259"/>
      <c r="O374" s="259"/>
      <c r="P374" s="128"/>
    </row>
    <row r="375" spans="1:16" s="15" customFormat="1" ht="133.5" customHeight="1" hidden="1">
      <c r="A375" s="7" t="s">
        <v>544</v>
      </c>
      <c r="B375" s="8" t="s">
        <v>410</v>
      </c>
      <c r="C375" s="7" t="s">
        <v>366</v>
      </c>
      <c r="D375" s="9" t="s">
        <v>440</v>
      </c>
      <c r="E375" s="10" t="s">
        <v>234</v>
      </c>
      <c r="F375" s="10" t="s">
        <v>595</v>
      </c>
      <c r="G375" s="11">
        <f>SUM(H375+I375)</f>
        <v>0</v>
      </c>
      <c r="H375" s="12"/>
      <c r="I375" s="12"/>
      <c r="J375" s="13"/>
      <c r="K375" s="248"/>
      <c r="L375" s="248"/>
      <c r="M375" s="248"/>
      <c r="N375" s="259"/>
      <c r="O375" s="259"/>
      <c r="P375" s="128"/>
    </row>
    <row r="376" spans="1:16" s="15" customFormat="1" ht="84" customHeight="1" hidden="1">
      <c r="A376" s="7">
        <v>4313210</v>
      </c>
      <c r="B376" s="7">
        <v>3210</v>
      </c>
      <c r="C376" s="7" t="s">
        <v>367</v>
      </c>
      <c r="D376" s="9" t="s">
        <v>368</v>
      </c>
      <c r="E376" s="6" t="s">
        <v>5</v>
      </c>
      <c r="F376" s="6" t="s">
        <v>6</v>
      </c>
      <c r="G376" s="11">
        <f>SUM(H376+I376)</f>
        <v>0</v>
      </c>
      <c r="H376" s="17"/>
      <c r="I376" s="17"/>
      <c r="J376" s="12">
        <f>I376</f>
        <v>0</v>
      </c>
      <c r="K376" s="414"/>
      <c r="L376" s="414"/>
      <c r="M376" s="414"/>
      <c r="N376" s="414"/>
      <c r="O376" s="248"/>
      <c r="P376" s="128"/>
    </row>
    <row r="377" spans="1:16" s="15" customFormat="1" ht="81" customHeight="1" hidden="1">
      <c r="A377" s="7">
        <v>4316030</v>
      </c>
      <c r="B377" s="7">
        <v>6030</v>
      </c>
      <c r="C377" s="7" t="s">
        <v>369</v>
      </c>
      <c r="D377" s="9" t="s">
        <v>603</v>
      </c>
      <c r="E377" s="24" t="s">
        <v>589</v>
      </c>
      <c r="F377" s="24" t="s">
        <v>586</v>
      </c>
      <c r="G377" s="40">
        <f>H377+I377</f>
        <v>0</v>
      </c>
      <c r="H377" s="13"/>
      <c r="I377" s="13"/>
      <c r="J377" s="12">
        <f>I377</f>
        <v>0</v>
      </c>
      <c r="K377" s="260"/>
      <c r="L377" s="260"/>
      <c r="M377" s="260"/>
      <c r="N377" s="259"/>
      <c r="O377" s="259"/>
      <c r="P377" s="128"/>
    </row>
    <row r="378" spans="1:16" s="23" customFormat="1" ht="45.75" customHeight="1">
      <c r="A378" s="18" t="s">
        <v>316</v>
      </c>
      <c r="B378" s="18" t="s">
        <v>316</v>
      </c>
      <c r="C378" s="18" t="s">
        <v>316</v>
      </c>
      <c r="D378" s="163" t="s">
        <v>317</v>
      </c>
      <c r="E378" s="20" t="s">
        <v>316</v>
      </c>
      <c r="F378" s="20" t="s">
        <v>316</v>
      </c>
      <c r="G378" s="71">
        <f>H378+I378</f>
        <v>1510127233.6100001</v>
      </c>
      <c r="H378" s="71">
        <f>H17+H31+H38+H122+H164+H194+H220+H295+H299+H302+H311+H317+H323+H330+H343+H347+H353+H365+H372+H204</f>
        <v>765412879.6600001</v>
      </c>
      <c r="I378" s="71">
        <f>I17+I31+I38+I122+I164+I194+I220+I295+I299+I302+I311+I317+I323+I330+I343+I347+I353+I365+I372+I204</f>
        <v>744714353.95</v>
      </c>
      <c r="J378" s="71">
        <f>J17+J31+J38+J122+J164+J194+J220+J295+J299+J302+J311+J317+J323+J330+J343+J347+J353+J365+J372+J204</f>
        <v>600840700.7700001</v>
      </c>
      <c r="K378" s="314"/>
      <c r="L378" s="314"/>
      <c r="M378" s="314"/>
      <c r="N378" s="314"/>
      <c r="O378" s="314"/>
      <c r="P378" s="305"/>
    </row>
    <row r="379" spans="1:16" s="43" customFormat="1" ht="63" customHeight="1">
      <c r="A379" s="164"/>
      <c r="B379" s="165"/>
      <c r="C379" s="165"/>
      <c r="D379" s="166"/>
      <c r="E379" s="167"/>
      <c r="F379" s="167"/>
      <c r="G379" s="168"/>
      <c r="H379" s="168"/>
      <c r="I379" s="168"/>
      <c r="J379" s="168"/>
      <c r="K379" s="314"/>
      <c r="L379" s="314"/>
      <c r="M379" s="314"/>
      <c r="N379" s="314"/>
      <c r="O379" s="314"/>
      <c r="P379" s="315"/>
    </row>
    <row r="380" spans="1:16" s="169" customFormat="1" ht="84" customHeight="1">
      <c r="A380" s="394" t="s">
        <v>156</v>
      </c>
      <c r="B380" s="394"/>
      <c r="C380" s="394"/>
      <c r="D380" s="394"/>
      <c r="E380" s="394"/>
      <c r="F380" s="4"/>
      <c r="G380" s="5"/>
      <c r="H380" s="391" t="s">
        <v>254</v>
      </c>
      <c r="I380" s="392"/>
      <c r="J380" s="392"/>
      <c r="K380" s="316"/>
      <c r="L380" s="317"/>
      <c r="M380" s="317"/>
      <c r="N380" s="318"/>
      <c r="O380" s="318"/>
      <c r="P380" s="319"/>
    </row>
    <row r="381" spans="1:16" s="43" customFormat="1" ht="23.25" customHeight="1">
      <c r="A381" s="382"/>
      <c r="B381" s="382"/>
      <c r="C381" s="382"/>
      <c r="D381" s="382"/>
      <c r="E381" s="170"/>
      <c r="F381" s="170"/>
      <c r="G381" s="171"/>
      <c r="H381" s="172"/>
      <c r="I381" s="376"/>
      <c r="J381" s="376"/>
      <c r="K381" s="320"/>
      <c r="L381" s="320"/>
      <c r="M381" s="248"/>
      <c r="N381" s="321"/>
      <c r="O381" s="321"/>
      <c r="P381" s="315"/>
    </row>
    <row r="382" spans="1:15" s="324" customFormat="1" ht="26.25" customHeight="1">
      <c r="A382" s="341"/>
      <c r="B382" s="342"/>
      <c r="C382" s="342"/>
      <c r="D382" s="343"/>
      <c r="E382" s="182"/>
      <c r="F382" s="182"/>
      <c r="G382" s="381"/>
      <c r="H382" s="381"/>
      <c r="I382" s="381"/>
      <c r="J382" s="381"/>
      <c r="K382" s="322"/>
      <c r="L382" s="322"/>
      <c r="M382" s="248"/>
      <c r="N382" s="323"/>
      <c r="O382" s="323"/>
    </row>
    <row r="383" spans="1:15" s="324" customFormat="1" ht="34.5" customHeight="1">
      <c r="A383" s="341"/>
      <c r="B383" s="342"/>
      <c r="C383" s="342"/>
      <c r="D383" s="343"/>
      <c r="E383" s="182"/>
      <c r="F383" s="182"/>
      <c r="G383" s="381"/>
      <c r="H383" s="381"/>
      <c r="I383" s="344"/>
      <c r="J383" s="344"/>
      <c r="K383" s="254"/>
      <c r="L383" s="322"/>
      <c r="M383" s="322"/>
      <c r="N383" s="323"/>
      <c r="O383" s="323"/>
    </row>
    <row r="384" spans="1:15" s="324" customFormat="1" ht="18.75">
      <c r="A384" s="341"/>
      <c r="B384" s="342"/>
      <c r="C384" s="342"/>
      <c r="D384" s="343"/>
      <c r="E384" s="182"/>
      <c r="F384" s="178"/>
      <c r="G384" s="300"/>
      <c r="H384" s="300"/>
      <c r="I384" s="300"/>
      <c r="J384" s="300"/>
      <c r="K384" s="325"/>
      <c r="L384" s="322"/>
      <c r="M384" s="322"/>
      <c r="N384" s="323"/>
      <c r="O384" s="323"/>
    </row>
    <row r="385" spans="1:15" s="324" customFormat="1" ht="18.75">
      <c r="A385" s="341"/>
      <c r="B385" s="342"/>
      <c r="C385" s="342"/>
      <c r="D385" s="343"/>
      <c r="E385" s="182"/>
      <c r="F385" s="178"/>
      <c r="G385" s="179"/>
      <c r="H385" s="179"/>
      <c r="I385" s="179"/>
      <c r="J385" s="179"/>
      <c r="K385" s="325"/>
      <c r="L385" s="322"/>
      <c r="M385" s="322"/>
      <c r="N385" s="323"/>
      <c r="O385" s="323"/>
    </row>
    <row r="386" spans="1:15" s="324" customFormat="1" ht="18.75">
      <c r="A386" s="341"/>
      <c r="B386" s="342"/>
      <c r="C386" s="342"/>
      <c r="D386" s="343"/>
      <c r="E386" s="182"/>
      <c r="F386" s="178"/>
      <c r="G386" s="300"/>
      <c r="H386" s="300"/>
      <c r="I386" s="300"/>
      <c r="J386" s="300"/>
      <c r="K386" s="325"/>
      <c r="L386" s="322"/>
      <c r="M386" s="322"/>
      <c r="N386" s="323"/>
      <c r="O386" s="323"/>
    </row>
    <row r="387" spans="1:15" s="328" customFormat="1" ht="20.25">
      <c r="A387" s="345"/>
      <c r="B387" s="346"/>
      <c r="C387" s="346"/>
      <c r="D387" s="347"/>
      <c r="E387" s="348"/>
      <c r="F387" s="178"/>
      <c r="G387" s="300"/>
      <c r="H387" s="300"/>
      <c r="I387" s="300"/>
      <c r="J387" s="300"/>
      <c r="K387" s="325"/>
      <c r="L387" s="326"/>
      <c r="M387" s="326"/>
      <c r="N387" s="327"/>
      <c r="O387" s="327"/>
    </row>
    <row r="388" spans="1:15" s="324" customFormat="1" ht="18.75">
      <c r="A388" s="341"/>
      <c r="B388" s="342"/>
      <c r="C388" s="342"/>
      <c r="D388" s="343"/>
      <c r="E388" s="182"/>
      <c r="F388" s="178"/>
      <c r="G388" s="300"/>
      <c r="H388" s="300"/>
      <c r="I388" s="300"/>
      <c r="J388" s="300"/>
      <c r="K388" s="325"/>
      <c r="L388" s="322"/>
      <c r="M388" s="322"/>
      <c r="N388" s="323"/>
      <c r="O388" s="323"/>
    </row>
    <row r="389" spans="1:15" s="324" customFormat="1" ht="18.75">
      <c r="A389" s="341"/>
      <c r="B389" s="342"/>
      <c r="C389" s="342"/>
      <c r="D389" s="343"/>
      <c r="E389" s="182"/>
      <c r="F389" s="178"/>
      <c r="G389" s="300"/>
      <c r="H389" s="300"/>
      <c r="I389" s="300"/>
      <c r="J389" s="300"/>
      <c r="K389" s="325"/>
      <c r="L389" s="322"/>
      <c r="M389" s="322"/>
      <c r="N389" s="323"/>
      <c r="O389" s="323"/>
    </row>
    <row r="390" spans="1:15" s="324" customFormat="1" ht="18.75">
      <c r="A390" s="341"/>
      <c r="B390" s="342"/>
      <c r="C390" s="342"/>
      <c r="D390" s="343"/>
      <c r="E390" s="182"/>
      <c r="F390" s="178"/>
      <c r="G390" s="300"/>
      <c r="H390" s="300"/>
      <c r="I390" s="300"/>
      <c r="J390" s="300"/>
      <c r="K390" s="325"/>
      <c r="L390" s="322"/>
      <c r="M390" s="322"/>
      <c r="N390" s="323"/>
      <c r="O390" s="323"/>
    </row>
    <row r="391" spans="1:15" s="324" customFormat="1" ht="24.75" customHeight="1">
      <c r="A391" s="341"/>
      <c r="B391" s="342"/>
      <c r="C391" s="342"/>
      <c r="D391" s="343"/>
      <c r="E391" s="182"/>
      <c r="F391" s="349"/>
      <c r="G391" s="350"/>
      <c r="H391" s="350"/>
      <c r="I391" s="350"/>
      <c r="J391" s="350"/>
      <c r="K391" s="325"/>
      <c r="L391" s="322"/>
      <c r="M391" s="322"/>
      <c r="N391" s="323"/>
      <c r="O391" s="323"/>
    </row>
    <row r="392" spans="1:15" s="324" customFormat="1" ht="18.75">
      <c r="A392" s="341"/>
      <c r="B392" s="342"/>
      <c r="C392" s="342"/>
      <c r="D392" s="343"/>
      <c r="E392" s="182"/>
      <c r="F392" s="178"/>
      <c r="G392" s="179"/>
      <c r="H392" s="179"/>
      <c r="I392" s="179"/>
      <c r="J392" s="179"/>
      <c r="K392" s="325"/>
      <c r="L392" s="322"/>
      <c r="M392" s="322"/>
      <c r="N392" s="323"/>
      <c r="O392" s="323"/>
    </row>
    <row r="393" spans="1:15" s="324" customFormat="1" ht="24" customHeight="1">
      <c r="A393" s="341"/>
      <c r="B393" s="342"/>
      <c r="C393" s="342"/>
      <c r="D393" s="343"/>
      <c r="E393" s="182"/>
      <c r="F393" s="178"/>
      <c r="G393" s="179"/>
      <c r="H393" s="179"/>
      <c r="I393" s="179"/>
      <c r="J393" s="179"/>
      <c r="K393" s="325"/>
      <c r="L393" s="322"/>
      <c r="M393" s="322"/>
      <c r="N393" s="323"/>
      <c r="O393" s="323"/>
    </row>
    <row r="394" spans="1:15" s="324" customFormat="1" ht="18.75">
      <c r="A394" s="341"/>
      <c r="B394" s="342"/>
      <c r="C394" s="342"/>
      <c r="D394" s="343"/>
      <c r="E394" s="182"/>
      <c r="F394" s="180"/>
      <c r="G394" s="181"/>
      <c r="H394" s="181"/>
      <c r="I394" s="181"/>
      <c r="J394" s="181"/>
      <c r="K394" s="329"/>
      <c r="L394" s="322"/>
      <c r="M394" s="322"/>
      <c r="N394" s="323"/>
      <c r="O394" s="323"/>
    </row>
    <row r="395" spans="1:15" s="324" customFormat="1" ht="13.5">
      <c r="A395" s="341"/>
      <c r="B395" s="342"/>
      <c r="C395" s="342"/>
      <c r="D395" s="343"/>
      <c r="E395" s="182"/>
      <c r="F395" s="182"/>
      <c r="G395" s="183"/>
      <c r="H395" s="184"/>
      <c r="I395" s="185"/>
      <c r="J395" s="185"/>
      <c r="K395" s="322"/>
      <c r="L395" s="322"/>
      <c r="M395" s="322"/>
      <c r="N395" s="323"/>
      <c r="O395" s="323"/>
    </row>
    <row r="396" spans="1:15" s="324" customFormat="1" ht="13.5">
      <c r="A396" s="341"/>
      <c r="B396" s="342"/>
      <c r="C396" s="342"/>
      <c r="D396" s="343"/>
      <c r="E396" s="182"/>
      <c r="F396" s="182"/>
      <c r="G396" s="351"/>
      <c r="H396" s="352"/>
      <c r="I396" s="352"/>
      <c r="J396" s="352"/>
      <c r="K396" s="322"/>
      <c r="L396" s="322"/>
      <c r="M396" s="322"/>
      <c r="N396" s="323"/>
      <c r="O396" s="323"/>
    </row>
    <row r="397" spans="1:15" s="324" customFormat="1" ht="13.5">
      <c r="A397" s="341"/>
      <c r="B397" s="342"/>
      <c r="C397" s="342"/>
      <c r="D397" s="343"/>
      <c r="E397" s="182"/>
      <c r="F397" s="182"/>
      <c r="G397" s="352"/>
      <c r="H397" s="353"/>
      <c r="I397" s="353"/>
      <c r="J397" s="353"/>
      <c r="K397" s="322"/>
      <c r="L397" s="322"/>
      <c r="M397" s="322"/>
      <c r="N397" s="323"/>
      <c r="O397" s="323"/>
    </row>
    <row r="398" spans="1:15" s="324" customFormat="1" ht="25.5" customHeight="1">
      <c r="A398" s="341"/>
      <c r="B398" s="342"/>
      <c r="C398" s="342"/>
      <c r="D398" s="343"/>
      <c r="E398" s="182"/>
      <c r="F398" s="182"/>
      <c r="G398" s="352"/>
      <c r="H398" s="353"/>
      <c r="I398" s="353"/>
      <c r="J398" s="353"/>
      <c r="K398" s="322"/>
      <c r="L398" s="322"/>
      <c r="M398" s="322"/>
      <c r="N398" s="323"/>
      <c r="O398" s="323"/>
    </row>
    <row r="399" spans="1:15" s="324" customFormat="1" ht="20.25">
      <c r="A399" s="341"/>
      <c r="B399" s="342"/>
      <c r="C399" s="342"/>
      <c r="D399" s="343"/>
      <c r="E399" s="182"/>
      <c r="F399" s="354"/>
      <c r="G399" s="355"/>
      <c r="H399" s="356"/>
      <c r="I399" s="356"/>
      <c r="J399" s="356"/>
      <c r="K399" s="322"/>
      <c r="L399" s="322"/>
      <c r="M399" s="322"/>
      <c r="N399" s="323"/>
      <c r="O399" s="323"/>
    </row>
    <row r="400" spans="1:15" s="324" customFormat="1" ht="18">
      <c r="A400" s="341"/>
      <c r="B400" s="342"/>
      <c r="C400" s="342"/>
      <c r="D400" s="343"/>
      <c r="E400" s="182"/>
      <c r="F400" s="357"/>
      <c r="G400" s="183"/>
      <c r="H400" s="184"/>
      <c r="I400" s="356"/>
      <c r="J400" s="356"/>
      <c r="K400" s="330"/>
      <c r="L400" s="330"/>
      <c r="M400" s="330"/>
      <c r="N400" s="323"/>
      <c r="O400" s="323"/>
    </row>
    <row r="401" spans="1:15" s="324" customFormat="1" ht="13.5">
      <c r="A401" s="341"/>
      <c r="B401" s="342"/>
      <c r="C401" s="342"/>
      <c r="D401" s="343"/>
      <c r="E401" s="182"/>
      <c r="F401" s="182"/>
      <c r="G401" s="352"/>
      <c r="H401" s="353"/>
      <c r="I401" s="353"/>
      <c r="J401" s="353"/>
      <c r="K401" s="331"/>
      <c r="L401" s="330"/>
      <c r="M401" s="330"/>
      <c r="N401" s="323"/>
      <c r="O401" s="323"/>
    </row>
    <row r="402" spans="1:15" s="324" customFormat="1" ht="13.5">
      <c r="A402" s="341"/>
      <c r="B402" s="342"/>
      <c r="C402" s="342"/>
      <c r="D402" s="343"/>
      <c r="E402" s="182"/>
      <c r="F402" s="182"/>
      <c r="G402" s="352"/>
      <c r="H402" s="353"/>
      <c r="I402" s="353"/>
      <c r="J402" s="353"/>
      <c r="K402" s="331"/>
      <c r="L402" s="330"/>
      <c r="M402" s="330"/>
      <c r="N402" s="323"/>
      <c r="O402" s="323"/>
    </row>
    <row r="403" spans="1:15" s="324" customFormat="1" ht="13.5">
      <c r="A403" s="341"/>
      <c r="B403" s="342"/>
      <c r="C403" s="342"/>
      <c r="D403" s="343"/>
      <c r="E403" s="182"/>
      <c r="F403" s="182"/>
      <c r="G403" s="352"/>
      <c r="H403" s="353"/>
      <c r="I403" s="353"/>
      <c r="J403" s="353"/>
      <c r="K403" s="330"/>
      <c r="L403" s="330"/>
      <c r="M403" s="330"/>
      <c r="N403" s="323"/>
      <c r="O403" s="323"/>
    </row>
    <row r="404" spans="1:15" s="324" customFormat="1" ht="13.5">
      <c r="A404" s="341"/>
      <c r="B404" s="342"/>
      <c r="C404" s="342"/>
      <c r="D404" s="343"/>
      <c r="E404" s="182"/>
      <c r="F404" s="358"/>
      <c r="G404" s="352"/>
      <c r="H404" s="353"/>
      <c r="I404" s="352"/>
      <c r="J404" s="353"/>
      <c r="K404" s="332"/>
      <c r="L404" s="322"/>
      <c r="M404" s="322"/>
      <c r="N404" s="323"/>
      <c r="O404" s="323"/>
    </row>
    <row r="405" spans="1:15" s="324" customFormat="1" ht="13.5">
      <c r="A405" s="341"/>
      <c r="B405" s="342"/>
      <c r="C405" s="342"/>
      <c r="D405" s="343"/>
      <c r="E405" s="182"/>
      <c r="F405" s="182"/>
      <c r="G405" s="352"/>
      <c r="H405" s="353"/>
      <c r="I405" s="353"/>
      <c r="J405" s="353"/>
      <c r="K405" s="322"/>
      <c r="L405" s="322"/>
      <c r="M405" s="322"/>
      <c r="N405" s="323"/>
      <c r="O405" s="323"/>
    </row>
    <row r="406" spans="1:15" s="324" customFormat="1" ht="13.5">
      <c r="A406" s="341"/>
      <c r="B406" s="342"/>
      <c r="C406" s="342"/>
      <c r="D406" s="343"/>
      <c r="E406" s="182"/>
      <c r="F406" s="182"/>
      <c r="G406" s="352"/>
      <c r="H406" s="353"/>
      <c r="I406" s="353"/>
      <c r="J406" s="353"/>
      <c r="K406" s="322"/>
      <c r="L406" s="322"/>
      <c r="M406" s="322"/>
      <c r="N406" s="323"/>
      <c r="O406" s="323"/>
    </row>
    <row r="407" spans="1:15" s="324" customFormat="1" ht="13.5">
      <c r="A407" s="341"/>
      <c r="B407" s="342"/>
      <c r="C407" s="342"/>
      <c r="D407" s="343"/>
      <c r="E407" s="182"/>
      <c r="F407" s="358"/>
      <c r="G407" s="352"/>
      <c r="H407" s="353"/>
      <c r="I407" s="353"/>
      <c r="J407" s="353"/>
      <c r="K407" s="322"/>
      <c r="L407" s="322"/>
      <c r="M407" s="322"/>
      <c r="N407" s="323"/>
      <c r="O407" s="323"/>
    </row>
    <row r="408" spans="1:15" s="324" customFormat="1" ht="13.5">
      <c r="A408" s="341"/>
      <c r="B408" s="342"/>
      <c r="C408" s="342"/>
      <c r="D408" s="343"/>
      <c r="E408" s="182"/>
      <c r="F408" s="182"/>
      <c r="G408" s="352"/>
      <c r="H408" s="353"/>
      <c r="I408" s="353"/>
      <c r="J408" s="353"/>
      <c r="K408" s="322"/>
      <c r="L408" s="322"/>
      <c r="M408" s="322"/>
      <c r="N408" s="323"/>
      <c r="O408" s="323"/>
    </row>
    <row r="409" spans="1:15" s="324" customFormat="1" ht="13.5">
      <c r="A409" s="341"/>
      <c r="B409" s="342"/>
      <c r="C409" s="342"/>
      <c r="D409" s="343"/>
      <c r="E409" s="182"/>
      <c r="F409" s="358"/>
      <c r="G409" s="352"/>
      <c r="H409" s="353"/>
      <c r="I409" s="353"/>
      <c r="J409" s="353"/>
      <c r="K409" s="322"/>
      <c r="L409" s="322"/>
      <c r="M409" s="322"/>
      <c r="N409" s="323"/>
      <c r="O409" s="323"/>
    </row>
    <row r="410" spans="1:15" s="324" customFormat="1" ht="13.5">
      <c r="A410" s="341"/>
      <c r="B410" s="342"/>
      <c r="C410" s="342"/>
      <c r="D410" s="343"/>
      <c r="E410" s="182"/>
      <c r="F410" s="182"/>
      <c r="G410" s="352"/>
      <c r="H410" s="353"/>
      <c r="I410" s="353"/>
      <c r="J410" s="353"/>
      <c r="K410" s="322"/>
      <c r="L410" s="322"/>
      <c r="M410" s="322"/>
      <c r="N410" s="323"/>
      <c r="O410" s="323"/>
    </row>
    <row r="411" spans="1:15" s="324" customFormat="1" ht="13.5">
      <c r="A411" s="341"/>
      <c r="B411" s="342"/>
      <c r="C411" s="342"/>
      <c r="D411" s="343"/>
      <c r="E411" s="182"/>
      <c r="F411" s="182"/>
      <c r="G411" s="352"/>
      <c r="H411" s="353"/>
      <c r="I411" s="353"/>
      <c r="J411" s="353"/>
      <c r="K411" s="322"/>
      <c r="L411" s="322"/>
      <c r="M411" s="322"/>
      <c r="N411" s="323"/>
      <c r="O411" s="323"/>
    </row>
    <row r="412" spans="1:15" s="324" customFormat="1" ht="16.5">
      <c r="A412" s="341"/>
      <c r="B412" s="342"/>
      <c r="C412" s="342"/>
      <c r="D412" s="343"/>
      <c r="E412" s="182"/>
      <c r="F412" s="182"/>
      <c r="G412" s="352"/>
      <c r="H412" s="359"/>
      <c r="I412" s="359"/>
      <c r="J412" s="359"/>
      <c r="K412" s="322"/>
      <c r="L412" s="322"/>
      <c r="M412" s="322"/>
      <c r="N412" s="323"/>
      <c r="O412" s="323"/>
    </row>
    <row r="413" spans="7:13" ht="25.5" customHeight="1">
      <c r="G413" s="390"/>
      <c r="H413" s="390"/>
      <c r="I413" s="255"/>
      <c r="J413" s="255"/>
      <c r="K413" s="186"/>
      <c r="M413" s="186"/>
    </row>
  </sheetData>
  <sheetProtection/>
  <mergeCells count="151">
    <mergeCell ref="F157:F159"/>
    <mergeCell ref="F152:F153"/>
    <mergeCell ref="E145:E146"/>
    <mergeCell ref="E157:E159"/>
    <mergeCell ref="E172:E173"/>
    <mergeCell ref="E152:E153"/>
    <mergeCell ref="E100:E107"/>
    <mergeCell ref="F145:F146"/>
    <mergeCell ref="F147:F150"/>
    <mergeCell ref="F73:F77"/>
    <mergeCell ref="F81:F97"/>
    <mergeCell ref="F69:F70"/>
    <mergeCell ref="D39:E39"/>
    <mergeCell ref="E147:E150"/>
    <mergeCell ref="E139:E144"/>
    <mergeCell ref="F139:F144"/>
    <mergeCell ref="F100:F107"/>
    <mergeCell ref="I12:J14"/>
    <mergeCell ref="F23:F24"/>
    <mergeCell ref="D17:E17"/>
    <mergeCell ref="D38:E38"/>
    <mergeCell ref="F71:F72"/>
    <mergeCell ref="D34:E34"/>
    <mergeCell ref="D19:D21"/>
    <mergeCell ref="D18:E18"/>
    <mergeCell ref="F12:F15"/>
    <mergeCell ref="D32:E32"/>
    <mergeCell ref="D205:E205"/>
    <mergeCell ref="D192:E192"/>
    <mergeCell ref="D188:D189"/>
    <mergeCell ref="D194:E194"/>
    <mergeCell ref="E167:E171"/>
    <mergeCell ref="E23:E24"/>
    <mergeCell ref="E81:E97"/>
    <mergeCell ref="E197:E199"/>
    <mergeCell ref="D122:E122"/>
    <mergeCell ref="C213:C214"/>
    <mergeCell ref="D213:D214"/>
    <mergeCell ref="E207:E208"/>
    <mergeCell ref="D195:E195"/>
    <mergeCell ref="D165:E165"/>
    <mergeCell ref="D164:E164"/>
    <mergeCell ref="C186:C189"/>
    <mergeCell ref="E186:E187"/>
    <mergeCell ref="A216:A217"/>
    <mergeCell ref="B216:B217"/>
    <mergeCell ref="C216:C217"/>
    <mergeCell ref="D216:D217"/>
    <mergeCell ref="D204:E204"/>
    <mergeCell ref="E200:E201"/>
    <mergeCell ref="A179:A181"/>
    <mergeCell ref="A19:A21"/>
    <mergeCell ref="B19:B21"/>
    <mergeCell ref="A186:A189"/>
    <mergeCell ref="A213:A214"/>
    <mergeCell ref="A184:A185"/>
    <mergeCell ref="B186:B189"/>
    <mergeCell ref="A182:A183"/>
    <mergeCell ref="A172:A173"/>
    <mergeCell ref="B213:B214"/>
    <mergeCell ref="I1:J1"/>
    <mergeCell ref="A8:J8"/>
    <mergeCell ref="A12:A15"/>
    <mergeCell ref="B12:B15"/>
    <mergeCell ref="C12:C15"/>
    <mergeCell ref="G12:G15"/>
    <mergeCell ref="I6:J6"/>
    <mergeCell ref="I2:J2"/>
    <mergeCell ref="I3:J3"/>
    <mergeCell ref="I4:J4"/>
    <mergeCell ref="K376:N376"/>
    <mergeCell ref="D330:E330"/>
    <mergeCell ref="D366:E366"/>
    <mergeCell ref="D347:E347"/>
    <mergeCell ref="D348:E348"/>
    <mergeCell ref="F356:F357"/>
    <mergeCell ref="D354:E354"/>
    <mergeCell ref="A9:J9"/>
    <mergeCell ref="A10:J10"/>
    <mergeCell ref="C19:C21"/>
    <mergeCell ref="C179:C181"/>
    <mergeCell ref="D12:D15"/>
    <mergeCell ref="H12:H15"/>
    <mergeCell ref="F125:F137"/>
    <mergeCell ref="F175:F177"/>
    <mergeCell ref="E41:E52"/>
    <mergeCell ref="E53:E67"/>
    <mergeCell ref="I5:J5"/>
    <mergeCell ref="E12:E15"/>
    <mergeCell ref="E73:E77"/>
    <mergeCell ref="D31:E31"/>
    <mergeCell ref="E356:E357"/>
    <mergeCell ref="D344:E344"/>
    <mergeCell ref="E69:E70"/>
    <mergeCell ref="D123:E123"/>
    <mergeCell ref="E125:E138"/>
    <mergeCell ref="E71:E72"/>
    <mergeCell ref="K197:K198"/>
    <mergeCell ref="E328:E329"/>
    <mergeCell ref="D220:E220"/>
    <mergeCell ref="D343:E343"/>
    <mergeCell ref="F211:F213"/>
    <mergeCell ref="E211:E213"/>
    <mergeCell ref="D317:E317"/>
    <mergeCell ref="D295:E295"/>
    <mergeCell ref="F207:F208"/>
    <mergeCell ref="E273:E274"/>
    <mergeCell ref="G413:H413"/>
    <mergeCell ref="H380:J380"/>
    <mergeCell ref="F328:F329"/>
    <mergeCell ref="D353:E353"/>
    <mergeCell ref="A380:E380"/>
    <mergeCell ref="F273:F274"/>
    <mergeCell ref="D324:E324"/>
    <mergeCell ref="D303:E303"/>
    <mergeCell ref="I382:J382"/>
    <mergeCell ref="G382:G383"/>
    <mergeCell ref="H382:H383"/>
    <mergeCell ref="A381:D381"/>
    <mergeCell ref="D373:E373"/>
    <mergeCell ref="D365:E365"/>
    <mergeCell ref="F167:F171"/>
    <mergeCell ref="F172:F173"/>
    <mergeCell ref="D296:E296"/>
    <mergeCell ref="D299:E299"/>
    <mergeCell ref="B172:B173"/>
    <mergeCell ref="C172:C173"/>
    <mergeCell ref="I381:J381"/>
    <mergeCell ref="D331:E331"/>
    <mergeCell ref="D311:E311"/>
    <mergeCell ref="D323:E323"/>
    <mergeCell ref="D318:E318"/>
    <mergeCell ref="D300:E300"/>
    <mergeCell ref="D372:E372"/>
    <mergeCell ref="D302:E302"/>
    <mergeCell ref="D221:E221"/>
    <mergeCell ref="D312:E312"/>
    <mergeCell ref="F184:F185"/>
    <mergeCell ref="F182:F183"/>
    <mergeCell ref="E182:E183"/>
    <mergeCell ref="F186:F187"/>
    <mergeCell ref="E184:E185"/>
    <mergeCell ref="F197:F199"/>
    <mergeCell ref="F200:F201"/>
    <mergeCell ref="C184:C185"/>
    <mergeCell ref="B184:B185"/>
    <mergeCell ref="D179:D181"/>
    <mergeCell ref="E175:E177"/>
    <mergeCell ref="B182:B183"/>
    <mergeCell ref="C182:C183"/>
    <mergeCell ref="B179:B181"/>
  </mergeCells>
  <printOptions horizontalCentered="1"/>
  <pageMargins left="0.7874015748031497" right="0.7874015748031497" top="0.9448818897637796" bottom="0.3937007874015748" header="0.7480314960629921" footer="0"/>
  <pageSetup fitToHeight="24" fitToWidth="1" horizontalDpi="600" verticalDpi="600" orientation="landscape" paperSize="9" scale="45" r:id="rId1"/>
  <headerFooter differentFirst="1">
    <oddHeader>&amp;C&amp;"Times New Roman,обычный"&amp;12&amp;P&amp;R&amp;"Times New Roman,обычный"&amp;12Продовження додатка 6</oddHeader>
  </headerFooter>
  <rowBreaks count="1" manualBreakCount="1">
    <brk id="3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2021-12-22T14:32:56Z</cp:lastPrinted>
  <dcterms:created xsi:type="dcterms:W3CDTF">2016-11-29T09:37:01Z</dcterms:created>
  <dcterms:modified xsi:type="dcterms:W3CDTF">2021-12-24T07:49:37Z</dcterms:modified>
  <cp:category/>
  <cp:version/>
  <cp:contentType/>
  <cp:contentStatus/>
</cp:coreProperties>
</file>