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15" yWindow="0" windowWidth="12480" windowHeight="9645" activeTab="0"/>
  </bookViews>
  <sheets>
    <sheet name="дод.7" sheetId="1" r:id="rId1"/>
  </sheets>
  <definedNames>
    <definedName name="_xlfn.AGGREGATE" hidden="1">#NAME?</definedName>
    <definedName name="_xlnm.Print_Area" localSheetId="0">'дод.7'!$A$1:$I$167</definedName>
  </definedNames>
  <calcPr fullCalcOnLoad="1"/>
</workbook>
</file>

<file path=xl/sharedStrings.xml><?xml version="1.0" encoding="utf-8"?>
<sst xmlns="http://schemas.openxmlformats.org/spreadsheetml/2006/main" count="453" uniqueCount="251">
  <si>
    <t>Про затвердження Програми благоустрою м.Дніпродзержинська на 2015-2019 роки, рішення міської ради від  26.12.2014 №1182-58/VI (зі змінами)</t>
  </si>
  <si>
    <t xml:space="preserve">Про затвердження Програми розвитку  комунального підприємства Дніпродзержинської міської ради «Комунальник» на 2015–2017 роки, рішення міської ради від 31.08.2015 № 1383-65/VI </t>
  </si>
  <si>
    <t>Загальний фонд</t>
  </si>
  <si>
    <t>Спеціальний фонд</t>
  </si>
  <si>
    <t>Код функціональної класифікації видатків та кредитування бюджету</t>
  </si>
  <si>
    <t xml:space="preserve">Всього </t>
  </si>
  <si>
    <t>Найменування місцевої (регіональної) програми</t>
  </si>
  <si>
    <t>Разом загальний та спеціальний фонди</t>
  </si>
  <si>
    <t>180404</t>
  </si>
  <si>
    <t>0411</t>
  </si>
  <si>
    <t>Код тимчасової класифікації видатків та кредитування місцевого бюджету</t>
  </si>
  <si>
    <t>Код програмної класифікації видатків та кредитування місцевого бюджету1</t>
  </si>
  <si>
    <t>Найменування згідно з типовою відомчою/типовою програмною2/тимчасовою класифікацією видатків та кредитування місцевого бюджету</t>
  </si>
  <si>
    <t>01</t>
  </si>
  <si>
    <t>Апарат місцевої ради</t>
  </si>
  <si>
    <t>120201</t>
  </si>
  <si>
    <t>0830</t>
  </si>
  <si>
    <t>Періодичні видання (газети та журнали)</t>
  </si>
  <si>
    <t>10</t>
  </si>
  <si>
    <t>0960</t>
  </si>
  <si>
    <t>0810</t>
  </si>
  <si>
    <t>1040</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</si>
  <si>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</si>
  <si>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</si>
  <si>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</si>
  <si>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</si>
  <si>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091106</t>
  </si>
  <si>
    <t>Інші видатки</t>
  </si>
  <si>
    <t>091107</t>
  </si>
  <si>
    <t>Соціальні програми і заходи державних органів у справах сім`ї</t>
  </si>
  <si>
    <t>130102</t>
  </si>
  <si>
    <t>Проведення навчально-тренувальних зборів і змагань</t>
  </si>
  <si>
    <t>130105</t>
  </si>
  <si>
    <t>Проведення навчально-тренувальних зборів і змагань та заходів з інвалідного спорту</t>
  </si>
  <si>
    <t>130106</t>
  </si>
  <si>
    <t>Проведення навчально-тренувальних зборів і змагань з неолімпійських видів спорту</t>
  </si>
  <si>
    <t>130115</t>
  </si>
  <si>
    <t>Центри `Спорт для всіх` та заходи з фізичної культури</t>
  </si>
  <si>
    <t>14</t>
  </si>
  <si>
    <t>080800</t>
  </si>
  <si>
    <t>0726</t>
  </si>
  <si>
    <t>Центри первинної медичної (медико-санітарної) допомоги</t>
  </si>
  <si>
    <t>15</t>
  </si>
  <si>
    <t>1030</t>
  </si>
  <si>
    <t>1060</t>
  </si>
  <si>
    <t>090412</t>
  </si>
  <si>
    <t>1090</t>
  </si>
  <si>
    <t>Інші видатки на соціальний захист населення</t>
  </si>
  <si>
    <t>1010</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</si>
  <si>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</si>
  <si>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</si>
  <si>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</si>
  <si>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</si>
  <si>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</si>
  <si>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</si>
  <si>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</si>
  <si>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</si>
  <si>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20</t>
  </si>
  <si>
    <t>090700</t>
  </si>
  <si>
    <t>Утримання закладів, що надають соціальні послуги дітям, які опинились в складних життєвих обставинах</t>
  </si>
  <si>
    <t>090802</t>
  </si>
  <si>
    <t>Інші програми соціального захисту дітей</t>
  </si>
  <si>
    <t>24</t>
  </si>
  <si>
    <t>110103</t>
  </si>
  <si>
    <t>0822</t>
  </si>
  <si>
    <t>Філармонії, музичні колективи і ансамблі та інші мистецькі заклади та заходи</t>
  </si>
  <si>
    <t>32</t>
  </si>
  <si>
    <t>Підтримка малого і середнього підприємництва</t>
  </si>
  <si>
    <t>45</t>
  </si>
  <si>
    <t>160101</t>
  </si>
  <si>
    <t>0421</t>
  </si>
  <si>
    <t>Землеустрій</t>
  </si>
  <si>
    <t>250404</t>
  </si>
  <si>
    <t>0133</t>
  </si>
  <si>
    <t>47</t>
  </si>
  <si>
    <t>100101</t>
  </si>
  <si>
    <t>0610</t>
  </si>
  <si>
    <t>Житлово-експлуатаційне господарство</t>
  </si>
  <si>
    <t>100203</t>
  </si>
  <si>
    <t>0620</t>
  </si>
  <si>
    <t>Благоустрій міст, сіл, селищ</t>
  </si>
  <si>
    <t>100301</t>
  </si>
  <si>
    <t>Збір та вивезення сміття і відходів, експлуатація каналізаційних систем</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</si>
  <si>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</si>
  <si>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</si>
  <si>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170703</t>
  </si>
  <si>
    <t>0456</t>
  </si>
  <si>
    <t>Видатки на проведення робіт, пов`язаних із будівництвом, реконструкцією, ремонтом та утриманням автомобільних доріг</t>
  </si>
  <si>
    <t>48</t>
  </si>
  <si>
    <t>150202</t>
  </si>
  <si>
    <t>0443</t>
  </si>
  <si>
    <t>Розробка схем та проектних рішень масового застосування</t>
  </si>
  <si>
    <t>60</t>
  </si>
  <si>
    <t>240601</t>
  </si>
  <si>
    <t>0511</t>
  </si>
  <si>
    <t>Охорона та раціональне використання природних ресурсів</t>
  </si>
  <si>
    <t>240602</t>
  </si>
  <si>
    <t>0512</t>
  </si>
  <si>
    <t>Утилізація відходів</t>
  </si>
  <si>
    <t>240603</t>
  </si>
  <si>
    <t>0513</t>
  </si>
  <si>
    <t>Ліквідація іншого забруднення навколишнього природного середовища</t>
  </si>
  <si>
    <t>240604</t>
  </si>
  <si>
    <t>0540</t>
  </si>
  <si>
    <t>Інша діяльність у сфері охорони навколишнього природного середовища</t>
  </si>
  <si>
    <t>65</t>
  </si>
  <si>
    <t>170603</t>
  </si>
  <si>
    <t>0455</t>
  </si>
  <si>
    <t>Інші заходи у сфері електротранспорту</t>
  </si>
  <si>
    <t>210105</t>
  </si>
  <si>
    <t>0320</t>
  </si>
  <si>
    <t>Видатки на запобігання та ліквідацію надзвичайних ситуацій та наслідків стихійного лиха</t>
  </si>
  <si>
    <t>73</t>
  </si>
  <si>
    <t>до рішення міської ради</t>
  </si>
  <si>
    <t>грн.</t>
  </si>
  <si>
    <t xml:space="preserve">Про затвердження Програми "Молодь Дніпродзержинська", рішення міської ради від 29.02.12 № 371-20/VI на 2012-2021 роки; Про затвердження "Програми розвитку сімейної та гендерної політики у м.Дніпродзержинську на 2012-2021 роки", рішення міської ради від 29.02.12 № 370-20/VI </t>
  </si>
  <si>
    <t>Про затвердження Програми "Молодь Дніпродзержинська", рішення міської ради від 29.02.12 № 371-20/VI на 2012-2021 роки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</si>
  <si>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</si>
  <si>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</si>
  <si>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Про затвердження "Програми розвитку сімейної та гендерної політики у м.Дніпродзержинську на 2012-2021 роки", рішення міської ради від 29.02.12 № 370-20/VI </t>
  </si>
  <si>
    <t>Проведення невідкладних відновлювальних робіт, будівництво та реконструкція  загальноосвітніх навчальних закладів</t>
  </si>
  <si>
    <t>Капiтальний ремонт житлового фонду мiсцевих органiв влади</t>
  </si>
  <si>
    <t>Капiтальнi вкладення</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</si>
  <si>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</si>
  <si>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Інші заходи у сфері автомобільного транспорту</t>
  </si>
  <si>
    <t>Х</t>
  </si>
  <si>
    <t>0921</t>
  </si>
  <si>
    <t>0490</t>
  </si>
  <si>
    <t>0451</t>
  </si>
  <si>
    <t>0470</t>
  </si>
  <si>
    <t>Програма розвитку місцевого самоврядування у м.Дніпродзержинську на 2012-2016 роки, рішення міської ради від 30.03.2012 №409-21/VI( зі змінами)</t>
  </si>
  <si>
    <t>Фінансування енергозберігаючих заходів</t>
  </si>
  <si>
    <t>Про затвердження програми імунопрофілактики та захисту населення від інфекційних хвороб у м.Дніпродзержинську на 2013-2017 роки (рішення міської ради від 27.02.2013 №677-32/УІ)</t>
  </si>
  <si>
    <t xml:space="preserve">Про затвердження Цільової комплексної програми розвитку фізичної культури і спорту в м.Дніпродзержинськ на 2012 - 2016 роки </t>
  </si>
  <si>
    <t>Проведення невідкладних відновлювальних робіт, будівництво та реконструкція  позашкільних навчальних закладів</t>
  </si>
  <si>
    <t>Секретар міської ради</t>
  </si>
  <si>
    <t>"Про затвердження програми протидії захворювання на туберкульоз у 2012-2016 роках в м.Дніпродзержинську" (рішення міської ради від 30.03.12 №408-21/УІ)</t>
  </si>
  <si>
    <t>Інші природоохоронні заходи</t>
  </si>
  <si>
    <t>Лікарні</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</si>
  <si>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</si>
  <si>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080201</t>
  </si>
  <si>
    <t>080101</t>
  </si>
  <si>
    <t>0731</t>
  </si>
  <si>
    <t>0732</t>
  </si>
  <si>
    <t>Про затвердження комплексної програми підтримки демобілізованих учасників антитерористичної операції (від 08.07.2015 №1350-64/VI)</t>
  </si>
  <si>
    <t>Про затвердження комплексної програми підтримки демобілізованих учасників антитерористичної операції  (від 08.07.2015 №1350-64/VI)</t>
  </si>
  <si>
    <t>"Про програму "Здоров"я  населення м. Дніпродзержинська на  2015-2019 роки" (рішення міської ради від 30.01.15 №1211-59/УІ)</t>
  </si>
  <si>
    <t>Про програму Здоров"я  населення м. Дніпродзержинська на  2015-2019 роки" (рішення міської ради від 30.01.15 №1211-59/УІ)</t>
  </si>
  <si>
    <t>Органи місцевого самоврядування</t>
  </si>
  <si>
    <t>0301</t>
  </si>
  <si>
    <t>Адміністрація Баглійського району</t>
  </si>
  <si>
    <t>Адміністрація Дніпровського району</t>
  </si>
  <si>
    <t>0302</t>
  </si>
  <si>
    <t>010116</t>
  </si>
  <si>
    <t>0111</t>
  </si>
  <si>
    <t>091204</t>
  </si>
  <si>
    <t>Територіальні центри соціального обслуговування (надання соціальних послуг)</t>
  </si>
  <si>
    <t>Адміністрація Заводського району</t>
  </si>
  <si>
    <t>0303</t>
  </si>
  <si>
    <t>Благоустрій міст,сіл, селищ</t>
  </si>
  <si>
    <t xml:space="preserve">Про затвердження Програми розвитку земельних відносин у м.Дніпродзержинську на 2012-2016 роки, рішення міської ради від  28.10.2011  №228-14/УІ (зі змінами) </t>
  </si>
  <si>
    <t xml:space="preserve">Програма розвитку транспортного комплексу м.Дніпродзержинська на 2012 - 2017 роки, рішення міської ради від 27.01.2012 №338-18/VІ (зі змінами) </t>
  </si>
  <si>
    <t>Перелік місцевих (регіональних) програм, які фінансуватимуться за рахунок коштів
 міського бюджету  у 2016 році</t>
  </si>
  <si>
    <t>Про схвалення проекту  Комплексної програми сприяння розвитку підприємництва в м.Дніпродзержинську на 2016–2018 роки, рішення виконавчого комітету від  23.09.2015 №170</t>
  </si>
  <si>
    <t>Про затвердження комплексної програми підтримки демобілізованих учасників антитерористичної операції, рішення міської ради від  08.07.2015 №1350-64/VI (зі змінами)</t>
  </si>
  <si>
    <t>Про міську програму містобудівної діяльності  і створення геоінформаційної  електронної містобудівної кадастрової системи м.Дніпродзержинська на 2014-2020 роки та заходів її реалізації, рішення міської ради від  29.11.2013 №943-43/VІ (зі змінами)</t>
  </si>
  <si>
    <t>Про Програму розвитку міськелектротранспорту на 2007 - 2017 роки, рішення міської ради від  20.04.2007 №180-09/У (зі змінами )</t>
  </si>
  <si>
    <t>Про затвердження Програми діяльності та фінансової підтримки комунального підприемства "Редакція газети "Відомості" Дніпродзержинської міської ради" у 2016 році</t>
  </si>
  <si>
    <t>Програма забезпечення діяльності органів самоорганізації населення в м.Дніпродзержинську на 2016-2020 роки</t>
  </si>
  <si>
    <t>"Про затвердження Програми захисту прав дітей та розвитку сімейних форм виховання у м.Дніпродзержинську на 2011-2016 роки"</t>
  </si>
  <si>
    <t xml:space="preserve">"Про затвердження Програми захисту прав дітей та розвитку сімейних форм виховання у м.Дніпродзержинську на 2011-2016 роки" </t>
  </si>
  <si>
    <t>Про заснування міської премії в галузі культури, мистецтва та туризму (рішення сесії міської ради від 29.02.2012 р. №403-20/VІ)</t>
  </si>
  <si>
    <t>"Про затвердження програми проведення міжнародного театрального фестивалю "Класика сьогодн" на 2013-2013 роки" рішення сесії міської ради від 26.04.13 №786-34/УІ)</t>
  </si>
  <si>
    <t>Театри</t>
  </si>
  <si>
    <t>Додаток 6</t>
  </si>
  <si>
    <t>О.Ю.Залевський</t>
  </si>
  <si>
    <t>Про затвердження Екологічної програми міста Дніпродзержинськ на 2016–2020 роки, рішення міської ради від  25.12.2015 №25-03/VІІ (зі змінами)</t>
  </si>
  <si>
    <t>Про затвердження програми розвитку культури  у місті Дніпродзержинську на 2016 - 2020 роки (рішення міської ради від 25.12.2015 №30-03/УІІ)</t>
  </si>
  <si>
    <t>Про затвердження Програми розвитку комунального підприємства «Дніпродзержинське комунальне автотранспортне підприємство 042802» на 2016–2019 роки, рішення міської ради від  25.12.2015 №28-03/VIІ</t>
  </si>
  <si>
    <t>Програма соціально-економічного та культурного розвитку міста на 2016рік, рішення міської ради від 25.12.15 №11-03/VІІ</t>
  </si>
  <si>
    <t xml:space="preserve">Про затвердження програми енергоефективності та зменшення споживання енергетичних ресурсів у м.Дніпродзердзержинськ на 2016 рік, рішення міської ради від  25.12.2015 №24-03/VІІ </t>
  </si>
  <si>
    <t xml:space="preserve">Про Цільову соціальну програму розвитку цивільного захисту та забезпечення пожежної безпеки в місті Дніпродзержинську на 2016 –2020 роки, рішення міської ради від 25.12.2015 №31-03/VІІ </t>
  </si>
  <si>
    <t>Про Програму безпеки та захисту населення і території від негативних наслідків надзвичайних ситуацій у місті Дніпродзержинськ на період  до 2020 року, рішення міської ради від 25.12.2015 №37-03/VII</t>
  </si>
  <si>
    <t>( у редакції рішення міської ради</t>
  </si>
  <si>
    <t>від 25.12.2015 №12-+03/УІІ)</t>
  </si>
  <si>
    <t>Програма регулювання чисельності безпритульних тварин гуманними методами та контролю за утриманням домашніх тварин в м.Дніпродзержинську на 2012-2016 роки, рішення міської ради від  30.11.2012 № 610-29/VI  (зі змінами)</t>
  </si>
  <si>
    <t>Про затвердження Програми благоустрою м.Дніпродзержинська на 2015-2019 роки, рішення міської ради від 26.12.2014 №1182-58/VI</t>
  </si>
  <si>
    <t>Програма розвитку місцевого самоврядування у м.Дніпродзержинську на 2012-2016 роки, рішення міської ради від 30.03.2012 №409-21/VI (зі змінами)</t>
  </si>
  <si>
    <t>090501</t>
  </si>
  <si>
    <t>1050</t>
  </si>
  <si>
    <t>Організація та проведення громадських робіт</t>
  </si>
  <si>
    <t>1502</t>
  </si>
  <si>
    <t>Програма зайнятості населення м.Дніпродзержинська на період до 2017 року, рішення міської ради від  27.12.2013 №980-44/VI (зі змінами)</t>
  </si>
  <si>
    <t>Теплові мережі</t>
  </si>
  <si>
    <t>Житлове будівництво та придбання житла для окремих категорій населення</t>
  </si>
  <si>
    <t>080500</t>
  </si>
  <si>
    <t>Стоматологічні поліклініки</t>
  </si>
  <si>
    <t>0180</t>
  </si>
  <si>
    <t>Інші субвенції</t>
  </si>
  <si>
    <t>Телебачення та радіомовлення</t>
  </si>
  <si>
    <t>Про затвердження Програми підтримки та розвитку муніціпального телебачення ТРК "МІС" на 2014-2016 роки від 07.03.2014 №1018-47/УІ</t>
  </si>
  <si>
    <t>Про затвердження програми підтримки сімей з території південних та східних областей України, рішення міської ради від 27.06.14 № 1079-51/УІ (зі змінами)</t>
  </si>
  <si>
    <t xml:space="preserve">Про затвердження Програми розвитку комунального підприємства Дніпродзержинської міської ради «Дніпродзержинський спецкомбінат» на 2015–2018 роки, рішення міської ради від  26.12.2014 №1183-58/VІ </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</si>
  <si>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</si>
  <si>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 xml:space="preserve">Про затвердження Програми розвитку земельних відносин у м.Дніпродзержинську на 2012-2016 роки, рішення міської ради від 28.10.2011  №228-14/УІ (зі змінами) </t>
  </si>
  <si>
    <t>Програма розвитку житлового господарства м.Дніпродзержинська на 2016-2020 роки, рішення міської ради від 26.02.16 №93-05/VII</t>
  </si>
  <si>
    <t>Про затвердження Програми "Безпечне місто Дніпродзержинськ на 2016–2020 роки", рішення міської ради від 26.02.2016 №94-05/VII</t>
  </si>
  <si>
    <t>Програма розвитку житлового господарства м.Дніпродзержинська на 2016-2020 роки, рішення міської ради від 26.02.2016 №93-05/VII</t>
  </si>
  <si>
    <t>Про затвердження Програми розвитку комунального виробничого підприємства Дніпродзержинської міської ради «Міськводоканал» на 2016–2020 роки, рішення міської ради від  26.02.2016 № 92-05/VIІ</t>
  </si>
  <si>
    <t xml:space="preserve"> Програм розвитку комунального підприємства Дніпродзержинської міської ради «Благоустрій», рішення міської ради від 26.02.2016 №100-05/VІІ  </t>
  </si>
  <si>
    <t xml:space="preserve">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від 29.01.2016 №58-04/VII </t>
  </si>
  <si>
    <t>Програма щодо створення сприятливого життєвого середовища та доступу до об'єктів соціальної інфраструктури для осіб з обмеженими фізичними можливостями та інших маломобільних груп населення на 2014–2025 роки, рішення міської ради від 29.11.2013 №944-43/VI (зі змінами)</t>
  </si>
  <si>
    <t>Програма соціально-економічного та культурного розвитку міста на 2016рік, рішення міської ради від 25.12.15 №11-03/VІІ (зі змінами)</t>
  </si>
  <si>
    <t>Програма розвитку житлового господарства м.Дніпродзержинська на 2016-2020 роки, рішення міської ради від 26.02.2016 №93-05/VII (зі змінами)</t>
  </si>
  <si>
    <t>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№58-04/VII від 29.01.2016 (зі змінами)</t>
  </si>
  <si>
    <t>0722</t>
  </si>
  <si>
    <t>Про затвердження Програми захисту прав дітей та розвитку сімейних форм виховання у м.Дніпродзержинську на 2016–2020 роки   (від 25.12.2015 №29-03/VІІ зі змінами)</t>
  </si>
  <si>
    <t>Про затвердження Програми розвитку комунального підприємства "Дніпродзержинський парк культури та відпочинку" на 2015-2020 роки, рiшення міської ради від 27.03.2015 №1274-61/VI (зізмінами)</t>
  </si>
  <si>
    <t xml:space="preserve">Субвенція іншим бюджетам на виконання інвестиційних проектів </t>
  </si>
  <si>
    <t>Управління соціального захисту населення адміністрації Дніпровського району ДМР</t>
  </si>
  <si>
    <t>Про затвердження Програми розвитку  комунального підприємства «Кіноконцертний зал «МИР» м.Дніпродзержинська на 2016 рік, рішення міської ради від 28.04.2016 №200-07/VІІ</t>
  </si>
  <si>
    <t>081002</t>
  </si>
  <si>
    <t>Інші заходи</t>
  </si>
  <si>
    <t>0763</t>
  </si>
  <si>
    <t>Водопровідно-каналізаційне господарство </t>
  </si>
  <si>
    <t>Про затвердження Програми  підтримки та сприяння розрахунків КП «Дорожник» по заробітній платі, рiшення міської ради  від 30.03.2016 №123-123-06/VІI (зі змінами)</t>
  </si>
  <si>
    <t>Субвенція з місцевого бюджету державному бюджету на виконання програм соціально-економічного та культурного розвитку регіонів</t>
  </si>
  <si>
    <t>Департамент фінансів Дніпродзержинської міської ради</t>
  </si>
  <si>
    <t>Про комплексну програму забезпечення громадського порядку та громадської безпеки у м. Дніпродзержинську на 2016-2020 року, рішення міської ради від  30.03.2016 № 132-06/VІІ (зі змінами)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</si>
  <si>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</si>
  <si>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</si>
  <si>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Програма соціального захисту населення міста на 2012-2017 роки, рішення міської ради від 28.12.2011 №286-17/VI (зі змінами)</t>
  </si>
  <si>
    <t xml:space="preserve">"Програма соціального захисту населення міста на 2012-2017 роки" (зі змінами), рішення міської ради від 28.12.2011 №286-17/VI, "Про затвердження програми підтримки сімей з території південних та східних областей України", рішення міської ради від 27.06.14 № 1079-51/VI  </t>
  </si>
  <si>
    <t>Програма розвитку та збереження зелених насаджень у м.Дніпродзержинську на 2013-2017 роки, рішення міськох ради від 30.01.2013 № 668-31/VI (зі змінами)</t>
  </si>
  <si>
    <t xml:space="preserve">від      №     </t>
  </si>
  <si>
    <t>Департамент з гуманітарних питань міської ради</t>
  </si>
  <si>
    <t>Департамент молоді та спорту</t>
  </si>
  <si>
    <t xml:space="preserve">Департамент охорони здоров’я та соціальної політики </t>
  </si>
  <si>
    <t>Департамент  з гуманітарних питань міської ради</t>
  </si>
  <si>
    <t xml:space="preserve">Про затвердження Програми розвитку та утримання комунального підприємства Дніпродзержинської міської ради «Управляюча компанія по обслуговуванню житлового фонду» на 2016–2020 роки, рішення міської ради від  17.06.2016 № 252-08/VІІ </t>
  </si>
  <si>
    <t>Департамент охорони здоровя та соціальної політики міської ради</t>
  </si>
  <si>
    <t xml:space="preserve">Управління культури міської ради </t>
  </si>
  <si>
    <t>Служба у справах дітей міської ради</t>
  </si>
  <si>
    <t>Департмент муніципальних послуг та регуляторної політики міської ради</t>
  </si>
  <si>
    <t>Департамент комунальної власності, земельних відносин та реєстрації речових прав на нерухоме майно міської ради</t>
  </si>
  <si>
    <t>Департамент житлово-комунального господарства та будівництва міської ради</t>
  </si>
  <si>
    <t>Управління містобудування та архітектури міської ради</t>
  </si>
  <si>
    <t>Управління екології та природних ресурсів Дніпродзержинської міської ради</t>
  </si>
  <si>
    <t>Управління транспортної інфраструктури та звязку міської ради</t>
  </si>
  <si>
    <t>Управління з надзвичайних ситуацій та цивільного захисту населення міської ради</t>
  </si>
  <si>
    <t>Департамент економічного розвитку міської ради</t>
  </si>
</sst>
</file>

<file path=xl/styles.xml><?xml version="1.0" encoding="utf-8"?>
<styleSheet xmlns="http://schemas.openxmlformats.org/spreadsheetml/2006/main">
  <numFmts count="4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s>
  <fonts count="47">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b/>
      <sz val="18"/>
      <color indexed="62"/>
      <name val="Cambria"/>
      <family val="2"/>
    </font>
    <font>
      <b/>
      <sz val="11"/>
      <color indexed="10"/>
      <name val="Calibri"/>
      <family val="2"/>
    </font>
    <font>
      <sz val="11"/>
      <color indexed="19"/>
      <name val="Calibri"/>
      <family val="2"/>
    </font>
    <font>
      <b/>
      <sz val="12"/>
      <name val="Times New Roman"/>
      <family val="1"/>
    </font>
    <font>
      <b/>
      <sz val="10"/>
      <name val="Times New Roman"/>
      <family val="1"/>
    </font>
    <font>
      <b/>
      <sz val="14"/>
      <name val="Times New Roman"/>
      <family val="1"/>
    </font>
    <font>
      <b/>
      <sz val="8"/>
      <name val="Times New Roman"/>
      <family val="1"/>
    </font>
    <font>
      <b/>
      <sz val="12"/>
      <color indexed="10"/>
      <name val="Times New Roman"/>
      <family val="1"/>
    </font>
    <font>
      <b/>
      <sz val="10"/>
      <color indexed="10"/>
      <name val="Times New Roman"/>
      <family val="1"/>
    </font>
    <font>
      <sz val="12"/>
      <name val="Times New Roman"/>
      <family val="1"/>
    </font>
    <font>
      <sz val="14"/>
      <name val="Times New Roman"/>
      <family val="1"/>
    </font>
    <font>
      <sz val="8"/>
      <name val="Times New Roman"/>
      <family val="1"/>
    </font>
    <font>
      <b/>
      <sz val="14"/>
      <color indexed="10"/>
      <name val="Times New Roman"/>
      <family val="1"/>
    </font>
    <font>
      <b/>
      <sz val="18"/>
      <name val="Times New Roman"/>
      <family val="1"/>
    </font>
    <font>
      <b/>
      <sz val="9"/>
      <name val="Times New Roman"/>
      <family val="1"/>
    </font>
    <font>
      <sz val="12"/>
      <color indexed="10"/>
      <name val="Times New Roman"/>
      <family val="1"/>
    </font>
    <font>
      <sz val="10"/>
      <color indexed="10"/>
      <name val="Times New Roman"/>
      <family val="1"/>
    </font>
    <font>
      <b/>
      <sz val="12"/>
      <color indexed="10"/>
      <name val="Calibri"/>
      <family val="2"/>
    </font>
    <font>
      <b/>
      <sz val="12"/>
      <name val="Calibri"/>
      <family val="2"/>
    </font>
    <font>
      <b/>
      <sz val="11"/>
      <name val="Times New Roman"/>
      <family val="1"/>
    </font>
    <font>
      <b/>
      <sz val="15"/>
      <color indexed="62"/>
      <name val="Calibri"/>
      <family val="2"/>
    </font>
    <font>
      <b/>
      <sz val="13"/>
      <color indexed="62"/>
      <name val="Calibri"/>
      <family val="2"/>
    </font>
    <font>
      <b/>
      <sz val="11"/>
      <color indexed="62"/>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25" fillId="26" borderId="1" applyNumberFormat="0" applyAlignment="0" applyProtection="0"/>
    <xf numFmtId="0" fontId="19" fillId="0" borderId="0">
      <alignment/>
      <protection/>
    </xf>
    <xf numFmtId="0" fontId="22"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26"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53">
    <xf numFmtId="0" fontId="0" fillId="0" borderId="0" xfId="0" applyAlignment="1">
      <alignment/>
    </xf>
    <xf numFmtId="3" fontId="27" fillId="0" borderId="0" xfId="0" applyNumberFormat="1" applyFont="1" applyFill="1" applyAlignment="1" applyProtection="1">
      <alignment horizontal="center" vertical="center" wrapText="1"/>
      <protection/>
    </xf>
    <xf numFmtId="1" fontId="27" fillId="0" borderId="0" xfId="0" applyNumberFormat="1" applyFont="1" applyFill="1" applyAlignment="1" applyProtection="1">
      <alignment horizontal="center" vertical="center" wrapText="1"/>
      <protection/>
    </xf>
    <xf numFmtId="0" fontId="27" fillId="0" borderId="0" xfId="0" applyFont="1" applyFill="1" applyAlignment="1">
      <alignment horizontal="center" vertical="center" wrapText="1"/>
    </xf>
    <xf numFmtId="0" fontId="28" fillId="0" borderId="0" xfId="0" applyNumberFormat="1" applyFont="1" applyFill="1" applyAlignment="1" applyProtection="1">
      <alignment horizontal="center" vertical="center" wrapText="1"/>
      <protection/>
    </xf>
    <xf numFmtId="3" fontId="29" fillId="0" borderId="0" xfId="0" applyNumberFormat="1" applyFont="1" applyFill="1" applyBorder="1" applyAlignment="1" applyProtection="1">
      <alignment horizontal="center" vertical="center" wrapText="1"/>
      <protection/>
    </xf>
    <xf numFmtId="0" fontId="28" fillId="0" borderId="0" xfId="0" applyFont="1" applyFill="1" applyAlignment="1">
      <alignment horizontal="center" vertical="center" wrapText="1"/>
    </xf>
    <xf numFmtId="0" fontId="28" fillId="4" borderId="0" xfId="0" applyFont="1" applyFill="1" applyAlignment="1">
      <alignment horizontal="center" vertical="center" wrapText="1"/>
    </xf>
    <xf numFmtId="0" fontId="32" fillId="0" borderId="0" xfId="0" applyNumberFormat="1" applyFont="1" applyFill="1" applyAlignment="1" applyProtection="1">
      <alignment horizontal="center" vertical="center" wrapText="1"/>
      <protection/>
    </xf>
    <xf numFmtId="3" fontId="31" fillId="0" borderId="12" xfId="0" applyNumberFormat="1" applyFont="1" applyFill="1" applyBorder="1" applyAlignment="1">
      <alignment horizontal="center" vertical="center" wrapText="1"/>
    </xf>
    <xf numFmtId="3" fontId="28" fillId="0" borderId="0" xfId="0" applyNumberFormat="1" applyFont="1" applyFill="1" applyAlignment="1" applyProtection="1">
      <alignment horizontal="center" vertical="center" wrapText="1"/>
      <protection/>
    </xf>
    <xf numFmtId="1" fontId="28" fillId="0" borderId="0" xfId="0" applyNumberFormat="1" applyFont="1" applyFill="1" applyAlignment="1" applyProtection="1">
      <alignment horizontal="center" vertical="center" wrapText="1"/>
      <protection/>
    </xf>
    <xf numFmtId="3" fontId="33" fillId="0" borderId="0" xfId="0" applyNumberFormat="1" applyFont="1" applyFill="1" applyAlignment="1">
      <alignment horizontal="center" vertical="center" wrapText="1"/>
    </xf>
    <xf numFmtId="3" fontId="0" fillId="0" borderId="0" xfId="0" applyNumberFormat="1" applyFont="1" applyFill="1" applyAlignment="1">
      <alignment horizontal="center" vertical="center" wrapText="1"/>
    </xf>
    <xf numFmtId="1" fontId="33" fillId="0" borderId="0" xfId="0" applyNumberFormat="1" applyFont="1" applyFill="1" applyAlignment="1" applyProtection="1">
      <alignment horizontal="center" vertical="center" wrapText="1"/>
      <protection/>
    </xf>
    <xf numFmtId="0" fontId="33" fillId="0" borderId="0" xfId="0" applyFont="1" applyFill="1" applyAlignment="1">
      <alignment horizontal="center" vertical="center" wrapText="1"/>
    </xf>
    <xf numFmtId="1" fontId="0" fillId="0" borderId="0" xfId="0" applyNumberFormat="1" applyFont="1" applyFill="1" applyAlignment="1">
      <alignment horizontal="left" vertical="center" wrapText="1"/>
    </xf>
    <xf numFmtId="1" fontId="34" fillId="0" borderId="0" xfId="0" applyNumberFormat="1" applyFont="1" applyFill="1" applyBorder="1" applyAlignment="1" applyProtection="1">
      <alignment horizontal="center" vertical="center" wrapText="1"/>
      <protection/>
    </xf>
    <xf numFmtId="0" fontId="0" fillId="0" borderId="0" xfId="0" applyFont="1" applyFill="1" applyAlignment="1">
      <alignment horizontal="center" vertical="center" wrapText="1"/>
    </xf>
    <xf numFmtId="1" fontId="35" fillId="0" borderId="0" xfId="0" applyNumberFormat="1" applyFont="1" applyFill="1" applyBorder="1" applyAlignment="1" applyProtection="1">
      <alignment horizontal="center" vertical="center" wrapText="1"/>
      <protection/>
    </xf>
    <xf numFmtId="1" fontId="33" fillId="0" borderId="0" xfId="0" applyNumberFormat="1" applyFont="1" applyFill="1" applyBorder="1" applyAlignment="1">
      <alignment horizontal="center" vertical="center" wrapText="1"/>
    </xf>
    <xf numFmtId="1" fontId="33" fillId="4" borderId="0" xfId="95" applyNumberFormat="1" applyFont="1" applyFill="1" applyBorder="1" applyAlignment="1">
      <alignment horizontal="center" vertical="center" wrapText="1"/>
      <protection/>
    </xf>
    <xf numFmtId="0" fontId="33" fillId="4" borderId="0" xfId="0" applyFont="1" applyFill="1" applyAlignment="1">
      <alignment horizontal="center" vertical="center" wrapText="1"/>
    </xf>
    <xf numFmtId="0" fontId="0" fillId="4" borderId="0" xfId="0" applyFont="1" applyFill="1" applyAlignment="1">
      <alignment horizontal="center" vertical="center" wrapText="1"/>
    </xf>
    <xf numFmtId="1" fontId="33" fillId="0" borderId="0" xfId="95" applyNumberFormat="1" applyFont="1" applyFill="1" applyBorder="1" applyAlignment="1">
      <alignment horizontal="center" vertical="center" wrapText="1"/>
      <protection/>
    </xf>
    <xf numFmtId="1" fontId="0" fillId="0" borderId="0" xfId="0" applyNumberFormat="1" applyFont="1" applyFill="1" applyAlignment="1" applyProtection="1">
      <alignment horizontal="center" vertical="center" wrapText="1"/>
      <protection/>
    </xf>
    <xf numFmtId="3" fontId="28" fillId="0" borderId="0" xfId="0" applyNumberFormat="1" applyFont="1" applyFill="1" applyAlignment="1">
      <alignment horizontal="left" vertical="center" wrapText="1"/>
    </xf>
    <xf numFmtId="0" fontId="28" fillId="0" borderId="0" xfId="0" applyFont="1" applyAlignment="1">
      <alignment horizontal="left" vertical="center" wrapText="1"/>
    </xf>
    <xf numFmtId="4" fontId="0" fillId="0" borderId="0" xfId="0" applyNumberFormat="1" applyFont="1" applyFill="1" applyAlignment="1">
      <alignment horizontal="center" vertical="center" wrapText="1"/>
    </xf>
    <xf numFmtId="3" fontId="30" fillId="0" borderId="0" xfId="0" applyNumberFormat="1" applyFont="1" applyFill="1" applyBorder="1" applyAlignment="1" applyProtection="1">
      <alignment horizontal="center" vertical="center" wrapText="1"/>
      <protection/>
    </xf>
    <xf numFmtId="3" fontId="27" fillId="0" borderId="0" xfId="0" applyNumberFormat="1" applyFont="1" applyFill="1" applyBorder="1" applyAlignment="1">
      <alignment horizontal="center" vertical="center" wrapText="1"/>
    </xf>
    <xf numFmtId="3" fontId="27" fillId="4" borderId="0" xfId="95" applyNumberFormat="1" applyFont="1" applyFill="1" applyBorder="1" applyAlignment="1">
      <alignment horizontal="center" vertical="center" wrapText="1"/>
      <protection/>
    </xf>
    <xf numFmtId="3" fontId="27" fillId="0" borderId="0" xfId="95" applyNumberFormat="1" applyFont="1" applyFill="1" applyBorder="1" applyAlignment="1">
      <alignment horizontal="center" vertical="center" wrapText="1"/>
      <protection/>
    </xf>
    <xf numFmtId="3" fontId="27" fillId="4" borderId="0" xfId="0" applyNumberFormat="1" applyFont="1" applyFill="1" applyBorder="1" applyAlignment="1">
      <alignment horizontal="center" vertical="center" wrapText="1"/>
    </xf>
    <xf numFmtId="4" fontId="33" fillId="0" borderId="0" xfId="0" applyNumberFormat="1" applyFont="1" applyFill="1" applyAlignment="1">
      <alignment horizontal="center" vertical="center" wrapText="1"/>
    </xf>
    <xf numFmtId="3" fontId="31" fillId="0" borderId="12" xfId="0" applyNumberFormat="1" applyFont="1" applyFill="1" applyBorder="1" applyAlignment="1" applyProtection="1">
      <alignment horizontal="center" vertical="center" wrapText="1"/>
      <protection/>
    </xf>
    <xf numFmtId="0" fontId="31" fillId="0" borderId="0" xfId="0" applyNumberFormat="1" applyFont="1" applyFill="1" applyAlignment="1" applyProtection="1">
      <alignment horizontal="center" vertical="center" wrapText="1"/>
      <protection/>
    </xf>
    <xf numFmtId="3" fontId="36" fillId="0" borderId="0" xfId="0" applyNumberFormat="1" applyFont="1" applyFill="1" applyBorder="1" applyAlignment="1" applyProtection="1">
      <alignment horizontal="center" vertical="center" wrapText="1"/>
      <protection/>
    </xf>
    <xf numFmtId="3" fontId="36" fillId="0" borderId="13" xfId="0" applyNumberFormat="1" applyFont="1" applyFill="1" applyBorder="1" applyAlignment="1" applyProtection="1">
      <alignment horizontal="center" vertical="center" wrapText="1"/>
      <protection/>
    </xf>
    <xf numFmtId="1" fontId="32" fillId="0" borderId="13" xfId="0" applyNumberFormat="1" applyFont="1" applyFill="1" applyBorder="1" applyAlignment="1">
      <alignment horizontal="center" vertical="center" wrapText="1"/>
    </xf>
    <xf numFmtId="3" fontId="32" fillId="0" borderId="0" xfId="0" applyNumberFormat="1" applyFont="1" applyFill="1" applyBorder="1" applyAlignment="1">
      <alignment horizontal="center" vertical="center" wrapText="1"/>
    </xf>
    <xf numFmtId="0" fontId="32" fillId="0" borderId="0" xfId="0" applyNumberFormat="1" applyFont="1" applyFill="1" applyBorder="1" applyAlignment="1" applyProtection="1">
      <alignment horizontal="center" vertical="center" wrapText="1"/>
      <protection/>
    </xf>
    <xf numFmtId="0" fontId="32" fillId="4" borderId="0" xfId="0" applyNumberFormat="1" applyFont="1" applyFill="1" applyAlignment="1" applyProtection="1">
      <alignment horizontal="center" vertical="center" wrapText="1"/>
      <protection/>
    </xf>
    <xf numFmtId="3" fontId="27" fillId="0" borderId="12" xfId="0" applyNumberFormat="1" applyFont="1" applyFill="1" applyBorder="1" applyAlignment="1">
      <alignment horizontal="center" vertical="center" wrapText="1"/>
    </xf>
    <xf numFmtId="1" fontId="27" fillId="0" borderId="12" xfId="0" applyNumberFormat="1" applyFont="1" applyFill="1" applyBorder="1" applyAlignment="1" quotePrefix="1">
      <alignment horizontal="center" vertical="center" wrapText="1"/>
    </xf>
    <xf numFmtId="3" fontId="27" fillId="0" borderId="12" xfId="95" applyNumberFormat="1" applyFont="1" applyFill="1" applyBorder="1" applyAlignment="1">
      <alignment horizontal="center" vertical="center" wrapText="1"/>
      <protection/>
    </xf>
    <xf numFmtId="3" fontId="27" fillId="0" borderId="12" xfId="0" applyNumberFormat="1" applyFont="1" applyFill="1" applyBorder="1" applyAlignment="1" applyProtection="1">
      <alignment horizontal="center" vertical="center" wrapText="1"/>
      <protection/>
    </xf>
    <xf numFmtId="1" fontId="27" fillId="0" borderId="12" xfId="0" applyNumberFormat="1" applyFont="1" applyFill="1" applyBorder="1" applyAlignment="1">
      <alignment horizontal="center" vertical="center" wrapText="1"/>
    </xf>
    <xf numFmtId="0" fontId="27" fillId="0" borderId="12" xfId="0" applyFont="1" applyBorder="1" applyAlignment="1" quotePrefix="1">
      <alignment horizontal="center" vertical="center" wrapText="1"/>
    </xf>
    <xf numFmtId="2" fontId="27" fillId="0" borderId="12" xfId="0" applyNumberFormat="1" applyFont="1" applyBorder="1" applyAlignment="1" quotePrefix="1">
      <alignment horizontal="center" vertical="center" wrapText="1"/>
    </xf>
    <xf numFmtId="49" fontId="27" fillId="0" borderId="12" xfId="0" applyNumberFormat="1" applyFont="1" applyFill="1" applyBorder="1" applyAlignment="1">
      <alignment horizontal="center" vertical="center" wrapText="1"/>
    </xf>
    <xf numFmtId="3" fontId="27" fillId="4" borderId="12" xfId="0" applyNumberFormat="1" applyFont="1" applyFill="1" applyBorder="1" applyAlignment="1">
      <alignment horizontal="center" vertical="center" wrapText="1"/>
    </xf>
    <xf numFmtId="192" fontId="27" fillId="0" borderId="12" xfId="95" applyNumberFormat="1" applyFont="1" applyFill="1" applyBorder="1" applyAlignment="1">
      <alignment horizontal="center" vertical="top" wrapText="1"/>
      <protection/>
    </xf>
    <xf numFmtId="1" fontId="27" fillId="4" borderId="12" xfId="0" applyNumberFormat="1" applyFont="1" applyFill="1" applyBorder="1" applyAlignment="1" quotePrefix="1">
      <alignment horizontal="center" vertical="center" wrapText="1"/>
    </xf>
    <xf numFmtId="3" fontId="27" fillId="4" borderId="12" xfId="95" applyNumberFormat="1" applyFont="1" applyFill="1" applyBorder="1" applyAlignment="1">
      <alignment horizontal="center" vertical="center" wrapText="1"/>
      <protection/>
    </xf>
    <xf numFmtId="3" fontId="27" fillId="4" borderId="12" xfId="0" applyNumberFormat="1" applyFont="1" applyFill="1" applyBorder="1" applyAlignment="1" quotePrefix="1">
      <alignment horizontal="center" vertical="center" wrapText="1"/>
    </xf>
    <xf numFmtId="1" fontId="27" fillId="4" borderId="12" xfId="0" applyNumberFormat="1" applyFont="1" applyFill="1" applyBorder="1" applyAlignment="1">
      <alignment horizontal="center" vertical="center" wrapText="1"/>
    </xf>
    <xf numFmtId="0" fontId="28" fillId="4" borderId="0" xfId="0" applyNumberFormat="1" applyFont="1" applyFill="1" applyAlignment="1" applyProtection="1">
      <alignment horizontal="center" vertical="center" wrapText="1"/>
      <protection/>
    </xf>
    <xf numFmtId="1" fontId="27" fillId="0" borderId="14" xfId="0" applyNumberFormat="1" applyFont="1" applyFill="1" applyBorder="1" applyAlignment="1" quotePrefix="1">
      <alignment horizontal="center" vertical="center" wrapText="1"/>
    </xf>
    <xf numFmtId="3" fontId="27" fillId="0" borderId="12" xfId="0" applyNumberFormat="1" applyFont="1" applyBorder="1" applyAlignment="1">
      <alignment horizontal="center" vertical="center" wrapText="1"/>
    </xf>
    <xf numFmtId="3" fontId="27" fillId="26" borderId="12" xfId="0" applyNumberFormat="1" applyFont="1" applyFill="1" applyBorder="1" applyAlignment="1">
      <alignment horizontal="center" vertical="center" wrapText="1"/>
    </xf>
    <xf numFmtId="3" fontId="27" fillId="26" borderId="12" xfId="95" applyNumberFormat="1" applyFont="1" applyFill="1" applyBorder="1" applyAlignment="1">
      <alignment horizontal="center" vertical="center" wrapText="1"/>
      <protection/>
    </xf>
    <xf numFmtId="3" fontId="28" fillId="0" borderId="0" xfId="0" applyNumberFormat="1" applyFont="1" applyFill="1" applyAlignment="1">
      <alignment horizontal="center" vertical="center" wrapText="1"/>
    </xf>
    <xf numFmtId="3" fontId="38" fillId="0" borderId="12" xfId="0" applyNumberFormat="1" applyFont="1" applyFill="1" applyBorder="1" applyAlignment="1">
      <alignment horizontal="center" vertical="center" wrapText="1"/>
    </xf>
    <xf numFmtId="1" fontId="38" fillId="0" borderId="12" xfId="0" applyNumberFormat="1" applyFont="1" applyFill="1" applyBorder="1" applyAlignment="1">
      <alignment horizontal="center" vertical="center" wrapText="1"/>
    </xf>
    <xf numFmtId="0" fontId="27" fillId="4" borderId="12" xfId="0" applyFont="1" applyFill="1" applyBorder="1" applyAlignment="1" quotePrefix="1">
      <alignment horizontal="center" vertical="center" wrapText="1"/>
    </xf>
    <xf numFmtId="49" fontId="27" fillId="0" borderId="12" xfId="0" applyNumberFormat="1" applyFont="1" applyFill="1" applyBorder="1" applyAlignment="1" quotePrefix="1">
      <alignment horizontal="center" vertical="center" wrapText="1"/>
    </xf>
    <xf numFmtId="4" fontId="33" fillId="4" borderId="0" xfId="0" applyNumberFormat="1" applyFont="1" applyFill="1" applyBorder="1" applyAlignment="1">
      <alignment horizontal="center" vertical="center" wrapText="1"/>
    </xf>
    <xf numFmtId="3" fontId="30" fillId="0" borderId="13" xfId="0" applyNumberFormat="1" applyFont="1" applyFill="1" applyBorder="1" applyAlignment="1" applyProtection="1">
      <alignment horizontal="center" vertical="center" wrapText="1"/>
      <protection/>
    </xf>
    <xf numFmtId="0" fontId="36" fillId="0" borderId="0" xfId="0" applyFont="1" applyFill="1" applyAlignment="1">
      <alignment horizontal="center" vertical="center" wrapText="1"/>
    </xf>
    <xf numFmtId="3" fontId="29" fillId="0" borderId="0" xfId="0" applyNumberFormat="1" applyFont="1" applyFill="1" applyAlignment="1">
      <alignment horizontal="center" vertical="center" wrapText="1"/>
    </xf>
    <xf numFmtId="1" fontId="34" fillId="0" borderId="0" xfId="0" applyNumberFormat="1" applyFont="1" applyFill="1" applyAlignment="1">
      <alignment horizontal="center" vertical="center" wrapText="1"/>
    </xf>
    <xf numFmtId="0" fontId="34" fillId="0" borderId="0" xfId="0" applyFont="1" applyFill="1" applyAlignment="1">
      <alignment horizontal="center" vertical="center" wrapText="1"/>
    </xf>
    <xf numFmtId="0" fontId="29" fillId="0" borderId="0" xfId="0" applyFont="1" applyFill="1" applyAlignment="1">
      <alignment horizontal="center" vertical="center" wrapText="1"/>
    </xf>
    <xf numFmtId="3" fontId="27" fillId="0" borderId="15" xfId="0" applyNumberFormat="1" applyFont="1" applyFill="1" applyBorder="1" applyAlignment="1">
      <alignment horizontal="center" vertical="center" wrapText="1"/>
    </xf>
    <xf numFmtId="0" fontId="27" fillId="0" borderId="14" xfId="0" applyFont="1" applyBorder="1" applyAlignment="1">
      <alignment horizontal="center" vertical="center" wrapText="1"/>
    </xf>
    <xf numFmtId="3" fontId="27" fillId="0" borderId="16" xfId="0" applyNumberFormat="1" applyFont="1" applyBorder="1" applyAlignment="1">
      <alignment horizontal="center" vertical="center" wrapText="1"/>
    </xf>
    <xf numFmtId="3" fontId="27" fillId="0" borderId="12" xfId="95" applyNumberFormat="1" applyFont="1" applyFill="1" applyBorder="1" applyAlignment="1">
      <alignment horizontal="center" vertical="center"/>
      <protection/>
    </xf>
    <xf numFmtId="3" fontId="27" fillId="0" borderId="14" xfId="0" applyNumberFormat="1" applyFont="1" applyBorder="1" applyAlignment="1">
      <alignment vertical="center" wrapText="1"/>
    </xf>
    <xf numFmtId="192" fontId="27" fillId="0" borderId="12" xfId="95" applyNumberFormat="1" applyFont="1" applyFill="1" applyBorder="1" applyAlignment="1">
      <alignment horizontal="center" vertical="center" wrapText="1"/>
      <protection/>
    </xf>
    <xf numFmtId="3" fontId="27" fillId="0" borderId="12" xfId="0" applyNumberFormat="1" applyFont="1" applyFill="1" applyBorder="1" applyAlignment="1">
      <alignment horizontal="center" vertical="center"/>
    </xf>
    <xf numFmtId="0" fontId="28" fillId="0" borderId="0" xfId="0" applyNumberFormat="1" applyFont="1" applyFill="1" applyAlignment="1" applyProtection="1">
      <alignment vertical="center" wrapText="1"/>
      <protection/>
    </xf>
    <xf numFmtId="0" fontId="27" fillId="0" borderId="14" xfId="0" applyFont="1" applyFill="1" applyBorder="1" applyAlignment="1">
      <alignment horizontal="center" vertical="center" wrapText="1"/>
    </xf>
    <xf numFmtId="49" fontId="27" fillId="4" borderId="12" xfId="0" applyNumberFormat="1" applyFont="1" applyFill="1" applyBorder="1" applyAlignment="1">
      <alignment horizontal="center" vertical="center" wrapText="1"/>
    </xf>
    <xf numFmtId="49" fontId="27" fillId="0" borderId="16" xfId="0" applyNumberFormat="1" applyFont="1" applyFill="1" applyBorder="1" applyAlignment="1">
      <alignment horizontal="center" vertical="center" wrapText="1"/>
    </xf>
    <xf numFmtId="3" fontId="27" fillId="0" borderId="16" xfId="0" applyNumberFormat="1" applyFont="1" applyFill="1" applyBorder="1" applyAlignment="1">
      <alignment horizontal="center" vertical="center" wrapText="1"/>
    </xf>
    <xf numFmtId="3" fontId="31" fillId="0" borderId="0" xfId="95" applyNumberFormat="1" applyFont="1" applyFill="1" applyBorder="1" applyAlignment="1">
      <alignment horizontal="center" vertical="center" wrapText="1"/>
      <protection/>
    </xf>
    <xf numFmtId="1" fontId="39" fillId="0" borderId="0" xfId="95" applyNumberFormat="1" applyFont="1" applyFill="1" applyBorder="1" applyAlignment="1">
      <alignment horizontal="center" vertical="center" wrapText="1"/>
      <protection/>
    </xf>
    <xf numFmtId="0" fontId="39" fillId="0" borderId="0" xfId="0" applyFont="1" applyFill="1" applyAlignment="1">
      <alignment horizontal="center" vertical="center" wrapText="1"/>
    </xf>
    <xf numFmtId="0" fontId="40" fillId="0" borderId="0" xfId="0" applyFont="1" applyFill="1" applyAlignment="1">
      <alignment horizontal="center" vertical="center" wrapText="1"/>
    </xf>
    <xf numFmtId="0" fontId="32" fillId="0" borderId="0" xfId="0" applyFont="1" applyFill="1" applyAlignment="1">
      <alignment horizontal="center" vertical="center" wrapText="1"/>
    </xf>
    <xf numFmtId="0" fontId="0" fillId="0" borderId="0" xfId="0" applyFont="1" applyFill="1" applyAlignment="1">
      <alignment horizontal="center" vertical="center" wrapText="1"/>
    </xf>
    <xf numFmtId="3" fontId="27" fillId="0" borderId="12" xfId="0" applyNumberFormat="1" applyFont="1" applyFill="1" applyBorder="1" applyAlignment="1" quotePrefix="1">
      <alignment horizontal="center" vertical="center" wrapText="1"/>
    </xf>
    <xf numFmtId="3" fontId="27" fillId="0" borderId="14" xfId="0" applyNumberFormat="1" applyFont="1" applyFill="1" applyBorder="1" applyAlignment="1" applyProtection="1">
      <alignment horizontal="center" vertical="center" wrapText="1"/>
      <protection/>
    </xf>
    <xf numFmtId="0" fontId="27" fillId="0" borderId="12" xfId="0" applyFont="1" applyBorder="1" applyAlignment="1">
      <alignment horizontal="center" vertical="center" wrapText="1"/>
    </xf>
    <xf numFmtId="3" fontId="27" fillId="0" borderId="14" xfId="0" applyNumberFormat="1" applyFont="1" applyFill="1" applyBorder="1" applyAlignment="1">
      <alignment horizontal="center" vertical="center" wrapText="1"/>
    </xf>
    <xf numFmtId="3" fontId="32" fillId="0" borderId="13" xfId="0" applyNumberFormat="1" applyFont="1" applyFill="1" applyBorder="1" applyAlignment="1">
      <alignment horizontal="center" vertical="center" wrapText="1"/>
    </xf>
    <xf numFmtId="2" fontId="27" fillId="0" borderId="12" xfId="0" applyNumberFormat="1" applyFont="1" applyBorder="1" applyAlignment="1">
      <alignment horizontal="center" vertical="center" wrapText="1"/>
    </xf>
    <xf numFmtId="2" fontId="27" fillId="0" borderId="12" xfId="0" applyNumberFormat="1" applyFont="1" applyFill="1" applyBorder="1" applyAlignment="1">
      <alignment horizontal="center" vertical="center" wrapText="1"/>
    </xf>
    <xf numFmtId="4" fontId="27" fillId="4" borderId="12" xfId="95" applyNumberFormat="1" applyFont="1" applyFill="1" applyBorder="1" applyAlignment="1">
      <alignment horizontal="center" vertical="center" wrapText="1"/>
      <protection/>
    </xf>
    <xf numFmtId="4" fontId="27" fillId="0" borderId="12" xfId="0" applyNumberFormat="1" applyFont="1" applyFill="1" applyBorder="1" applyAlignment="1" applyProtection="1">
      <alignment horizontal="center" vertical="center" wrapText="1"/>
      <protection/>
    </xf>
    <xf numFmtId="2" fontId="42" fillId="0" borderId="12" xfId="0" applyNumberFormat="1" applyFont="1" applyBorder="1" applyAlignment="1">
      <alignment vertical="center" wrapText="1"/>
    </xf>
    <xf numFmtId="0" fontId="42" fillId="0" borderId="12" xfId="0" applyFont="1" applyBorder="1" applyAlignment="1" quotePrefix="1">
      <alignment horizontal="center" vertical="center" wrapText="1"/>
    </xf>
    <xf numFmtId="2" fontId="42" fillId="0" borderId="12" xfId="0" applyNumberFormat="1" applyFont="1" applyBorder="1" applyAlignment="1" quotePrefix="1">
      <alignment horizontal="center" vertical="center" wrapText="1"/>
    </xf>
    <xf numFmtId="0" fontId="28" fillId="0" borderId="12" xfId="0" applyFont="1" applyFill="1" applyBorder="1" applyAlignment="1">
      <alignment horizontal="center" vertical="center"/>
    </xf>
    <xf numFmtId="0" fontId="43" fillId="0" borderId="0" xfId="0" applyFont="1" applyFill="1" applyAlignment="1">
      <alignment horizontal="center" vertical="center" wrapText="1"/>
    </xf>
    <xf numFmtId="1" fontId="27" fillId="4" borderId="14" xfId="0" applyNumberFormat="1" applyFont="1" applyFill="1" applyBorder="1" applyAlignment="1">
      <alignment horizontal="center" vertical="center"/>
    </xf>
    <xf numFmtId="4" fontId="27" fillId="4" borderId="12" xfId="0" applyNumberFormat="1" applyFont="1" applyFill="1" applyBorder="1" applyAlignment="1">
      <alignment horizontal="center" vertical="center" wrapText="1"/>
    </xf>
    <xf numFmtId="3" fontId="28" fillId="0" borderId="0" xfId="0" applyNumberFormat="1" applyFont="1" applyFill="1" applyAlignment="1">
      <alignment horizontal="left" vertical="center" wrapText="1"/>
    </xf>
    <xf numFmtId="3" fontId="28" fillId="0" borderId="0" xfId="0" applyNumberFormat="1" applyFont="1" applyAlignment="1">
      <alignment horizontal="left" vertical="center" wrapText="1"/>
    </xf>
    <xf numFmtId="3" fontId="27" fillId="4" borderId="17" xfId="0" applyNumberFormat="1" applyFont="1" applyFill="1" applyBorder="1" applyAlignment="1" quotePrefix="1">
      <alignment horizontal="center" vertical="center" wrapText="1"/>
    </xf>
    <xf numFmtId="3" fontId="27" fillId="4" borderId="18" xfId="0" applyNumberFormat="1" applyFont="1" applyFill="1" applyBorder="1" applyAlignment="1" quotePrefix="1">
      <alignment horizontal="center" vertical="center" wrapText="1"/>
    </xf>
    <xf numFmtId="3" fontId="27" fillId="0" borderId="14" xfId="0" applyNumberFormat="1" applyFont="1" applyBorder="1" applyAlignment="1">
      <alignment horizontal="center" vertical="center" wrapText="1"/>
    </xf>
    <xf numFmtId="1" fontId="27" fillId="0" borderId="12" xfId="0" applyNumberFormat="1" applyFont="1" applyFill="1" applyBorder="1" applyAlignment="1" quotePrefix="1">
      <alignment horizontal="center" vertical="center" wrapText="1"/>
    </xf>
    <xf numFmtId="3" fontId="27" fillId="0" borderId="12" xfId="0" applyNumberFormat="1" applyFont="1" applyFill="1" applyBorder="1" applyAlignment="1">
      <alignment horizontal="center" vertical="center" wrapText="1"/>
    </xf>
    <xf numFmtId="3" fontId="27" fillId="0" borderId="12" xfId="0" applyNumberFormat="1" applyFont="1" applyBorder="1" applyAlignment="1">
      <alignment vertical="center" wrapText="1"/>
    </xf>
    <xf numFmtId="3" fontId="27" fillId="0" borderId="14" xfId="0" applyNumberFormat="1" applyFont="1" applyBorder="1" applyAlignment="1">
      <alignment vertical="center" wrapText="1"/>
    </xf>
    <xf numFmtId="49" fontId="27" fillId="0" borderId="14" xfId="0" applyNumberFormat="1" applyFont="1" applyFill="1" applyBorder="1" applyAlignment="1">
      <alignment horizontal="center" vertical="center" wrapText="1"/>
    </xf>
    <xf numFmtId="49" fontId="27" fillId="0" borderId="16" xfId="0" applyNumberFormat="1" applyFont="1" applyFill="1" applyBorder="1" applyAlignment="1">
      <alignment horizontal="center" vertical="center" wrapText="1"/>
    </xf>
    <xf numFmtId="3" fontId="27" fillId="0" borderId="14" xfId="0" applyNumberFormat="1" applyFont="1" applyFill="1" applyBorder="1" applyAlignment="1" applyProtection="1">
      <alignment horizontal="center" vertical="center" wrapText="1"/>
      <protection/>
    </xf>
    <xf numFmtId="3" fontId="27" fillId="0" borderId="15" xfId="0" applyNumberFormat="1" applyFont="1" applyFill="1" applyBorder="1" applyAlignment="1" applyProtection="1">
      <alignment horizontal="center" vertical="center" wrapText="1"/>
      <protection/>
    </xf>
    <xf numFmtId="3" fontId="27" fillId="0" borderId="16" xfId="0" applyNumberFormat="1" applyFont="1" applyFill="1" applyBorder="1" applyAlignment="1" applyProtection="1">
      <alignment horizontal="center" vertical="center" wrapText="1"/>
      <protection/>
    </xf>
    <xf numFmtId="3" fontId="27" fillId="0" borderId="12" xfId="0" applyNumberFormat="1" applyFont="1" applyBorder="1" applyAlignment="1">
      <alignment horizontal="center" vertical="center" wrapText="1"/>
    </xf>
    <xf numFmtId="3" fontId="27" fillId="4" borderId="12" xfId="0" applyNumberFormat="1" applyFont="1" applyFill="1" applyBorder="1" applyAlignment="1">
      <alignment horizontal="center" vertical="center" wrapText="1"/>
    </xf>
    <xf numFmtId="3" fontId="27" fillId="4" borderId="12" xfId="0" applyNumberFormat="1" applyFont="1" applyFill="1" applyBorder="1" applyAlignment="1" quotePrefix="1">
      <alignment horizontal="center" vertical="center" wrapText="1"/>
    </xf>
    <xf numFmtId="0" fontId="27" fillId="0" borderId="12" xfId="0" applyFont="1" applyBorder="1" applyAlignment="1">
      <alignment horizontal="center" vertical="center" wrapText="1"/>
    </xf>
    <xf numFmtId="0" fontId="27" fillId="0" borderId="14" xfId="0" applyFont="1" applyBorder="1" applyAlignment="1">
      <alignment horizontal="center" vertical="center" wrapText="1"/>
    </xf>
    <xf numFmtId="2" fontId="31" fillId="4" borderId="17" xfId="0" applyNumberFormat="1" applyFont="1" applyFill="1" applyBorder="1" applyAlignment="1" quotePrefix="1">
      <alignment horizontal="center" vertical="center" wrapText="1"/>
    </xf>
    <xf numFmtId="0" fontId="0" fillId="0" borderId="18" xfId="0" applyBorder="1" applyAlignment="1">
      <alignment/>
    </xf>
    <xf numFmtId="3" fontId="31" fillId="4" borderId="17" xfId="0" applyNumberFormat="1" applyFont="1" applyFill="1" applyBorder="1" applyAlignment="1" quotePrefix="1">
      <alignment horizontal="center" vertical="center" wrapText="1"/>
    </xf>
    <xf numFmtId="2" fontId="27" fillId="4" borderId="17" xfId="0" applyNumberFormat="1" applyFont="1" applyFill="1" applyBorder="1" applyAlignment="1">
      <alignment horizontal="center" vertical="center" wrapText="1"/>
    </xf>
    <xf numFmtId="2" fontId="27" fillId="4" borderId="18" xfId="0" applyNumberFormat="1" applyFont="1" applyFill="1" applyBorder="1" applyAlignment="1">
      <alignment horizontal="center" vertical="center" wrapText="1"/>
    </xf>
    <xf numFmtId="1" fontId="27" fillId="0" borderId="14" xfId="0" applyNumberFormat="1" applyFont="1" applyFill="1" applyBorder="1" applyAlignment="1" quotePrefix="1">
      <alignment horizontal="center" vertical="center" wrapText="1"/>
    </xf>
    <xf numFmtId="1" fontId="27" fillId="0" borderId="16" xfId="0" applyNumberFormat="1" applyFont="1" applyFill="1" applyBorder="1" applyAlignment="1" quotePrefix="1">
      <alignment horizontal="center" vertical="center" wrapText="1"/>
    </xf>
    <xf numFmtId="3" fontId="27" fillId="0" borderId="14" xfId="0" applyNumberFormat="1" applyFont="1" applyFill="1" applyBorder="1" applyAlignment="1">
      <alignment horizontal="center" vertical="center" wrapText="1"/>
    </xf>
    <xf numFmtId="3" fontId="27" fillId="0" borderId="16" xfId="0" applyNumberFormat="1" applyFont="1" applyFill="1" applyBorder="1" applyAlignment="1">
      <alignment horizontal="center" vertical="center" wrapText="1"/>
    </xf>
    <xf numFmtId="3" fontId="31" fillId="0" borderId="0" xfId="0" applyNumberFormat="1" applyFont="1" applyFill="1" applyAlignment="1" applyProtection="1">
      <alignment horizontal="center" vertical="center" wrapText="1"/>
      <protection/>
    </xf>
    <xf numFmtId="3" fontId="37" fillId="0" borderId="0" xfId="0" applyNumberFormat="1" applyFont="1" applyFill="1" applyBorder="1" applyAlignment="1" applyProtection="1">
      <alignment horizontal="center" vertical="center" wrapText="1"/>
      <protection/>
    </xf>
    <xf numFmtId="3" fontId="29" fillId="0" borderId="0" xfId="0" applyNumberFormat="1" applyFont="1" applyFill="1" applyBorder="1" applyAlignment="1" applyProtection="1">
      <alignment horizontal="center" vertical="center" wrapText="1"/>
      <protection/>
    </xf>
    <xf numFmtId="3" fontId="27" fillId="0" borderId="16" xfId="0" applyNumberFormat="1" applyFont="1" applyBorder="1" applyAlignment="1">
      <alignment horizontal="center" vertical="center" wrapText="1"/>
    </xf>
    <xf numFmtId="1" fontId="27" fillId="0" borderId="15" xfId="0" applyNumberFormat="1" applyFont="1" applyFill="1" applyBorder="1" applyAlignment="1" quotePrefix="1">
      <alignment horizontal="center" vertical="center" wrapText="1"/>
    </xf>
    <xf numFmtId="3" fontId="27" fillId="4" borderId="17" xfId="0" applyNumberFormat="1" applyFont="1" applyFill="1" applyBorder="1" applyAlignment="1">
      <alignment horizontal="center" vertical="center" wrapText="1"/>
    </xf>
    <xf numFmtId="3" fontId="27" fillId="4" borderId="18" xfId="0" applyNumberFormat="1" applyFont="1" applyFill="1" applyBorder="1" applyAlignment="1">
      <alignment horizontal="center" vertical="center" wrapText="1"/>
    </xf>
    <xf numFmtId="3" fontId="27" fillId="0" borderId="14" xfId="95" applyNumberFormat="1" applyFont="1" applyFill="1" applyBorder="1" applyAlignment="1">
      <alignment horizontal="center" vertical="center" wrapText="1"/>
      <protection/>
    </xf>
    <xf numFmtId="3" fontId="27" fillId="0" borderId="16" xfId="95" applyNumberFormat="1" applyFont="1" applyFill="1" applyBorder="1" applyAlignment="1">
      <alignment horizontal="center" vertical="center" wrapText="1"/>
      <protection/>
    </xf>
    <xf numFmtId="3" fontId="27" fillId="0" borderId="12" xfId="0" applyNumberFormat="1" applyFont="1" applyFill="1" applyBorder="1" applyAlignment="1" applyProtection="1">
      <alignment horizontal="center" vertical="center" wrapText="1"/>
      <protection/>
    </xf>
    <xf numFmtId="3" fontId="29" fillId="0" borderId="0" xfId="0" applyNumberFormat="1" applyFont="1" applyFill="1" applyAlignment="1">
      <alignment horizontal="center" vertical="center" wrapText="1"/>
    </xf>
    <xf numFmtId="0" fontId="28"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horizontal="center" vertical="center" wrapText="1"/>
      <protection/>
    </xf>
    <xf numFmtId="3" fontId="27" fillId="0" borderId="15" xfId="0" applyNumberFormat="1" applyFont="1" applyFill="1" applyBorder="1" applyAlignment="1">
      <alignment horizontal="center" vertical="center" wrapText="1"/>
    </xf>
    <xf numFmtId="49" fontId="27" fillId="0" borderId="12" xfId="0" applyNumberFormat="1" applyFont="1" applyBorder="1" applyAlignment="1">
      <alignment horizontal="center" vertical="center" wrapText="1"/>
    </xf>
    <xf numFmtId="2" fontId="41" fillId="4" borderId="17" xfId="0" applyNumberFormat="1" applyFont="1" applyFill="1" applyBorder="1" applyAlignment="1" quotePrefix="1">
      <alignment horizontal="center" vertical="center" wrapText="1"/>
    </xf>
    <xf numFmtId="0" fontId="27" fillId="0" borderId="15" xfId="0" applyFont="1" applyBorder="1" applyAlignment="1">
      <alignment horizontal="center"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71"/>
  <sheetViews>
    <sheetView tabSelected="1" view="pageBreakPreview" zoomScale="75" zoomScaleSheetLayoutView="75" zoomScalePageLayoutView="0" workbookViewId="0" topLeftCell="A74">
      <selection activeCell="A107" sqref="A1:IV16384"/>
    </sheetView>
  </sheetViews>
  <sheetFormatPr defaultColWidth="9.16015625" defaultRowHeight="12.75"/>
  <cols>
    <col min="1" max="1" width="3.66015625" style="4" customWidth="1"/>
    <col min="2" max="2" width="10.83203125" style="10" customWidth="1"/>
    <col min="3" max="4" width="12.16015625" style="11" customWidth="1"/>
    <col min="5" max="5" width="42.16015625" style="10" customWidth="1"/>
    <col min="6" max="6" width="73.5" style="10" customWidth="1"/>
    <col min="7" max="7" width="17.83203125" style="10" customWidth="1"/>
    <col min="8" max="8" width="16.16015625" style="10" customWidth="1"/>
    <col min="9" max="9" width="19.66015625" style="10" customWidth="1"/>
    <col min="10" max="10" width="2" style="10" customWidth="1"/>
    <col min="11" max="11" width="8.33203125" style="25" customWidth="1"/>
    <col min="12" max="12" width="12.66015625" style="18" customWidth="1"/>
    <col min="13" max="13" width="14.33203125" style="18" customWidth="1"/>
    <col min="14" max="14" width="13.83203125" style="18" customWidth="1"/>
    <col min="15" max="16" width="9.16015625" style="18" customWidth="1"/>
    <col min="17" max="17" width="9.33203125" style="6" bestFit="1" customWidth="1"/>
    <col min="18" max="18" width="9.16015625" style="6" customWidth="1"/>
    <col min="19" max="19" width="9.33203125" style="6" bestFit="1" customWidth="1"/>
    <col min="20" max="16384" width="9.16015625" style="6" customWidth="1"/>
  </cols>
  <sheetData>
    <row r="1" spans="1:16" s="3" customFormat="1" ht="15.75">
      <c r="A1" s="36"/>
      <c r="B1" s="136"/>
      <c r="C1" s="136"/>
      <c r="D1" s="136"/>
      <c r="E1" s="136"/>
      <c r="F1" s="136"/>
      <c r="G1" s="136"/>
      <c r="H1" s="136"/>
      <c r="I1" s="136"/>
      <c r="J1" s="1"/>
      <c r="K1" s="14"/>
      <c r="L1" s="15"/>
      <c r="M1" s="15"/>
      <c r="N1" s="15"/>
      <c r="O1" s="15"/>
      <c r="P1" s="15"/>
    </row>
    <row r="2" spans="1:16" s="3" customFormat="1" ht="15.75">
      <c r="A2" s="36"/>
      <c r="B2" s="1"/>
      <c r="C2" s="2"/>
      <c r="D2" s="2"/>
      <c r="E2" s="1"/>
      <c r="F2" s="1"/>
      <c r="G2" s="108" t="s">
        <v>174</v>
      </c>
      <c r="H2" s="108"/>
      <c r="I2" s="108"/>
      <c r="J2" s="26"/>
      <c r="K2" s="16"/>
      <c r="L2" s="15"/>
      <c r="M2" s="15"/>
      <c r="N2" s="15"/>
      <c r="O2" s="15"/>
      <c r="P2" s="15"/>
    </row>
    <row r="3" spans="1:16" s="3" customFormat="1" ht="15.75">
      <c r="A3" s="36"/>
      <c r="B3" s="1"/>
      <c r="C3" s="2"/>
      <c r="D3" s="2"/>
      <c r="E3" s="1"/>
      <c r="F3" s="1"/>
      <c r="G3" s="108" t="s">
        <v>113</v>
      </c>
      <c r="H3" s="108"/>
      <c r="I3" s="108"/>
      <c r="J3" s="26"/>
      <c r="K3" s="16"/>
      <c r="L3" s="15"/>
      <c r="M3" s="15"/>
      <c r="N3" s="15"/>
      <c r="O3" s="15"/>
      <c r="P3" s="15"/>
    </row>
    <row r="4" spans="1:16" s="3" customFormat="1" ht="15.75">
      <c r="A4" s="36"/>
      <c r="B4" s="1"/>
      <c r="C4" s="2"/>
      <c r="D4" s="2"/>
      <c r="E4" s="1"/>
      <c r="F4" s="1"/>
      <c r="G4" s="108" t="s">
        <v>234</v>
      </c>
      <c r="H4" s="108"/>
      <c r="I4" s="108"/>
      <c r="J4" s="26"/>
      <c r="K4" s="16"/>
      <c r="L4" s="15"/>
      <c r="M4" s="15"/>
      <c r="N4" s="15"/>
      <c r="O4" s="15"/>
      <c r="P4" s="15"/>
    </row>
    <row r="5" spans="1:16" s="3" customFormat="1" ht="15.75">
      <c r="A5" s="36"/>
      <c r="B5" s="1"/>
      <c r="C5" s="2"/>
      <c r="D5" s="2"/>
      <c r="E5" s="1"/>
      <c r="F5" s="1"/>
      <c r="G5" s="108" t="s">
        <v>183</v>
      </c>
      <c r="H5" s="109"/>
      <c r="I5" s="109"/>
      <c r="J5" s="27"/>
      <c r="K5" s="16"/>
      <c r="L5" s="15"/>
      <c r="M5" s="15"/>
      <c r="N5" s="15"/>
      <c r="O5" s="15"/>
      <c r="P5" s="15"/>
    </row>
    <row r="6" spans="1:16" s="3" customFormat="1" ht="15.75">
      <c r="A6" s="36"/>
      <c r="B6" s="1"/>
      <c r="C6" s="2"/>
      <c r="D6" s="2"/>
      <c r="E6" s="1"/>
      <c r="F6" s="1"/>
      <c r="G6" s="108" t="s">
        <v>184</v>
      </c>
      <c r="H6" s="108"/>
      <c r="I6" s="108"/>
      <c r="J6" s="26"/>
      <c r="K6" s="16"/>
      <c r="L6" s="15"/>
      <c r="M6" s="15"/>
      <c r="N6" s="15"/>
      <c r="O6" s="15"/>
      <c r="P6" s="15"/>
    </row>
    <row r="7" spans="1:16" s="3" customFormat="1" ht="15.75">
      <c r="A7" s="36"/>
      <c r="B7" s="1"/>
      <c r="C7" s="2"/>
      <c r="D7" s="2"/>
      <c r="E7" s="1"/>
      <c r="F7" s="1"/>
      <c r="G7" s="108"/>
      <c r="H7" s="108"/>
      <c r="I7" s="108"/>
      <c r="J7" s="26"/>
      <c r="K7" s="16"/>
      <c r="L7" s="15"/>
      <c r="M7" s="15"/>
      <c r="N7" s="15"/>
      <c r="O7" s="15"/>
      <c r="P7" s="15"/>
    </row>
    <row r="8" spans="1:16" s="3" customFormat="1" ht="15.75">
      <c r="A8" s="36"/>
      <c r="B8" s="1"/>
      <c r="C8" s="2"/>
      <c r="D8" s="2"/>
      <c r="E8" s="1"/>
      <c r="F8" s="1"/>
      <c r="G8" s="62"/>
      <c r="H8" s="62"/>
      <c r="I8" s="1"/>
      <c r="J8" s="1"/>
      <c r="K8" s="14"/>
      <c r="L8" s="15"/>
      <c r="M8" s="15"/>
      <c r="N8" s="15"/>
      <c r="O8" s="15"/>
      <c r="P8" s="15"/>
    </row>
    <row r="9" spans="1:11" ht="18.75">
      <c r="A9" s="8"/>
      <c r="B9" s="137" t="s">
        <v>162</v>
      </c>
      <c r="C9" s="138"/>
      <c r="D9" s="138"/>
      <c r="E9" s="138"/>
      <c r="F9" s="138"/>
      <c r="G9" s="138"/>
      <c r="H9" s="138"/>
      <c r="I9" s="138"/>
      <c r="J9" s="5"/>
      <c r="K9" s="17"/>
    </row>
    <row r="10" spans="1:11" ht="18.75">
      <c r="A10" s="8"/>
      <c r="B10" s="38"/>
      <c r="C10" s="39"/>
      <c r="D10" s="39"/>
      <c r="E10" s="96"/>
      <c r="F10" s="40"/>
      <c r="G10" s="40"/>
      <c r="H10" s="37"/>
      <c r="I10" s="68" t="s">
        <v>114</v>
      </c>
      <c r="J10" s="29"/>
      <c r="K10" s="19"/>
    </row>
    <row r="11" spans="1:12" ht="132">
      <c r="A11" s="41"/>
      <c r="B11" s="63" t="s">
        <v>11</v>
      </c>
      <c r="C11" s="64" t="s">
        <v>10</v>
      </c>
      <c r="D11" s="64" t="s">
        <v>4</v>
      </c>
      <c r="E11" s="43" t="s">
        <v>12</v>
      </c>
      <c r="F11" s="43" t="s">
        <v>6</v>
      </c>
      <c r="G11" s="46" t="s">
        <v>2</v>
      </c>
      <c r="H11" s="43" t="s">
        <v>3</v>
      </c>
      <c r="I11" s="43" t="s">
        <v>7</v>
      </c>
      <c r="J11" s="30"/>
      <c r="K11" s="20"/>
      <c r="L11" s="15"/>
    </row>
    <row r="12" spans="1:12" ht="15.75">
      <c r="A12" s="8"/>
      <c r="B12" s="43">
        <v>1</v>
      </c>
      <c r="C12" s="47">
        <v>2</v>
      </c>
      <c r="D12" s="47">
        <v>3</v>
      </c>
      <c r="E12" s="43">
        <v>4</v>
      </c>
      <c r="F12" s="43">
        <v>5</v>
      </c>
      <c r="G12" s="43">
        <v>6</v>
      </c>
      <c r="H12" s="43">
        <v>7</v>
      </c>
      <c r="I12" s="43">
        <v>8</v>
      </c>
      <c r="J12" s="30"/>
      <c r="K12" s="20"/>
      <c r="L12" s="15"/>
    </row>
    <row r="13" spans="1:16" s="7" customFormat="1" ht="15.75">
      <c r="A13" s="42"/>
      <c r="B13" s="55" t="s">
        <v>13</v>
      </c>
      <c r="C13" s="56"/>
      <c r="D13" s="56"/>
      <c r="E13" s="110" t="s">
        <v>14</v>
      </c>
      <c r="F13" s="111"/>
      <c r="G13" s="54">
        <f>SUM(G14:G16)</f>
        <v>629900</v>
      </c>
      <c r="H13" s="54">
        <f>SUM(H14:H16)</f>
        <v>285000</v>
      </c>
      <c r="I13" s="54">
        <f>G13+H13</f>
        <v>914900</v>
      </c>
      <c r="J13" s="31"/>
      <c r="K13" s="21"/>
      <c r="L13" s="22"/>
      <c r="M13" s="23"/>
      <c r="N13" s="23"/>
      <c r="O13" s="23"/>
      <c r="P13" s="23"/>
    </row>
    <row r="14" spans="2:12" ht="63">
      <c r="B14" s="43"/>
      <c r="C14" s="44" t="s">
        <v>15</v>
      </c>
      <c r="D14" s="44" t="s">
        <v>16</v>
      </c>
      <c r="E14" s="43" t="s">
        <v>17</v>
      </c>
      <c r="F14" s="45" t="s">
        <v>167</v>
      </c>
      <c r="G14" s="45">
        <v>350000</v>
      </c>
      <c r="H14" s="45"/>
      <c r="I14" s="45">
        <f>G14+H14</f>
        <v>350000</v>
      </c>
      <c r="J14" s="32"/>
      <c r="K14" s="24"/>
      <c r="L14" s="15"/>
    </row>
    <row r="15" spans="2:12" ht="47.25">
      <c r="B15" s="43"/>
      <c r="C15" s="44">
        <v>120100</v>
      </c>
      <c r="D15" s="44">
        <v>830</v>
      </c>
      <c r="E15" s="43" t="s">
        <v>199</v>
      </c>
      <c r="F15" s="45" t="s">
        <v>200</v>
      </c>
      <c r="G15" s="45"/>
      <c r="H15" s="45">
        <f>250000+35000</f>
        <v>285000</v>
      </c>
      <c r="I15" s="45">
        <f>250000+35000</f>
        <v>285000</v>
      </c>
      <c r="J15" s="32"/>
      <c r="K15" s="24"/>
      <c r="L15" s="15"/>
    </row>
    <row r="16" spans="2:12" ht="47.25">
      <c r="B16" s="43"/>
      <c r="C16" s="44">
        <v>250404</v>
      </c>
      <c r="D16" s="47" t="s">
        <v>73</v>
      </c>
      <c r="E16" s="43" t="s">
        <v>27</v>
      </c>
      <c r="F16" s="45" t="s">
        <v>130</v>
      </c>
      <c r="G16" s="45">
        <f>139900+140000</f>
        <v>279900</v>
      </c>
      <c r="H16" s="45"/>
      <c r="I16" s="45">
        <f>G16+H16</f>
        <v>279900</v>
      </c>
      <c r="J16" s="32"/>
      <c r="K16" s="24"/>
      <c r="L16" s="15"/>
    </row>
    <row r="17" spans="2:12" ht="15.75">
      <c r="B17" s="83" t="s">
        <v>149</v>
      </c>
      <c r="C17" s="53"/>
      <c r="D17" s="56"/>
      <c r="E17" s="130" t="s">
        <v>150</v>
      </c>
      <c r="F17" s="131"/>
      <c r="G17" s="54">
        <f>SUM(G18:G23)</f>
        <v>2237556</v>
      </c>
      <c r="H17" s="54">
        <f>SUM(H18:H23)</f>
        <v>0</v>
      </c>
      <c r="I17" s="54">
        <f>SUM(I18:I23)</f>
        <v>2237556</v>
      </c>
      <c r="J17" s="32"/>
      <c r="K17" s="24"/>
      <c r="L17" s="15"/>
    </row>
    <row r="18" spans="2:12" ht="47.25">
      <c r="B18" s="74"/>
      <c r="C18" s="75" t="s">
        <v>188</v>
      </c>
      <c r="D18" s="75" t="s">
        <v>189</v>
      </c>
      <c r="E18" s="94" t="s">
        <v>190</v>
      </c>
      <c r="F18" s="82" t="s">
        <v>0</v>
      </c>
      <c r="G18" s="76">
        <f>0+30000</f>
        <v>30000</v>
      </c>
      <c r="H18" s="78"/>
      <c r="I18" s="45">
        <f>G18+H18</f>
        <v>30000</v>
      </c>
      <c r="J18" s="32"/>
      <c r="K18" s="24"/>
      <c r="L18" s="15"/>
    </row>
    <row r="19" spans="2:12" ht="15.75">
      <c r="B19" s="134"/>
      <c r="C19" s="125">
        <v>100203</v>
      </c>
      <c r="D19" s="125">
        <v>620</v>
      </c>
      <c r="E19" s="126" t="s">
        <v>80</v>
      </c>
      <c r="F19" s="125" t="s">
        <v>0</v>
      </c>
      <c r="G19" s="112">
        <f>1000000-30000+500000+195000-70780</f>
        <v>1594220</v>
      </c>
      <c r="H19" s="115"/>
      <c r="I19" s="122">
        <f>SUM(G19+H19)</f>
        <v>1594220</v>
      </c>
      <c r="J19" s="32"/>
      <c r="K19" s="24"/>
      <c r="L19" s="15"/>
    </row>
    <row r="20" spans="2:12" ht="15.75">
      <c r="B20" s="135"/>
      <c r="C20" s="126"/>
      <c r="D20" s="126"/>
      <c r="E20" s="152"/>
      <c r="F20" s="126"/>
      <c r="G20" s="139"/>
      <c r="H20" s="116"/>
      <c r="I20" s="112"/>
      <c r="J20" s="32"/>
      <c r="K20" s="24"/>
      <c r="L20" s="15"/>
    </row>
    <row r="21" spans="2:12" ht="15.75">
      <c r="B21" s="134"/>
      <c r="C21" s="150" t="s">
        <v>153</v>
      </c>
      <c r="D21" s="125">
        <v>111</v>
      </c>
      <c r="E21" s="125" t="s">
        <v>148</v>
      </c>
      <c r="F21" s="125" t="s">
        <v>168</v>
      </c>
      <c r="G21" s="122">
        <v>613336</v>
      </c>
      <c r="H21" s="115"/>
      <c r="I21" s="122">
        <f>SUM(G21+H21)</f>
        <v>613336</v>
      </c>
      <c r="J21" s="32"/>
      <c r="K21" s="24"/>
      <c r="L21" s="15"/>
    </row>
    <row r="22" spans="2:12" ht="15.75">
      <c r="B22" s="149"/>
      <c r="C22" s="150"/>
      <c r="D22" s="125"/>
      <c r="E22" s="125"/>
      <c r="F22" s="125"/>
      <c r="G22" s="122"/>
      <c r="H22" s="115"/>
      <c r="I22" s="122"/>
      <c r="J22" s="32"/>
      <c r="K22" s="24"/>
      <c r="L22" s="15"/>
    </row>
    <row r="23" spans="2:12" ht="15.75">
      <c r="B23" s="135"/>
      <c r="C23" s="150"/>
      <c r="D23" s="125"/>
      <c r="E23" s="125"/>
      <c r="F23" s="125"/>
      <c r="G23" s="122"/>
      <c r="H23" s="115"/>
      <c r="I23" s="122"/>
      <c r="J23" s="32"/>
      <c r="K23" s="24"/>
      <c r="L23" s="15"/>
    </row>
    <row r="24" spans="2:12" ht="15.75">
      <c r="B24" s="65" t="s">
        <v>152</v>
      </c>
      <c r="C24" s="53"/>
      <c r="D24" s="56"/>
      <c r="E24" s="130" t="s">
        <v>151</v>
      </c>
      <c r="F24" s="131"/>
      <c r="G24" s="54">
        <f>SUM(G25:G28)</f>
        <v>1975162</v>
      </c>
      <c r="H24" s="54">
        <f>SUM(H25:H28)</f>
        <v>91312</v>
      </c>
      <c r="I24" s="54">
        <f>SUM(I25:I28)</f>
        <v>2066474</v>
      </c>
      <c r="J24" s="32"/>
      <c r="K24" s="24"/>
      <c r="L24" s="15"/>
    </row>
    <row r="25" spans="2:12" ht="47.25">
      <c r="B25" s="43"/>
      <c r="C25" s="48" t="s">
        <v>153</v>
      </c>
      <c r="D25" s="49" t="s">
        <v>154</v>
      </c>
      <c r="E25" s="97" t="s">
        <v>148</v>
      </c>
      <c r="F25" s="52" t="s">
        <v>168</v>
      </c>
      <c r="G25" s="77">
        <v>517797</v>
      </c>
      <c r="H25" s="77"/>
      <c r="I25" s="77">
        <f>G25+H25</f>
        <v>517797</v>
      </c>
      <c r="J25" s="32"/>
      <c r="K25" s="24"/>
      <c r="L25" s="15"/>
    </row>
    <row r="26" spans="2:12" ht="47.25">
      <c r="B26" s="74"/>
      <c r="C26" s="75" t="s">
        <v>188</v>
      </c>
      <c r="D26" s="75" t="s">
        <v>189</v>
      </c>
      <c r="E26" s="94" t="s">
        <v>190</v>
      </c>
      <c r="F26" s="82" t="s">
        <v>0</v>
      </c>
      <c r="G26" s="76">
        <f>0+34365</f>
        <v>34365</v>
      </c>
      <c r="H26" s="78"/>
      <c r="I26" s="45">
        <f>G26+H26</f>
        <v>34365</v>
      </c>
      <c r="J26" s="32"/>
      <c r="K26" s="24"/>
      <c r="L26" s="15"/>
    </row>
    <row r="27" spans="2:12" ht="47.25">
      <c r="B27" s="43"/>
      <c r="C27" s="48">
        <v>100203</v>
      </c>
      <c r="D27" s="49" t="s">
        <v>79</v>
      </c>
      <c r="E27" s="97" t="s">
        <v>80</v>
      </c>
      <c r="F27" s="52" t="s">
        <v>0</v>
      </c>
      <c r="G27" s="77">
        <f>1000000-45688+500000-91312+60000</f>
        <v>1423000</v>
      </c>
      <c r="H27" s="77">
        <v>91312</v>
      </c>
      <c r="I27" s="77">
        <f>G27+H27</f>
        <v>1514312</v>
      </c>
      <c r="J27" s="32"/>
      <c r="K27" s="24"/>
      <c r="L27" s="15"/>
    </row>
    <row r="28" spans="2:12" ht="15.75">
      <c r="B28" s="43"/>
      <c r="C28" s="48"/>
      <c r="D28" s="49"/>
      <c r="E28" s="97"/>
      <c r="F28" s="79"/>
      <c r="G28" s="80"/>
      <c r="H28" s="80"/>
      <c r="I28" s="77"/>
      <c r="J28" s="32"/>
      <c r="K28" s="24"/>
      <c r="L28" s="15"/>
    </row>
    <row r="29" spans="2:12" ht="15.75">
      <c r="B29" s="65" t="s">
        <v>158</v>
      </c>
      <c r="C29" s="53"/>
      <c r="D29" s="56"/>
      <c r="E29" s="130" t="s">
        <v>157</v>
      </c>
      <c r="F29" s="131"/>
      <c r="G29" s="54">
        <f>SUM(G30:G32)</f>
        <v>2040829</v>
      </c>
      <c r="H29" s="54">
        <f>SUM(H30:H32)</f>
        <v>0</v>
      </c>
      <c r="I29" s="54">
        <f>SUM(I30:I32)</f>
        <v>2040829</v>
      </c>
      <c r="J29" s="32"/>
      <c r="K29" s="24"/>
      <c r="L29" s="15"/>
    </row>
    <row r="30" spans="2:12" ht="47.25">
      <c r="B30" s="43"/>
      <c r="C30" s="50" t="s">
        <v>153</v>
      </c>
      <c r="D30" s="50" t="s">
        <v>154</v>
      </c>
      <c r="E30" s="97" t="s">
        <v>148</v>
      </c>
      <c r="F30" s="52" t="s">
        <v>168</v>
      </c>
      <c r="G30" s="77">
        <v>345829</v>
      </c>
      <c r="H30" s="77"/>
      <c r="I30" s="77">
        <f>G30+H30</f>
        <v>345829</v>
      </c>
      <c r="J30" s="32"/>
      <c r="K30" s="24"/>
      <c r="L30" s="15"/>
    </row>
    <row r="31" spans="2:12" ht="47.25">
      <c r="B31" s="74"/>
      <c r="C31" s="75" t="s">
        <v>188</v>
      </c>
      <c r="D31" s="75" t="s">
        <v>189</v>
      </c>
      <c r="E31" s="94" t="s">
        <v>190</v>
      </c>
      <c r="F31" s="82" t="s">
        <v>0</v>
      </c>
      <c r="G31" s="76">
        <v>30000</v>
      </c>
      <c r="H31" s="78"/>
      <c r="I31" s="45">
        <f>G31+H31</f>
        <v>30000</v>
      </c>
      <c r="J31" s="32"/>
      <c r="K31" s="24"/>
      <c r="L31" s="15"/>
    </row>
    <row r="32" spans="2:12" ht="47.25">
      <c r="B32" s="43"/>
      <c r="C32" s="50" t="s">
        <v>78</v>
      </c>
      <c r="D32" s="66" t="s">
        <v>79</v>
      </c>
      <c r="E32" s="98" t="s">
        <v>159</v>
      </c>
      <c r="F32" s="52" t="s">
        <v>0</v>
      </c>
      <c r="G32" s="77">
        <f>1000000-30000+500000+195000</f>
        <v>1665000</v>
      </c>
      <c r="H32" s="77"/>
      <c r="I32" s="77">
        <f>G32+H32</f>
        <v>1665000</v>
      </c>
      <c r="J32" s="32"/>
      <c r="K32" s="24"/>
      <c r="L32" s="15"/>
    </row>
    <row r="33" spans="1:16" s="7" customFormat="1" ht="15.75">
      <c r="A33" s="57"/>
      <c r="B33" s="55" t="s">
        <v>18</v>
      </c>
      <c r="C33" s="56"/>
      <c r="D33" s="56"/>
      <c r="E33" s="129" t="s">
        <v>235</v>
      </c>
      <c r="F33" s="128"/>
      <c r="G33" s="54">
        <f>SUM(G34:G38)</f>
        <v>2842400</v>
      </c>
      <c r="H33" s="54">
        <f>SUM(H34:H38)</f>
        <v>733678</v>
      </c>
      <c r="I33" s="54">
        <f>SUM(I34:I38)</f>
        <v>3576078</v>
      </c>
      <c r="J33" s="31"/>
      <c r="K33" s="21"/>
      <c r="L33" s="22"/>
      <c r="M33" s="23"/>
      <c r="N33" s="23"/>
      <c r="O33" s="23"/>
      <c r="P33" s="23"/>
    </row>
    <row r="34" spans="2:12" ht="78.75">
      <c r="B34" s="43"/>
      <c r="C34" s="44">
        <v>150110</v>
      </c>
      <c r="D34" s="47" t="s">
        <v>126</v>
      </c>
      <c r="E34" s="43" t="s">
        <v>120</v>
      </c>
      <c r="F34" s="143" t="s">
        <v>212</v>
      </c>
      <c r="G34" s="45"/>
      <c r="H34" s="45">
        <f>150000-150000+146895+75361</f>
        <v>222256</v>
      </c>
      <c r="I34" s="45">
        <f aca="true" t="shared" si="0" ref="I34:I39">G34+H34</f>
        <v>222256</v>
      </c>
      <c r="J34" s="32"/>
      <c r="K34" s="24"/>
      <c r="L34" s="15"/>
    </row>
    <row r="35" spans="2:12" ht="78.75">
      <c r="B35" s="43"/>
      <c r="C35" s="44">
        <v>150112</v>
      </c>
      <c r="D35" s="47" t="s">
        <v>19</v>
      </c>
      <c r="E35" s="43" t="s">
        <v>134</v>
      </c>
      <c r="F35" s="144"/>
      <c r="G35" s="45"/>
      <c r="H35" s="45">
        <f>222256+53105-222239</f>
        <v>53122</v>
      </c>
      <c r="I35" s="45">
        <f t="shared" si="0"/>
        <v>53122</v>
      </c>
      <c r="J35" s="32"/>
      <c r="K35" s="24"/>
      <c r="L35" s="15"/>
    </row>
    <row r="36" spans="2:12" ht="47.25">
      <c r="B36" s="43"/>
      <c r="C36" s="44">
        <v>200700</v>
      </c>
      <c r="D36" s="44" t="s">
        <v>103</v>
      </c>
      <c r="E36" s="43" t="s">
        <v>137</v>
      </c>
      <c r="F36" s="45" t="s">
        <v>176</v>
      </c>
      <c r="G36" s="45">
        <f>23800-23800</f>
        <v>0</v>
      </c>
      <c r="H36" s="45"/>
      <c r="I36" s="45">
        <f t="shared" si="0"/>
        <v>0</v>
      </c>
      <c r="J36" s="32"/>
      <c r="K36" s="24"/>
      <c r="L36" s="15"/>
    </row>
    <row r="37" spans="2:12" ht="47.25">
      <c r="B37" s="43"/>
      <c r="C37" s="44">
        <v>240601</v>
      </c>
      <c r="D37" s="47" t="s">
        <v>94</v>
      </c>
      <c r="E37" s="43" t="s">
        <v>95</v>
      </c>
      <c r="F37" s="45" t="s">
        <v>176</v>
      </c>
      <c r="G37" s="45"/>
      <c r="H37" s="45">
        <f>34500+23800</f>
        <v>58300</v>
      </c>
      <c r="I37" s="45">
        <f t="shared" si="0"/>
        <v>58300</v>
      </c>
      <c r="J37" s="32"/>
      <c r="K37" s="24"/>
      <c r="L37" s="15"/>
    </row>
    <row r="38" spans="2:12" ht="110.25">
      <c r="B38" s="43"/>
      <c r="C38" s="47" t="s">
        <v>117</v>
      </c>
      <c r="D38" s="44">
        <v>1040</v>
      </c>
      <c r="E38" s="43" t="s">
        <v>118</v>
      </c>
      <c r="F38" s="46" t="s">
        <v>179</v>
      </c>
      <c r="G38" s="45">
        <v>2842400</v>
      </c>
      <c r="H38" s="45">
        <v>400000</v>
      </c>
      <c r="I38" s="45">
        <f t="shared" si="0"/>
        <v>3242400</v>
      </c>
      <c r="J38" s="32"/>
      <c r="K38" s="24"/>
      <c r="L38" s="15"/>
    </row>
    <row r="39" spans="2:12" ht="63">
      <c r="B39" s="50"/>
      <c r="C39" s="44">
        <v>110102</v>
      </c>
      <c r="D39" s="50" t="s">
        <v>64</v>
      </c>
      <c r="E39" s="43" t="s">
        <v>173</v>
      </c>
      <c r="F39" s="45" t="s">
        <v>172</v>
      </c>
      <c r="G39" s="46"/>
      <c r="H39" s="46"/>
      <c r="I39" s="45">
        <f t="shared" si="0"/>
        <v>0</v>
      </c>
      <c r="J39" s="32"/>
      <c r="K39" s="24"/>
      <c r="L39" s="15"/>
    </row>
    <row r="40" spans="1:12" ht="15.75">
      <c r="A40" s="57"/>
      <c r="B40" s="56">
        <v>1110</v>
      </c>
      <c r="C40" s="56"/>
      <c r="D40" s="53"/>
      <c r="E40" s="151" t="s">
        <v>235</v>
      </c>
      <c r="F40" s="128"/>
      <c r="G40" s="54">
        <f>SUM(G41:G46)</f>
        <v>900863</v>
      </c>
      <c r="H40" s="54">
        <f>SUM(H41:H46)</f>
        <v>35000</v>
      </c>
      <c r="I40" s="54">
        <f>SUM(I41:I46)</f>
        <v>935863</v>
      </c>
      <c r="J40" s="32"/>
      <c r="K40" s="24"/>
      <c r="L40" s="15"/>
    </row>
    <row r="41" spans="2:12" ht="47.25">
      <c r="B41" s="43"/>
      <c r="C41" s="50" t="s">
        <v>24</v>
      </c>
      <c r="D41" s="44">
        <v>1040</v>
      </c>
      <c r="E41" s="101" t="s">
        <v>25</v>
      </c>
      <c r="F41" s="46" t="s">
        <v>116</v>
      </c>
      <c r="G41" s="45">
        <v>38847</v>
      </c>
      <c r="H41" s="45"/>
      <c r="I41" s="45">
        <f aca="true" t="shared" si="1" ref="I41:I54">G41+H41</f>
        <v>38847</v>
      </c>
      <c r="J41" s="32"/>
      <c r="K41" s="24"/>
      <c r="L41" s="15"/>
    </row>
    <row r="42" spans="2:12" ht="47.25">
      <c r="B42" s="43"/>
      <c r="C42" s="50" t="s">
        <v>26</v>
      </c>
      <c r="D42" s="44">
        <v>1040</v>
      </c>
      <c r="E42" s="101" t="s">
        <v>27</v>
      </c>
      <c r="F42" s="46" t="s">
        <v>116</v>
      </c>
      <c r="G42" s="45">
        <v>182654</v>
      </c>
      <c r="H42" s="45"/>
      <c r="I42" s="45">
        <f t="shared" si="1"/>
        <v>182654</v>
      </c>
      <c r="J42" s="32"/>
      <c r="K42" s="24"/>
      <c r="L42" s="15"/>
    </row>
    <row r="43" spans="2:12" ht="31.5">
      <c r="B43" s="43"/>
      <c r="C43" s="44" t="s">
        <v>30</v>
      </c>
      <c r="D43" s="44" t="s">
        <v>20</v>
      </c>
      <c r="E43" s="43" t="s">
        <v>31</v>
      </c>
      <c r="F43" s="119" t="s">
        <v>133</v>
      </c>
      <c r="G43" s="46">
        <v>143953</v>
      </c>
      <c r="H43" s="46"/>
      <c r="I43" s="45">
        <f t="shared" si="1"/>
        <v>143953</v>
      </c>
      <c r="J43" s="32"/>
      <c r="K43" s="24"/>
      <c r="L43" s="15"/>
    </row>
    <row r="44" spans="2:12" ht="47.25">
      <c r="B44" s="43"/>
      <c r="C44" s="44" t="s">
        <v>32</v>
      </c>
      <c r="D44" s="44" t="s">
        <v>20</v>
      </c>
      <c r="E44" s="43" t="s">
        <v>33</v>
      </c>
      <c r="F44" s="120"/>
      <c r="G44" s="46">
        <v>10580</v>
      </c>
      <c r="H44" s="46"/>
      <c r="I44" s="45">
        <f t="shared" si="1"/>
        <v>10580</v>
      </c>
      <c r="J44" s="32"/>
      <c r="K44" s="24"/>
      <c r="L44" s="15"/>
    </row>
    <row r="45" spans="2:12" ht="47.25">
      <c r="B45" s="43"/>
      <c r="C45" s="44" t="s">
        <v>34</v>
      </c>
      <c r="D45" s="44" t="s">
        <v>20</v>
      </c>
      <c r="E45" s="43" t="s">
        <v>35</v>
      </c>
      <c r="F45" s="145" t="s">
        <v>133</v>
      </c>
      <c r="G45" s="46">
        <v>56483</v>
      </c>
      <c r="H45" s="46"/>
      <c r="I45" s="45">
        <f t="shared" si="1"/>
        <v>56483</v>
      </c>
      <c r="J45" s="32"/>
      <c r="K45" s="24"/>
      <c r="L45" s="15"/>
    </row>
    <row r="46" spans="2:12" ht="31.5">
      <c r="B46" s="43"/>
      <c r="C46" s="44" t="s">
        <v>36</v>
      </c>
      <c r="D46" s="44" t="s">
        <v>20</v>
      </c>
      <c r="E46" s="43" t="s">
        <v>37</v>
      </c>
      <c r="F46" s="145"/>
      <c r="G46" s="46">
        <v>468346</v>
      </c>
      <c r="H46" s="46">
        <v>35000</v>
      </c>
      <c r="I46" s="45">
        <f t="shared" si="1"/>
        <v>503346</v>
      </c>
      <c r="J46" s="32"/>
      <c r="K46" s="24"/>
      <c r="L46" s="15"/>
    </row>
    <row r="47" spans="1:12" ht="15.75">
      <c r="A47" s="57"/>
      <c r="B47" s="106">
        <v>2410</v>
      </c>
      <c r="C47" s="53"/>
      <c r="D47" s="53"/>
      <c r="E47" s="127" t="s">
        <v>238</v>
      </c>
      <c r="F47" s="128"/>
      <c r="G47" s="54">
        <f>SUM(G48:G51)</f>
        <v>582888</v>
      </c>
      <c r="H47" s="54">
        <f>SUM(H48:H51)</f>
        <v>335000</v>
      </c>
      <c r="I47" s="54">
        <f>SUM(I48:I51)</f>
        <v>917888</v>
      </c>
      <c r="J47" s="32"/>
      <c r="K47" s="24"/>
      <c r="L47" s="15"/>
    </row>
    <row r="48" spans="2:12" ht="47.25">
      <c r="B48" s="80"/>
      <c r="C48" s="113" t="s">
        <v>63</v>
      </c>
      <c r="D48" s="113" t="s">
        <v>64</v>
      </c>
      <c r="E48" s="114" t="s">
        <v>65</v>
      </c>
      <c r="F48" s="43" t="s">
        <v>177</v>
      </c>
      <c r="G48" s="46">
        <f>700000-300000+200000-64312</f>
        <v>535688</v>
      </c>
      <c r="H48" s="46"/>
      <c r="I48" s="45">
        <f t="shared" si="1"/>
        <v>535688</v>
      </c>
      <c r="J48" s="32"/>
      <c r="K48" s="24"/>
      <c r="L48" s="15"/>
    </row>
    <row r="49" spans="2:12" ht="47.25">
      <c r="B49" s="104"/>
      <c r="C49" s="113"/>
      <c r="D49" s="113"/>
      <c r="E49" s="114"/>
      <c r="F49" s="43" t="s">
        <v>171</v>
      </c>
      <c r="G49" s="46">
        <v>47200</v>
      </c>
      <c r="H49" s="46"/>
      <c r="I49" s="45">
        <f t="shared" si="1"/>
        <v>47200</v>
      </c>
      <c r="J49" s="32"/>
      <c r="K49" s="24"/>
      <c r="L49" s="15"/>
    </row>
    <row r="50" spans="2:14" ht="94.5">
      <c r="B50" s="50"/>
      <c r="C50" s="44">
        <v>180409</v>
      </c>
      <c r="D50" s="47" t="s">
        <v>127</v>
      </c>
      <c r="E50" s="95" t="s">
        <v>123</v>
      </c>
      <c r="F50" s="46" t="s">
        <v>217</v>
      </c>
      <c r="G50" s="46"/>
      <c r="H50" s="46">
        <f>0+300000</f>
        <v>300000</v>
      </c>
      <c r="I50" s="45">
        <f>G50+H50</f>
        <v>300000</v>
      </c>
      <c r="J50" s="32"/>
      <c r="K50" s="24">
        <v>180409</v>
      </c>
      <c r="L50" s="12">
        <f>G50+G51</f>
        <v>0</v>
      </c>
      <c r="M50" s="12">
        <f>H50+H51</f>
        <v>335000</v>
      </c>
      <c r="N50" s="12">
        <f>I50+I51</f>
        <v>335000</v>
      </c>
    </row>
    <row r="51" spans="2:12" ht="94.5">
      <c r="B51" s="50"/>
      <c r="C51" s="44">
        <v>180409</v>
      </c>
      <c r="D51" s="47" t="s">
        <v>127</v>
      </c>
      <c r="E51" s="95" t="s">
        <v>123</v>
      </c>
      <c r="F51" s="46" t="s">
        <v>220</v>
      </c>
      <c r="G51" s="46"/>
      <c r="H51" s="46">
        <f>0+35000</f>
        <v>35000</v>
      </c>
      <c r="I51" s="45">
        <f>G51+H51</f>
        <v>35000</v>
      </c>
      <c r="J51" s="32"/>
      <c r="K51" s="24"/>
      <c r="L51" s="15"/>
    </row>
    <row r="52" spans="1:12" ht="15.75">
      <c r="A52" s="57"/>
      <c r="B52" s="51">
        <v>11</v>
      </c>
      <c r="C52" s="83"/>
      <c r="D52" s="53"/>
      <c r="E52" s="130" t="s">
        <v>236</v>
      </c>
      <c r="F52" s="131"/>
      <c r="G52" s="54">
        <f>G53+G54</f>
        <v>102469</v>
      </c>
      <c r="H52" s="54"/>
      <c r="I52" s="54">
        <f t="shared" si="1"/>
        <v>102469</v>
      </c>
      <c r="J52" s="32"/>
      <c r="K52" s="24"/>
      <c r="L52" s="15"/>
    </row>
    <row r="53" spans="2:14" ht="47.25">
      <c r="B53" s="43"/>
      <c r="C53" s="102" t="s">
        <v>24</v>
      </c>
      <c r="D53" s="103" t="s">
        <v>21</v>
      </c>
      <c r="E53" s="101" t="s">
        <v>25</v>
      </c>
      <c r="F53" s="46" t="s">
        <v>116</v>
      </c>
      <c r="G53" s="45">
        <v>19823</v>
      </c>
      <c r="H53" s="45"/>
      <c r="I53" s="45">
        <f t="shared" si="1"/>
        <v>19823</v>
      </c>
      <c r="J53" s="32"/>
      <c r="K53" s="24"/>
      <c r="L53" s="15"/>
      <c r="N53" s="105"/>
    </row>
    <row r="54" spans="2:12" ht="47.25">
      <c r="B54" s="43"/>
      <c r="C54" s="102" t="s">
        <v>26</v>
      </c>
      <c r="D54" s="103" t="s">
        <v>21</v>
      </c>
      <c r="E54" s="101" t="s">
        <v>27</v>
      </c>
      <c r="F54" s="46" t="s">
        <v>116</v>
      </c>
      <c r="G54" s="45">
        <v>82646</v>
      </c>
      <c r="H54" s="45"/>
      <c r="I54" s="45">
        <f t="shared" si="1"/>
        <v>82646</v>
      </c>
      <c r="J54" s="32"/>
      <c r="K54" s="24"/>
      <c r="L54" s="15"/>
    </row>
    <row r="55" spans="1:16" s="7" customFormat="1" ht="15.75">
      <c r="A55" s="57"/>
      <c r="B55" s="51">
        <v>11</v>
      </c>
      <c r="C55" s="53"/>
      <c r="D55" s="53"/>
      <c r="E55" s="141" t="s">
        <v>237</v>
      </c>
      <c r="F55" s="142"/>
      <c r="G55" s="54">
        <f>SUM(G56:G64)</f>
        <v>2038623</v>
      </c>
      <c r="H55" s="54">
        <f>SUM(H56:H64)</f>
        <v>140000</v>
      </c>
      <c r="I55" s="54">
        <f>SUM(I56:I64)</f>
        <v>2178623</v>
      </c>
      <c r="J55" s="31"/>
      <c r="K55" s="21"/>
      <c r="L55" s="22"/>
      <c r="M55" s="23"/>
      <c r="N55" s="23"/>
      <c r="O55" s="23"/>
      <c r="P55" s="23"/>
    </row>
    <row r="56" spans="2:12" ht="94.5">
      <c r="B56" s="43"/>
      <c r="C56" s="44" t="s">
        <v>22</v>
      </c>
      <c r="D56" s="44" t="s">
        <v>21</v>
      </c>
      <c r="E56" s="43" t="s">
        <v>23</v>
      </c>
      <c r="F56" s="46" t="s">
        <v>115</v>
      </c>
      <c r="G56" s="46">
        <v>18150</v>
      </c>
      <c r="H56" s="46"/>
      <c r="I56" s="45">
        <f aca="true" t="shared" si="2" ref="I56:I85">G56+H56</f>
        <v>18150</v>
      </c>
      <c r="J56" s="32"/>
      <c r="K56" s="24"/>
      <c r="L56" s="15"/>
    </row>
    <row r="57" spans="2:12" ht="47.25">
      <c r="B57" s="43"/>
      <c r="C57" s="44" t="s">
        <v>24</v>
      </c>
      <c r="D57" s="44" t="s">
        <v>21</v>
      </c>
      <c r="E57" s="43" t="s">
        <v>25</v>
      </c>
      <c r="F57" s="46" t="s">
        <v>116</v>
      </c>
      <c r="G57" s="46"/>
      <c r="H57" s="46"/>
      <c r="I57" s="45">
        <f t="shared" si="2"/>
        <v>0</v>
      </c>
      <c r="J57" s="32"/>
      <c r="K57" s="24"/>
      <c r="L57" s="15"/>
    </row>
    <row r="58" spans="2:12" ht="94.5">
      <c r="B58" s="43"/>
      <c r="C58" s="44" t="s">
        <v>26</v>
      </c>
      <c r="D58" s="44" t="s">
        <v>21</v>
      </c>
      <c r="E58" s="43" t="s">
        <v>27</v>
      </c>
      <c r="F58" s="46" t="s">
        <v>115</v>
      </c>
      <c r="G58" s="46">
        <f>275750</f>
        <v>275750</v>
      </c>
      <c r="H58" s="46"/>
      <c r="I58" s="45">
        <f t="shared" si="2"/>
        <v>275750</v>
      </c>
      <c r="J58" s="32"/>
      <c r="K58" s="24"/>
      <c r="L58" s="15"/>
    </row>
    <row r="59" spans="2:12" ht="47.25">
      <c r="B59" s="43"/>
      <c r="C59" s="44" t="s">
        <v>28</v>
      </c>
      <c r="D59" s="44" t="s">
        <v>21</v>
      </c>
      <c r="E59" s="43" t="s">
        <v>29</v>
      </c>
      <c r="F59" s="46" t="s">
        <v>119</v>
      </c>
      <c r="G59" s="46">
        <v>149740</v>
      </c>
      <c r="H59" s="46"/>
      <c r="I59" s="45">
        <f t="shared" si="2"/>
        <v>149740</v>
      </c>
      <c r="J59" s="32"/>
      <c r="K59" s="24"/>
      <c r="L59" s="15"/>
    </row>
    <row r="60" spans="2:12" ht="110.25">
      <c r="B60" s="43"/>
      <c r="C60" s="47" t="s">
        <v>117</v>
      </c>
      <c r="D60" s="44">
        <v>1040</v>
      </c>
      <c r="E60" s="43" t="s">
        <v>118</v>
      </c>
      <c r="F60" s="46" t="s">
        <v>119</v>
      </c>
      <c r="G60" s="46">
        <v>900000</v>
      </c>
      <c r="H60" s="46"/>
      <c r="I60" s="45">
        <f t="shared" si="2"/>
        <v>900000</v>
      </c>
      <c r="J60" s="32"/>
      <c r="K60" s="24"/>
      <c r="L60" s="15"/>
    </row>
    <row r="61" spans="2:12" ht="31.5">
      <c r="B61" s="43"/>
      <c r="C61" s="44" t="s">
        <v>30</v>
      </c>
      <c r="D61" s="44" t="s">
        <v>20</v>
      </c>
      <c r="E61" s="43" t="s">
        <v>31</v>
      </c>
      <c r="F61" s="119" t="s">
        <v>133</v>
      </c>
      <c r="G61" s="46">
        <f>111175+140000-143953</f>
        <v>107222</v>
      </c>
      <c r="H61" s="46"/>
      <c r="I61" s="45">
        <f t="shared" si="2"/>
        <v>107222</v>
      </c>
      <c r="J61" s="32"/>
      <c r="K61" s="24"/>
      <c r="L61" s="15"/>
    </row>
    <row r="62" spans="2:12" ht="47.25">
      <c r="B62" s="43"/>
      <c r="C62" s="44" t="s">
        <v>32</v>
      </c>
      <c r="D62" s="44" t="s">
        <v>20</v>
      </c>
      <c r="E62" s="43" t="s">
        <v>33</v>
      </c>
      <c r="F62" s="120"/>
      <c r="G62" s="46">
        <f>11000+20000-10580</f>
        <v>20420</v>
      </c>
      <c r="H62" s="46"/>
      <c r="I62" s="45">
        <f t="shared" si="2"/>
        <v>20420</v>
      </c>
      <c r="J62" s="32"/>
      <c r="K62" s="24"/>
      <c r="L62" s="15"/>
    </row>
    <row r="63" spans="2:12" ht="47.25">
      <c r="B63" s="43"/>
      <c r="C63" s="44" t="s">
        <v>34</v>
      </c>
      <c r="D63" s="44" t="s">
        <v>20</v>
      </c>
      <c r="E63" s="43" t="s">
        <v>35</v>
      </c>
      <c r="F63" s="145" t="s">
        <v>133</v>
      </c>
      <c r="G63" s="46">
        <f>40000+60000-56483</f>
        <v>43517</v>
      </c>
      <c r="H63" s="46"/>
      <c r="I63" s="45">
        <f t="shared" si="2"/>
        <v>43517</v>
      </c>
      <c r="J63" s="32"/>
      <c r="K63" s="24"/>
      <c r="L63" s="15"/>
    </row>
    <row r="64" spans="2:12" ht="31.5">
      <c r="B64" s="43"/>
      <c r="C64" s="44" t="s">
        <v>36</v>
      </c>
      <c r="D64" s="44" t="s">
        <v>20</v>
      </c>
      <c r="E64" s="43" t="s">
        <v>37</v>
      </c>
      <c r="F64" s="145"/>
      <c r="G64" s="46">
        <f>277170+300000+10000+250000+155000-468346</f>
        <v>523824</v>
      </c>
      <c r="H64" s="46">
        <f>80000+250000-155000-35000</f>
        <v>140000</v>
      </c>
      <c r="I64" s="45">
        <f t="shared" si="2"/>
        <v>663824</v>
      </c>
      <c r="J64" s="32"/>
      <c r="K64" s="24"/>
      <c r="L64" s="15"/>
    </row>
    <row r="65" spans="2:12" ht="15.75">
      <c r="B65" s="55" t="s">
        <v>38</v>
      </c>
      <c r="C65" s="56"/>
      <c r="D65" s="56"/>
      <c r="E65" s="123" t="s">
        <v>240</v>
      </c>
      <c r="F65" s="124"/>
      <c r="G65" s="54">
        <f>SUM(G66:G77)</f>
        <v>17846156</v>
      </c>
      <c r="H65" s="54">
        <f>SUM(H66:H77)</f>
        <v>4037507</v>
      </c>
      <c r="I65" s="54">
        <f>SUM(I66:I77)</f>
        <v>21883663</v>
      </c>
      <c r="J65" s="31"/>
      <c r="K65" s="21"/>
      <c r="L65" s="15"/>
    </row>
    <row r="66" spans="1:12" ht="47.25">
      <c r="A66" s="81"/>
      <c r="B66" s="147"/>
      <c r="C66" s="132" t="s">
        <v>39</v>
      </c>
      <c r="D66" s="132" t="s">
        <v>40</v>
      </c>
      <c r="E66" s="134" t="s">
        <v>41</v>
      </c>
      <c r="F66" s="60" t="s">
        <v>144</v>
      </c>
      <c r="G66" s="61">
        <v>381000</v>
      </c>
      <c r="H66" s="61"/>
      <c r="I66" s="45">
        <f t="shared" si="2"/>
        <v>381000</v>
      </c>
      <c r="J66" s="31"/>
      <c r="K66" s="21"/>
      <c r="L66" s="15"/>
    </row>
    <row r="67" spans="1:12" ht="47.25">
      <c r="A67" s="81"/>
      <c r="B67" s="148"/>
      <c r="C67" s="140"/>
      <c r="D67" s="140"/>
      <c r="E67" s="149"/>
      <c r="F67" s="59" t="s">
        <v>136</v>
      </c>
      <c r="G67" s="46">
        <v>116405</v>
      </c>
      <c r="H67" s="46"/>
      <c r="I67" s="45">
        <f t="shared" si="2"/>
        <v>116405</v>
      </c>
      <c r="J67" s="32"/>
      <c r="K67" s="24"/>
      <c r="L67" s="15"/>
    </row>
    <row r="68" spans="1:12" ht="63">
      <c r="A68" s="81"/>
      <c r="B68" s="148"/>
      <c r="C68" s="140"/>
      <c r="D68" s="140"/>
      <c r="E68" s="149"/>
      <c r="F68" s="59" t="s">
        <v>132</v>
      </c>
      <c r="G68" s="46">
        <v>869119</v>
      </c>
      <c r="H68" s="46"/>
      <c r="I68" s="45">
        <f t="shared" si="2"/>
        <v>869119</v>
      </c>
      <c r="J68" s="32"/>
      <c r="K68" s="24"/>
      <c r="L68" s="15"/>
    </row>
    <row r="69" spans="1:12" ht="47.25">
      <c r="A69" s="81"/>
      <c r="B69" s="148"/>
      <c r="C69" s="140"/>
      <c r="D69" s="140"/>
      <c r="E69" s="149"/>
      <c r="F69" s="59" t="s">
        <v>146</v>
      </c>
      <c r="G69" s="46">
        <f>13031396-97400-20827-825580+17424</f>
        <v>12105013</v>
      </c>
      <c r="H69" s="46"/>
      <c r="I69" s="45">
        <f t="shared" si="2"/>
        <v>12105013</v>
      </c>
      <c r="J69" s="32"/>
      <c r="K69" s="24"/>
      <c r="L69" s="15"/>
    </row>
    <row r="70" spans="2:12" ht="47.25">
      <c r="B70" s="134"/>
      <c r="C70" s="117" t="s">
        <v>140</v>
      </c>
      <c r="D70" s="117" t="s">
        <v>143</v>
      </c>
      <c r="E70" s="134" t="s">
        <v>139</v>
      </c>
      <c r="F70" s="60" t="s">
        <v>144</v>
      </c>
      <c r="G70" s="46">
        <v>39000</v>
      </c>
      <c r="H70" s="46"/>
      <c r="I70" s="45">
        <f t="shared" si="2"/>
        <v>39000</v>
      </c>
      <c r="J70" s="32"/>
      <c r="K70" s="24"/>
      <c r="L70" s="15"/>
    </row>
    <row r="71" spans="2:12" ht="47.25">
      <c r="B71" s="135"/>
      <c r="C71" s="118"/>
      <c r="D71" s="118"/>
      <c r="E71" s="135"/>
      <c r="F71" s="59" t="s">
        <v>146</v>
      </c>
      <c r="G71" s="46">
        <f>293839+97400</f>
        <v>391239</v>
      </c>
      <c r="H71" s="46"/>
      <c r="I71" s="45">
        <f t="shared" si="2"/>
        <v>391239</v>
      </c>
      <c r="J71" s="32"/>
      <c r="K71" s="24"/>
      <c r="L71" s="15"/>
    </row>
    <row r="72" spans="2:12" ht="47.25">
      <c r="B72" s="134"/>
      <c r="C72" s="117" t="s">
        <v>141</v>
      </c>
      <c r="D72" s="117" t="s">
        <v>142</v>
      </c>
      <c r="E72" s="134" t="s">
        <v>138</v>
      </c>
      <c r="F72" s="60" t="s">
        <v>145</v>
      </c>
      <c r="G72" s="46">
        <v>250000</v>
      </c>
      <c r="H72" s="46"/>
      <c r="I72" s="45">
        <f>G72+H72</f>
        <v>250000</v>
      </c>
      <c r="J72" s="32"/>
      <c r="K72" s="24"/>
      <c r="L72" s="15"/>
    </row>
    <row r="73" spans="2:12" ht="47.25">
      <c r="B73" s="135"/>
      <c r="C73" s="118"/>
      <c r="D73" s="118"/>
      <c r="E73" s="135"/>
      <c r="F73" s="60" t="s">
        <v>147</v>
      </c>
      <c r="G73" s="46">
        <v>2678000</v>
      </c>
      <c r="H73" s="46"/>
      <c r="I73" s="45">
        <f>G73+H73</f>
        <v>2678000</v>
      </c>
      <c r="J73" s="32"/>
      <c r="K73" s="24"/>
      <c r="L73" s="15"/>
    </row>
    <row r="74" spans="2:12" ht="47.25">
      <c r="B74" s="85"/>
      <c r="C74" s="84" t="s">
        <v>195</v>
      </c>
      <c r="D74" s="84" t="s">
        <v>215</v>
      </c>
      <c r="E74" s="85" t="s">
        <v>196</v>
      </c>
      <c r="F74" s="60" t="s">
        <v>145</v>
      </c>
      <c r="G74" s="46">
        <v>180000</v>
      </c>
      <c r="H74" s="46"/>
      <c r="I74" s="45">
        <f>G74+H74</f>
        <v>180000</v>
      </c>
      <c r="J74" s="32"/>
      <c r="K74" s="24"/>
      <c r="L74" s="15"/>
    </row>
    <row r="75" spans="2:12" ht="47.25">
      <c r="B75" s="85"/>
      <c r="C75" s="84" t="s">
        <v>221</v>
      </c>
      <c r="D75" s="84" t="s">
        <v>223</v>
      </c>
      <c r="E75" s="85" t="s">
        <v>222</v>
      </c>
      <c r="F75" s="60" t="s">
        <v>147</v>
      </c>
      <c r="G75" s="46">
        <v>825580</v>
      </c>
      <c r="H75" s="46"/>
      <c r="I75" s="45">
        <f>G75+H75</f>
        <v>825580</v>
      </c>
      <c r="J75" s="32"/>
      <c r="K75" s="24"/>
      <c r="L75" s="15"/>
    </row>
    <row r="76" spans="2:12" ht="47.25">
      <c r="B76" s="43"/>
      <c r="C76" s="44">
        <v>150101</v>
      </c>
      <c r="D76" s="47" t="s">
        <v>127</v>
      </c>
      <c r="E76" s="43" t="s">
        <v>122</v>
      </c>
      <c r="F76" s="46" t="s">
        <v>212</v>
      </c>
      <c r="G76" s="46"/>
      <c r="H76" s="46">
        <f>654507+3383000</f>
        <v>4037507</v>
      </c>
      <c r="I76" s="45">
        <f t="shared" si="2"/>
        <v>4037507</v>
      </c>
      <c r="J76" s="32"/>
      <c r="K76" s="24"/>
      <c r="L76" s="15"/>
    </row>
    <row r="77" spans="2:12" ht="47.25">
      <c r="B77" s="43"/>
      <c r="C77" s="44">
        <v>250404</v>
      </c>
      <c r="D77" s="47" t="s">
        <v>73</v>
      </c>
      <c r="E77" s="43" t="s">
        <v>27</v>
      </c>
      <c r="F77" s="45" t="s">
        <v>187</v>
      </c>
      <c r="G77" s="45">
        <v>10800</v>
      </c>
      <c r="H77" s="45"/>
      <c r="I77" s="45">
        <f>G77+H77</f>
        <v>10800</v>
      </c>
      <c r="J77" s="32"/>
      <c r="K77" s="24"/>
      <c r="L77" s="15"/>
    </row>
    <row r="78" spans="1:16" s="7" customFormat="1" ht="15.75">
      <c r="A78" s="57"/>
      <c r="B78" s="55" t="s">
        <v>42</v>
      </c>
      <c r="C78" s="56"/>
      <c r="D78" s="56"/>
      <c r="E78" s="124" t="s">
        <v>240</v>
      </c>
      <c r="F78" s="124"/>
      <c r="G78" s="54">
        <f>SUM(G79:G85)</f>
        <v>23529703</v>
      </c>
      <c r="H78" s="54">
        <f>SUM(H79:H85)</f>
        <v>327499</v>
      </c>
      <c r="I78" s="54">
        <f>SUM(I79:I85)</f>
        <v>23857202</v>
      </c>
      <c r="J78" s="31"/>
      <c r="K78" s="21"/>
      <c r="L78" s="22"/>
      <c r="M78" s="23"/>
      <c r="N78" s="23"/>
      <c r="O78" s="23"/>
      <c r="P78" s="23"/>
    </row>
    <row r="79" spans="1:16" s="7" customFormat="1" ht="346.5">
      <c r="A79" s="57"/>
      <c r="B79" s="92"/>
      <c r="C79" s="50" t="s">
        <v>229</v>
      </c>
      <c r="D79" s="47">
        <v>1030</v>
      </c>
      <c r="E79" s="97" t="s">
        <v>230</v>
      </c>
      <c r="F79" s="46" t="s">
        <v>231</v>
      </c>
      <c r="G79" s="45"/>
      <c r="H79" s="45">
        <v>200000</v>
      </c>
      <c r="I79" s="45">
        <f t="shared" si="2"/>
        <v>200000</v>
      </c>
      <c r="J79" s="31"/>
      <c r="K79" s="21"/>
      <c r="L79" s="22"/>
      <c r="M79" s="23"/>
      <c r="N79" s="23"/>
      <c r="O79" s="23"/>
      <c r="P79" s="23"/>
    </row>
    <row r="80" spans="2:12" ht="94.5">
      <c r="B80" s="43"/>
      <c r="C80" s="44" t="s">
        <v>45</v>
      </c>
      <c r="D80" s="44" t="s">
        <v>46</v>
      </c>
      <c r="E80" s="43" t="s">
        <v>47</v>
      </c>
      <c r="F80" s="46" t="s">
        <v>232</v>
      </c>
      <c r="G80" s="46">
        <f>4291400+53460+33108+100000+86000+8800+300000+33000+36000+21400+93500+44500+119150+500000+4000+62000</f>
        <v>5786318</v>
      </c>
      <c r="H80" s="46"/>
      <c r="I80" s="45">
        <f t="shared" si="2"/>
        <v>5786318</v>
      </c>
      <c r="J80" s="32"/>
      <c r="K80" s="24"/>
      <c r="L80" s="15"/>
    </row>
    <row r="81" spans="2:12" ht="47.25">
      <c r="B81" s="43"/>
      <c r="C81" s="50" t="s">
        <v>155</v>
      </c>
      <c r="D81" s="44">
        <v>1020</v>
      </c>
      <c r="E81" s="43" t="s">
        <v>156</v>
      </c>
      <c r="F81" s="46" t="s">
        <v>231</v>
      </c>
      <c r="G81" s="46">
        <f>12874020-363250-425520-423830+150000+70000+1000+1500+1500+1500</f>
        <v>11886920</v>
      </c>
      <c r="H81" s="46">
        <f>41199+41900+44400</f>
        <v>127499</v>
      </c>
      <c r="I81" s="45">
        <f t="shared" si="2"/>
        <v>12014419</v>
      </c>
      <c r="J81" s="32"/>
      <c r="K81" s="24"/>
      <c r="L81" s="15"/>
    </row>
    <row r="82" spans="2:12" ht="126">
      <c r="B82" s="43"/>
      <c r="C82" s="44" t="s">
        <v>49</v>
      </c>
      <c r="D82" s="44" t="s">
        <v>48</v>
      </c>
      <c r="E82" s="43" t="s">
        <v>50</v>
      </c>
      <c r="F82" s="46" t="s">
        <v>231</v>
      </c>
      <c r="G82" s="46">
        <v>977200</v>
      </c>
      <c r="H82" s="46"/>
      <c r="I82" s="45">
        <f t="shared" si="2"/>
        <v>977200</v>
      </c>
      <c r="J82" s="32"/>
      <c r="K82" s="24"/>
      <c r="L82" s="15"/>
    </row>
    <row r="83" spans="2:12" ht="141.75">
      <c r="B83" s="43"/>
      <c r="C83" s="44" t="s">
        <v>51</v>
      </c>
      <c r="D83" s="44" t="s">
        <v>44</v>
      </c>
      <c r="E83" s="43" t="s">
        <v>52</v>
      </c>
      <c r="F83" s="46" t="s">
        <v>231</v>
      </c>
      <c r="G83" s="46">
        <f>2880960+255-4000</f>
        <v>2877215</v>
      </c>
      <c r="H83" s="46"/>
      <c r="I83" s="45">
        <f t="shared" si="2"/>
        <v>2877215</v>
      </c>
      <c r="J83" s="32"/>
      <c r="K83" s="24"/>
      <c r="L83" s="15"/>
    </row>
    <row r="84" spans="2:12" ht="47.25">
      <c r="B84" s="43"/>
      <c r="C84" s="44" t="s">
        <v>53</v>
      </c>
      <c r="D84" s="44" t="s">
        <v>43</v>
      </c>
      <c r="E84" s="43" t="s">
        <v>54</v>
      </c>
      <c r="F84" s="46" t="s">
        <v>231</v>
      </c>
      <c r="G84" s="46">
        <f>285460+41740+35340+36460+38720+33080+5000</f>
        <v>475800</v>
      </c>
      <c r="H84" s="46"/>
      <c r="I84" s="45">
        <f t="shared" si="2"/>
        <v>475800</v>
      </c>
      <c r="J84" s="32"/>
      <c r="K84" s="24"/>
      <c r="L84" s="15"/>
    </row>
    <row r="85" spans="2:12" ht="47.25">
      <c r="B85" s="43"/>
      <c r="C85" s="44" t="s">
        <v>55</v>
      </c>
      <c r="D85" s="44" t="s">
        <v>46</v>
      </c>
      <c r="E85" s="43" t="s">
        <v>56</v>
      </c>
      <c r="F85" s="46" t="s">
        <v>231</v>
      </c>
      <c r="G85" s="46">
        <f>1658160-131910</f>
        <v>1526250</v>
      </c>
      <c r="H85" s="46"/>
      <c r="I85" s="45">
        <f t="shared" si="2"/>
        <v>1526250</v>
      </c>
      <c r="J85" s="32"/>
      <c r="K85" s="24"/>
      <c r="L85" s="15"/>
    </row>
    <row r="86" spans="1:16" s="7" customFormat="1" ht="15.75">
      <c r="A86" s="57"/>
      <c r="B86" s="55" t="s">
        <v>191</v>
      </c>
      <c r="C86" s="56"/>
      <c r="D86" s="56"/>
      <c r="E86" s="124" t="s">
        <v>219</v>
      </c>
      <c r="F86" s="124"/>
      <c r="G86" s="54">
        <f>G87</f>
        <v>11323</v>
      </c>
      <c r="H86" s="54">
        <f>H87</f>
        <v>0</v>
      </c>
      <c r="I86" s="54">
        <f>I87</f>
        <v>11323</v>
      </c>
      <c r="J86" s="31"/>
      <c r="K86" s="21"/>
      <c r="L86" s="22"/>
      <c r="M86" s="23"/>
      <c r="N86" s="23"/>
      <c r="O86" s="23"/>
      <c r="P86" s="23"/>
    </row>
    <row r="87" spans="2:12" ht="47.25">
      <c r="B87" s="74"/>
      <c r="C87" s="75" t="s">
        <v>188</v>
      </c>
      <c r="D87" s="75" t="s">
        <v>189</v>
      </c>
      <c r="E87" s="94" t="s">
        <v>190</v>
      </c>
      <c r="F87" s="82" t="s">
        <v>192</v>
      </c>
      <c r="G87" s="76">
        <v>11323</v>
      </c>
      <c r="H87" s="78"/>
      <c r="I87" s="45">
        <f>G87+H87</f>
        <v>11323</v>
      </c>
      <c r="J87" s="32"/>
      <c r="K87" s="24"/>
      <c r="L87" s="15"/>
    </row>
    <row r="88" spans="1:16" s="7" customFormat="1" ht="15.75">
      <c r="A88" s="57"/>
      <c r="B88" s="55" t="s">
        <v>57</v>
      </c>
      <c r="C88" s="56"/>
      <c r="D88" s="56"/>
      <c r="E88" s="124" t="s">
        <v>242</v>
      </c>
      <c r="F88" s="124"/>
      <c r="G88" s="54">
        <f>G90+G91</f>
        <v>183080</v>
      </c>
      <c r="H88" s="54">
        <f>H90+H91</f>
        <v>0</v>
      </c>
      <c r="I88" s="54">
        <f>I90+I91</f>
        <v>183080</v>
      </c>
      <c r="J88" s="31"/>
      <c r="K88" s="21"/>
      <c r="L88" s="22"/>
      <c r="M88" s="23"/>
      <c r="N88" s="23"/>
      <c r="O88" s="23"/>
      <c r="P88" s="23"/>
    </row>
    <row r="89" spans="2:12" ht="63">
      <c r="B89" s="43"/>
      <c r="C89" s="44" t="s">
        <v>58</v>
      </c>
      <c r="D89" s="44" t="s">
        <v>21</v>
      </c>
      <c r="E89" s="43" t="s">
        <v>59</v>
      </c>
      <c r="F89" s="46" t="s">
        <v>169</v>
      </c>
      <c r="G89" s="46">
        <f>2895120-193200+4000+14250+590+26820+3170+410</f>
        <v>2751160</v>
      </c>
      <c r="H89" s="35">
        <f>4000-4000+7835</f>
        <v>7835</v>
      </c>
      <c r="I89" s="45">
        <f aca="true" t="shared" si="3" ref="I89:I145">G89+H89</f>
        <v>2758995</v>
      </c>
      <c r="J89" s="32"/>
      <c r="K89" s="24"/>
      <c r="L89" s="15"/>
    </row>
    <row r="90" spans="2:12" ht="47.25">
      <c r="B90" s="43"/>
      <c r="C90" s="47" t="s">
        <v>26</v>
      </c>
      <c r="D90" s="44" t="s">
        <v>21</v>
      </c>
      <c r="E90" s="43" t="s">
        <v>27</v>
      </c>
      <c r="F90" s="46" t="s">
        <v>170</v>
      </c>
      <c r="G90" s="46">
        <v>35000</v>
      </c>
      <c r="H90" s="46"/>
      <c r="I90" s="45">
        <f t="shared" si="3"/>
        <v>35000</v>
      </c>
      <c r="J90" s="32"/>
      <c r="K90" s="24"/>
      <c r="L90" s="15"/>
    </row>
    <row r="91" spans="2:12" ht="47.25">
      <c r="B91" s="43"/>
      <c r="C91" s="44" t="s">
        <v>60</v>
      </c>
      <c r="D91" s="44" t="s">
        <v>21</v>
      </c>
      <c r="E91" s="43" t="s">
        <v>61</v>
      </c>
      <c r="F91" s="46" t="s">
        <v>170</v>
      </c>
      <c r="G91" s="46">
        <f>102140+36940+9000</f>
        <v>148080</v>
      </c>
      <c r="H91" s="46"/>
      <c r="I91" s="45">
        <f t="shared" si="3"/>
        <v>148080</v>
      </c>
      <c r="J91" s="32"/>
      <c r="K91" s="24"/>
      <c r="L91" s="15"/>
    </row>
    <row r="92" spans="1:16" s="7" customFormat="1" ht="15.75">
      <c r="A92" s="57"/>
      <c r="B92" s="55" t="s">
        <v>62</v>
      </c>
      <c r="C92" s="56"/>
      <c r="D92" s="56"/>
      <c r="E92" s="123" t="s">
        <v>241</v>
      </c>
      <c r="F92" s="124"/>
      <c r="G92" s="54">
        <f>SUM(G93:G97)</f>
        <v>629316</v>
      </c>
      <c r="H92" s="54">
        <f>SUM(H93:H97)</f>
        <v>60000</v>
      </c>
      <c r="I92" s="54">
        <f>SUM(I93:I97)</f>
        <v>689316</v>
      </c>
      <c r="J92" s="31"/>
      <c r="K92" s="21"/>
      <c r="L92" s="22"/>
      <c r="M92" s="23"/>
      <c r="N92" s="23"/>
      <c r="O92" s="23"/>
      <c r="P92" s="23"/>
    </row>
    <row r="93" spans="2:12" ht="47.25">
      <c r="B93" s="43"/>
      <c r="C93" s="113" t="s">
        <v>63</v>
      </c>
      <c r="D93" s="113" t="s">
        <v>64</v>
      </c>
      <c r="E93" s="114" t="s">
        <v>65</v>
      </c>
      <c r="F93" s="43" t="s">
        <v>177</v>
      </c>
      <c r="G93" s="46">
        <v>64311</v>
      </c>
      <c r="H93" s="46"/>
      <c r="I93" s="45">
        <f t="shared" si="3"/>
        <v>64311</v>
      </c>
      <c r="J93" s="32"/>
      <c r="K93" s="24"/>
      <c r="L93" s="15"/>
    </row>
    <row r="94" spans="2:12" ht="47.25">
      <c r="B94" s="43"/>
      <c r="C94" s="113"/>
      <c r="D94" s="113"/>
      <c r="E94" s="114"/>
      <c r="F94" s="43" t="s">
        <v>171</v>
      </c>
      <c r="G94" s="46">
        <v>0</v>
      </c>
      <c r="H94" s="46"/>
      <c r="I94" s="45">
        <f t="shared" si="3"/>
        <v>0</v>
      </c>
      <c r="J94" s="32"/>
      <c r="K94" s="24"/>
      <c r="L94" s="15"/>
    </row>
    <row r="95" spans="2:12" ht="63">
      <c r="B95" s="50"/>
      <c r="C95" s="44">
        <v>110102</v>
      </c>
      <c r="D95" s="50" t="s">
        <v>64</v>
      </c>
      <c r="E95" s="43" t="s">
        <v>173</v>
      </c>
      <c r="F95" s="45" t="s">
        <v>172</v>
      </c>
      <c r="G95" s="46">
        <v>565005</v>
      </c>
      <c r="H95" s="46"/>
      <c r="I95" s="45">
        <f t="shared" si="3"/>
        <v>565005</v>
      </c>
      <c r="J95" s="32"/>
      <c r="K95" s="24"/>
      <c r="L95" s="15"/>
    </row>
    <row r="96" spans="2:14" ht="94.5">
      <c r="B96" s="50"/>
      <c r="C96" s="44">
        <v>180409</v>
      </c>
      <c r="D96" s="47" t="s">
        <v>127</v>
      </c>
      <c r="E96" s="95" t="s">
        <v>123</v>
      </c>
      <c r="F96" s="46" t="s">
        <v>217</v>
      </c>
      <c r="G96" s="46"/>
      <c r="H96" s="46">
        <f>300000-300000</f>
        <v>0</v>
      </c>
      <c r="I96" s="45">
        <f>G96+H96</f>
        <v>0</v>
      </c>
      <c r="J96" s="32"/>
      <c r="K96" s="24">
        <v>180409</v>
      </c>
      <c r="L96" s="12">
        <f>G96+G97</f>
        <v>0</v>
      </c>
      <c r="M96" s="12">
        <f>H96+H97</f>
        <v>60000</v>
      </c>
      <c r="N96" s="12">
        <f>I96+I97</f>
        <v>60000</v>
      </c>
    </row>
    <row r="97" spans="2:12" ht="94.5">
      <c r="B97" s="50"/>
      <c r="C97" s="44">
        <v>180409</v>
      </c>
      <c r="D97" s="47" t="s">
        <v>127</v>
      </c>
      <c r="E97" s="95" t="s">
        <v>123</v>
      </c>
      <c r="F97" s="46" t="s">
        <v>220</v>
      </c>
      <c r="G97" s="46"/>
      <c r="H97" s="46">
        <f>60000+35000-35000</f>
        <v>60000</v>
      </c>
      <c r="I97" s="45">
        <f t="shared" si="3"/>
        <v>60000</v>
      </c>
      <c r="J97" s="32"/>
      <c r="K97" s="24"/>
      <c r="L97" s="15"/>
    </row>
    <row r="98" spans="1:16" s="7" customFormat="1" ht="15.75">
      <c r="A98" s="57"/>
      <c r="B98" s="55" t="s">
        <v>66</v>
      </c>
      <c r="C98" s="56"/>
      <c r="D98" s="56"/>
      <c r="E98" s="124" t="s">
        <v>243</v>
      </c>
      <c r="F98" s="124"/>
      <c r="G98" s="54">
        <f>SUM(G99:G99)</f>
        <v>5200</v>
      </c>
      <c r="H98" s="54">
        <f>SUM(H99:H99)</f>
        <v>0</v>
      </c>
      <c r="I98" s="54">
        <f>SUM(I99:I99)</f>
        <v>5200</v>
      </c>
      <c r="J98" s="31"/>
      <c r="K98" s="21"/>
      <c r="L98" s="22"/>
      <c r="M98" s="23"/>
      <c r="N98" s="23"/>
      <c r="O98" s="23"/>
      <c r="P98" s="23"/>
    </row>
    <row r="99" spans="2:12" ht="63">
      <c r="B99" s="43"/>
      <c r="C99" s="44" t="s">
        <v>8</v>
      </c>
      <c r="D99" s="44" t="s">
        <v>9</v>
      </c>
      <c r="E99" s="43" t="s">
        <v>67</v>
      </c>
      <c r="F99" s="46" t="s">
        <v>163</v>
      </c>
      <c r="G99" s="46">
        <f>35200-30000</f>
        <v>5200</v>
      </c>
      <c r="H99" s="46"/>
      <c r="I99" s="45">
        <f t="shared" si="3"/>
        <v>5200</v>
      </c>
      <c r="J99" s="32"/>
      <c r="K99" s="24"/>
      <c r="L99" s="15"/>
    </row>
    <row r="100" spans="1:16" s="7" customFormat="1" ht="15.75">
      <c r="A100" s="57"/>
      <c r="B100" s="55" t="s">
        <v>68</v>
      </c>
      <c r="C100" s="56"/>
      <c r="D100" s="56"/>
      <c r="E100" s="124" t="s">
        <v>244</v>
      </c>
      <c r="F100" s="124"/>
      <c r="G100" s="54">
        <f>SUM(G101:G104)</f>
        <v>1689300</v>
      </c>
      <c r="H100" s="54">
        <f>SUM(H101:H104)</f>
        <v>1094000</v>
      </c>
      <c r="I100" s="54">
        <f>SUM(I101:I104)</f>
        <v>2783300</v>
      </c>
      <c r="J100" s="31"/>
      <c r="K100" s="21"/>
      <c r="L100" s="22"/>
      <c r="M100" s="23"/>
      <c r="N100" s="23"/>
      <c r="O100" s="23"/>
      <c r="P100" s="23"/>
    </row>
    <row r="101" spans="2:12" ht="63">
      <c r="B101" s="43"/>
      <c r="C101" s="44">
        <v>150118</v>
      </c>
      <c r="D101" s="44">
        <v>1060</v>
      </c>
      <c r="E101" s="43" t="s">
        <v>194</v>
      </c>
      <c r="F101" s="46" t="s">
        <v>216</v>
      </c>
      <c r="G101" s="46"/>
      <c r="H101" s="46">
        <v>900000</v>
      </c>
      <c r="I101" s="45">
        <f>G101+H101</f>
        <v>900000</v>
      </c>
      <c r="J101" s="32"/>
      <c r="K101" s="24"/>
      <c r="L101" s="15"/>
    </row>
    <row r="102" spans="2:12" ht="63">
      <c r="B102" s="43"/>
      <c r="C102" s="44" t="s">
        <v>69</v>
      </c>
      <c r="D102" s="44" t="s">
        <v>70</v>
      </c>
      <c r="E102" s="43" t="s">
        <v>71</v>
      </c>
      <c r="F102" s="46" t="s">
        <v>160</v>
      </c>
      <c r="G102" s="46">
        <f>672000+878000+39300</f>
        <v>1589300</v>
      </c>
      <c r="H102" s="46">
        <f>0+94000</f>
        <v>94000</v>
      </c>
      <c r="I102" s="45">
        <f t="shared" si="3"/>
        <v>1683300</v>
      </c>
      <c r="J102" s="32"/>
      <c r="K102" s="24"/>
      <c r="L102" s="15"/>
    </row>
    <row r="103" spans="2:12" ht="63">
      <c r="B103" s="43"/>
      <c r="C103" s="44" t="s">
        <v>72</v>
      </c>
      <c r="D103" s="44" t="s">
        <v>73</v>
      </c>
      <c r="E103" s="43" t="s">
        <v>27</v>
      </c>
      <c r="F103" s="46" t="s">
        <v>216</v>
      </c>
      <c r="G103" s="46">
        <v>100000</v>
      </c>
      <c r="H103" s="46"/>
      <c r="I103" s="45">
        <f t="shared" si="3"/>
        <v>100000</v>
      </c>
      <c r="J103" s="32"/>
      <c r="K103" s="24"/>
      <c r="L103" s="15"/>
    </row>
    <row r="104" spans="2:12" ht="94.5">
      <c r="B104" s="43"/>
      <c r="C104" s="44">
        <v>250500</v>
      </c>
      <c r="D104" s="66">
        <v>490</v>
      </c>
      <c r="E104" s="43" t="s">
        <v>203</v>
      </c>
      <c r="F104" s="46" t="s">
        <v>204</v>
      </c>
      <c r="G104" s="46"/>
      <c r="H104" s="46">
        <v>100000</v>
      </c>
      <c r="I104" s="45">
        <f t="shared" si="3"/>
        <v>100000</v>
      </c>
      <c r="J104" s="32"/>
      <c r="K104" s="24"/>
      <c r="L104" s="15"/>
    </row>
    <row r="105" spans="1:16" s="7" customFormat="1" ht="15.75">
      <c r="A105" s="57"/>
      <c r="B105" s="55" t="s">
        <v>74</v>
      </c>
      <c r="C105" s="56"/>
      <c r="D105" s="56"/>
      <c r="E105" s="123" t="s">
        <v>245</v>
      </c>
      <c r="F105" s="124"/>
      <c r="G105" s="99">
        <f>SUM(G106:G139)</f>
        <v>149163454.5</v>
      </c>
      <c r="H105" s="54">
        <f>SUM(H106:H139)</f>
        <v>96129959</v>
      </c>
      <c r="I105" s="54">
        <f>SUM(I106:I139)</f>
        <v>245293413.5</v>
      </c>
      <c r="J105" s="31"/>
      <c r="K105" s="21"/>
      <c r="L105" s="22"/>
      <c r="M105" s="23"/>
      <c r="N105" s="23"/>
      <c r="O105" s="23"/>
      <c r="P105" s="23"/>
    </row>
    <row r="106" spans="2:14" ht="47.25">
      <c r="B106" s="43"/>
      <c r="C106" s="58" t="s">
        <v>75</v>
      </c>
      <c r="D106" s="58" t="s">
        <v>76</v>
      </c>
      <c r="E106" s="95" t="s">
        <v>77</v>
      </c>
      <c r="F106" s="46" t="s">
        <v>207</v>
      </c>
      <c r="G106" s="100">
        <f>8400000-160480+1700000-200000+300000+10000+148515+85500+55773+122768+5450+29450+5050000+34320.5-200000+20000+13900+5820-310000+5000000-5000000</f>
        <v>15111016.5</v>
      </c>
      <c r="H106" s="46">
        <f>800000+200000+1000000+51485+9000+19250+200000+192250+88600-573000+200000</f>
        <v>2187585</v>
      </c>
      <c r="I106" s="45">
        <f t="shared" si="3"/>
        <v>17298601.5</v>
      </c>
      <c r="J106" s="32"/>
      <c r="K106" s="24" t="s">
        <v>75</v>
      </c>
      <c r="L106" s="34">
        <f>G106+G107</f>
        <v>22310016.5</v>
      </c>
      <c r="M106" s="12">
        <f>H106+H107</f>
        <v>2187585</v>
      </c>
      <c r="N106" s="34">
        <f>I106+I107</f>
        <v>24497601.5</v>
      </c>
    </row>
    <row r="107" spans="2:14" ht="47.25">
      <c r="B107" s="43"/>
      <c r="C107" s="58" t="s">
        <v>75</v>
      </c>
      <c r="D107" s="58" t="s">
        <v>76</v>
      </c>
      <c r="E107" s="95" t="s">
        <v>77</v>
      </c>
      <c r="F107" s="46" t="s">
        <v>0</v>
      </c>
      <c r="G107" s="46">
        <v>7199000</v>
      </c>
      <c r="H107" s="46">
        <f>0</f>
        <v>0</v>
      </c>
      <c r="I107" s="45">
        <f t="shared" si="3"/>
        <v>7199000</v>
      </c>
      <c r="J107" s="32"/>
      <c r="K107" s="24"/>
      <c r="L107" s="12"/>
      <c r="M107" s="13"/>
      <c r="N107" s="13"/>
    </row>
    <row r="108" spans="2:13" ht="47.25">
      <c r="B108" s="43"/>
      <c r="C108" s="44">
        <v>100102</v>
      </c>
      <c r="D108" s="47" t="s">
        <v>76</v>
      </c>
      <c r="E108" s="43" t="s">
        <v>121</v>
      </c>
      <c r="F108" s="46" t="s">
        <v>213</v>
      </c>
      <c r="G108" s="46">
        <v>0</v>
      </c>
      <c r="H108" s="46">
        <f>285000+200000+9165000+850000-400000-395000-250000+310000</f>
        <v>9765000</v>
      </c>
      <c r="I108" s="45">
        <f t="shared" si="3"/>
        <v>9765000</v>
      </c>
      <c r="J108" s="32"/>
      <c r="K108" s="24"/>
      <c r="L108" s="15"/>
      <c r="M108" s="13"/>
    </row>
    <row r="109" spans="2:13" ht="78.75">
      <c r="B109" s="43"/>
      <c r="C109" s="44">
        <v>100201</v>
      </c>
      <c r="D109" s="50" t="s">
        <v>79</v>
      </c>
      <c r="E109" s="43" t="s">
        <v>193</v>
      </c>
      <c r="F109" s="46" t="s">
        <v>214</v>
      </c>
      <c r="G109" s="46">
        <v>25000</v>
      </c>
      <c r="H109" s="46">
        <v>5000000</v>
      </c>
      <c r="I109" s="45">
        <f t="shared" si="3"/>
        <v>5025000</v>
      </c>
      <c r="J109" s="32"/>
      <c r="K109" s="24"/>
      <c r="L109" s="15"/>
      <c r="M109" s="13"/>
    </row>
    <row r="110" spans="2:16" ht="47.25">
      <c r="B110" s="43"/>
      <c r="C110" s="44">
        <v>100202</v>
      </c>
      <c r="D110" s="47" t="s">
        <v>79</v>
      </c>
      <c r="E110" s="43" t="s">
        <v>224</v>
      </c>
      <c r="F110" s="46" t="s">
        <v>0</v>
      </c>
      <c r="G110" s="46">
        <f>400000-392100</f>
        <v>7900</v>
      </c>
      <c r="H110" s="46">
        <v>0</v>
      </c>
      <c r="I110" s="45">
        <f t="shared" si="3"/>
        <v>7900</v>
      </c>
      <c r="J110" s="32"/>
      <c r="K110" s="24"/>
      <c r="L110" s="15"/>
      <c r="M110" s="91"/>
      <c r="N110" s="91"/>
      <c r="O110" s="91"/>
      <c r="P110" s="91"/>
    </row>
    <row r="111" spans="2:14" ht="47.25">
      <c r="B111" s="43"/>
      <c r="C111" s="44" t="s">
        <v>78</v>
      </c>
      <c r="D111" s="44" t="s">
        <v>79</v>
      </c>
      <c r="E111" s="134" t="s">
        <v>80</v>
      </c>
      <c r="F111" s="46" t="s">
        <v>0</v>
      </c>
      <c r="G111" s="46">
        <f>37040200-8400000+2315340-601000-391600+23015000+2400000+2000000+3560930+6000000+50000+113000+136168+76232+50000+1200000+1200000+200000+19000+6241886</f>
        <v>76225156</v>
      </c>
      <c r="H111" s="46">
        <f>1706000-200000+5885000-30000+200000-122757+49500+100000-103200+37000-136168-199000-477900-200000+573000+499000</f>
        <v>7580475</v>
      </c>
      <c r="I111" s="45">
        <f t="shared" si="3"/>
        <v>83805631</v>
      </c>
      <c r="J111" s="32"/>
      <c r="K111" s="24">
        <v>100203</v>
      </c>
      <c r="L111" s="12">
        <f>G111+G112</f>
        <v>77376906</v>
      </c>
      <c r="M111" s="12">
        <f>H111+H112</f>
        <v>8428725</v>
      </c>
      <c r="N111" s="12">
        <f>I111+I112</f>
        <v>85805631</v>
      </c>
    </row>
    <row r="112" spans="2:12" ht="47.25">
      <c r="B112" s="43"/>
      <c r="C112" s="44" t="s">
        <v>78</v>
      </c>
      <c r="D112" s="44" t="s">
        <v>79</v>
      </c>
      <c r="E112" s="135"/>
      <c r="F112" s="46" t="s">
        <v>206</v>
      </c>
      <c r="G112" s="46">
        <v>1151750</v>
      </c>
      <c r="H112" s="46">
        <v>848250</v>
      </c>
      <c r="I112" s="45">
        <f t="shared" si="3"/>
        <v>2000000</v>
      </c>
      <c r="J112" s="32"/>
      <c r="K112" s="24"/>
      <c r="L112" s="12"/>
    </row>
    <row r="113" spans="2:12" ht="63">
      <c r="B113" s="43"/>
      <c r="C113" s="44" t="s">
        <v>81</v>
      </c>
      <c r="D113" s="44" t="s">
        <v>79</v>
      </c>
      <c r="E113" s="43" t="s">
        <v>82</v>
      </c>
      <c r="F113" s="46" t="s">
        <v>178</v>
      </c>
      <c r="G113" s="46">
        <v>3400000</v>
      </c>
      <c r="H113" s="46">
        <v>0</v>
      </c>
      <c r="I113" s="45">
        <f t="shared" si="3"/>
        <v>3400000</v>
      </c>
      <c r="J113" s="32"/>
      <c r="K113" s="24"/>
      <c r="L113" s="15"/>
    </row>
    <row r="114" spans="2:14" ht="47.25">
      <c r="B114" s="43"/>
      <c r="C114" s="44" t="s">
        <v>83</v>
      </c>
      <c r="D114" s="44" t="s">
        <v>79</v>
      </c>
      <c r="E114" s="134" t="s">
        <v>84</v>
      </c>
      <c r="F114" s="46" t="s">
        <v>186</v>
      </c>
      <c r="G114" s="46">
        <f>916000+143850</f>
        <v>1059850</v>
      </c>
      <c r="H114" s="46">
        <v>0</v>
      </c>
      <c r="I114" s="45">
        <f t="shared" si="3"/>
        <v>1059850</v>
      </c>
      <c r="J114" s="32"/>
      <c r="K114" s="24">
        <v>100302</v>
      </c>
      <c r="L114" s="12">
        <f>G114+G115</f>
        <v>3396550</v>
      </c>
      <c r="M114" s="12">
        <f>H114+H115</f>
        <v>13300</v>
      </c>
      <c r="N114" s="12">
        <f>I114+I115</f>
        <v>3409850</v>
      </c>
    </row>
    <row r="115" spans="2:15" ht="78.75">
      <c r="B115" s="43"/>
      <c r="C115" s="44" t="s">
        <v>83</v>
      </c>
      <c r="D115" s="44" t="s">
        <v>79</v>
      </c>
      <c r="E115" s="135"/>
      <c r="F115" s="46" t="s">
        <v>185</v>
      </c>
      <c r="G115" s="46">
        <f>2450000-100000-13300</f>
        <v>2336700</v>
      </c>
      <c r="H115" s="46">
        <f>0+13300</f>
        <v>13300</v>
      </c>
      <c r="I115" s="45">
        <f t="shared" si="3"/>
        <v>2350000</v>
      </c>
      <c r="J115" s="32"/>
      <c r="K115" s="24"/>
      <c r="L115" s="15"/>
      <c r="O115" s="13"/>
    </row>
    <row r="116" spans="2:12" ht="47.25">
      <c r="B116" s="74"/>
      <c r="C116" s="75" t="s">
        <v>188</v>
      </c>
      <c r="D116" s="75" t="s">
        <v>189</v>
      </c>
      <c r="E116" s="94" t="s">
        <v>190</v>
      </c>
      <c r="F116" s="82" t="s">
        <v>0</v>
      </c>
      <c r="G116" s="76">
        <f>391600</f>
        <v>391600</v>
      </c>
      <c r="H116" s="78"/>
      <c r="I116" s="45">
        <f>G116+H116</f>
        <v>391600</v>
      </c>
      <c r="J116" s="32"/>
      <c r="K116" s="24"/>
      <c r="L116" s="15"/>
    </row>
    <row r="117" spans="1:14" ht="47.25">
      <c r="A117" s="8"/>
      <c r="B117" s="43"/>
      <c r="C117" s="44">
        <v>150101</v>
      </c>
      <c r="D117" s="47" t="s">
        <v>127</v>
      </c>
      <c r="E117" s="43" t="s">
        <v>122</v>
      </c>
      <c r="F117" s="46" t="s">
        <v>212</v>
      </c>
      <c r="G117" s="35"/>
      <c r="H117" s="46">
        <f>1318237+9999100-850000+30000+326118+80000+1957955+103114</f>
        <v>12964524</v>
      </c>
      <c r="I117" s="45">
        <f t="shared" si="3"/>
        <v>12964524</v>
      </c>
      <c r="J117" s="32"/>
      <c r="K117" s="24">
        <v>150101</v>
      </c>
      <c r="L117" s="12">
        <f>G117+G118</f>
        <v>0</v>
      </c>
      <c r="M117" s="12">
        <f>H117+H118</f>
        <v>13331524</v>
      </c>
      <c r="N117" s="12">
        <f>I117+I118</f>
        <v>13331524</v>
      </c>
    </row>
    <row r="118" spans="1:14" ht="94.5">
      <c r="A118" s="8"/>
      <c r="B118" s="43"/>
      <c r="C118" s="44">
        <v>150101</v>
      </c>
      <c r="D118" s="47" t="s">
        <v>127</v>
      </c>
      <c r="E118" s="43" t="s">
        <v>122</v>
      </c>
      <c r="F118" s="46" t="s">
        <v>211</v>
      </c>
      <c r="G118" s="35"/>
      <c r="H118" s="46">
        <f>360000+7000</f>
        <v>367000</v>
      </c>
      <c r="I118" s="45">
        <f t="shared" si="3"/>
        <v>367000</v>
      </c>
      <c r="J118" s="32"/>
      <c r="K118" s="24"/>
      <c r="L118" s="12"/>
      <c r="M118" s="12"/>
      <c r="N118" s="12"/>
    </row>
    <row r="119" spans="1:14" ht="78.75">
      <c r="A119" s="8"/>
      <c r="B119" s="43"/>
      <c r="C119" s="44">
        <v>150110</v>
      </c>
      <c r="D119" s="47" t="s">
        <v>126</v>
      </c>
      <c r="E119" s="43" t="s">
        <v>120</v>
      </c>
      <c r="F119" s="46" t="s">
        <v>212</v>
      </c>
      <c r="G119" s="35"/>
      <c r="H119" s="46">
        <f>2718000+776000-295000</f>
        <v>3199000</v>
      </c>
      <c r="I119" s="45">
        <f>G119+H119</f>
        <v>3199000</v>
      </c>
      <c r="J119" s="32"/>
      <c r="K119" s="24"/>
      <c r="L119" s="12"/>
      <c r="M119" s="12"/>
      <c r="N119" s="12"/>
    </row>
    <row r="120" spans="1:14" ht="78.75">
      <c r="A120" s="8"/>
      <c r="B120" s="43"/>
      <c r="C120" s="44">
        <v>150112</v>
      </c>
      <c r="D120" s="47">
        <v>960</v>
      </c>
      <c r="E120" s="43" t="s">
        <v>134</v>
      </c>
      <c r="F120" s="46" t="s">
        <v>179</v>
      </c>
      <c r="G120" s="35"/>
      <c r="H120" s="46">
        <v>80000</v>
      </c>
      <c r="I120" s="45">
        <f>G120+H120</f>
        <v>80000</v>
      </c>
      <c r="J120" s="32"/>
      <c r="K120" s="24"/>
      <c r="L120" s="12"/>
      <c r="M120" s="12"/>
      <c r="N120" s="12"/>
    </row>
    <row r="121" spans="2:12" ht="78.75">
      <c r="B121" s="43"/>
      <c r="C121" s="44" t="s">
        <v>85</v>
      </c>
      <c r="D121" s="44" t="s">
        <v>86</v>
      </c>
      <c r="E121" s="43" t="s">
        <v>87</v>
      </c>
      <c r="F121" s="46" t="s">
        <v>0</v>
      </c>
      <c r="G121" s="46">
        <f>15300200-1000000+15000000+30000-1000000+10000000</f>
        <v>38330200</v>
      </c>
      <c r="H121" s="46">
        <f>630000+3224700-30000</f>
        <v>3824700</v>
      </c>
      <c r="I121" s="45">
        <f t="shared" si="3"/>
        <v>42154900</v>
      </c>
      <c r="J121" s="32"/>
      <c r="K121" s="24"/>
      <c r="L121" s="15"/>
    </row>
    <row r="122" spans="2:14" ht="94.5">
      <c r="B122" s="43"/>
      <c r="C122" s="44">
        <v>180409</v>
      </c>
      <c r="D122" s="47" t="s">
        <v>127</v>
      </c>
      <c r="E122" s="95" t="s">
        <v>123</v>
      </c>
      <c r="F122" s="46" t="s">
        <v>210</v>
      </c>
      <c r="G122" s="46"/>
      <c r="H122" s="46">
        <f>2625100+5500000+5000000</f>
        <v>13125100</v>
      </c>
      <c r="I122" s="45">
        <f t="shared" si="3"/>
        <v>13125100</v>
      </c>
      <c r="J122" s="32"/>
      <c r="K122" s="24">
        <v>180409</v>
      </c>
      <c r="L122" s="12">
        <f>G122+G123+G124+G125+G126+G127+G128+G129+G130</f>
        <v>0</v>
      </c>
      <c r="M122" s="12">
        <f>H122+H123+H124+H125+H126+H127+H128+H129+H130</f>
        <v>35835296</v>
      </c>
      <c r="N122" s="12">
        <f>I122+I123+I124+I125+I126+I127+I128+I129+I130</f>
        <v>35835296</v>
      </c>
    </row>
    <row r="123" spans="2:12" ht="94.5">
      <c r="B123" s="43"/>
      <c r="C123" s="44">
        <v>180409</v>
      </c>
      <c r="D123" s="47" t="s">
        <v>127</v>
      </c>
      <c r="E123" s="95" t="s">
        <v>123</v>
      </c>
      <c r="F123" s="46" t="s">
        <v>209</v>
      </c>
      <c r="G123" s="46"/>
      <c r="H123" s="46">
        <f>1700000-149246-30000-195000-776000-300000</f>
        <v>249754</v>
      </c>
      <c r="I123" s="45">
        <f aca="true" t="shared" si="4" ref="I123:I131">G123+H123</f>
        <v>249754</v>
      </c>
      <c r="J123" s="32"/>
      <c r="K123" s="24"/>
      <c r="L123" s="15"/>
    </row>
    <row r="124" spans="2:13" ht="94.5">
      <c r="B124" s="43"/>
      <c r="C124" s="44">
        <v>180409</v>
      </c>
      <c r="D124" s="47" t="s">
        <v>127</v>
      </c>
      <c r="E124" s="95" t="s">
        <v>123</v>
      </c>
      <c r="F124" s="46" t="s">
        <v>202</v>
      </c>
      <c r="G124" s="46"/>
      <c r="H124" s="46">
        <v>200000</v>
      </c>
      <c r="I124" s="45">
        <f t="shared" si="4"/>
        <v>200000</v>
      </c>
      <c r="J124" s="32"/>
      <c r="K124" s="24"/>
      <c r="L124" s="15"/>
      <c r="M124" s="13"/>
    </row>
    <row r="125" spans="2:12" ht="94.5">
      <c r="B125" s="43"/>
      <c r="C125" s="44">
        <v>180409</v>
      </c>
      <c r="D125" s="47" t="s">
        <v>127</v>
      </c>
      <c r="E125" s="95" t="s">
        <v>123</v>
      </c>
      <c r="F125" s="46" t="s">
        <v>225</v>
      </c>
      <c r="G125" s="46"/>
      <c r="H125" s="46">
        <v>337301</v>
      </c>
      <c r="I125" s="45">
        <f t="shared" si="4"/>
        <v>337301</v>
      </c>
      <c r="J125" s="32"/>
      <c r="K125" s="24"/>
      <c r="L125" s="15"/>
    </row>
    <row r="126" spans="2:12" ht="94.5">
      <c r="B126" s="43"/>
      <c r="C126" s="44">
        <v>180409</v>
      </c>
      <c r="D126" s="47" t="s">
        <v>127</v>
      </c>
      <c r="E126" s="95" t="s">
        <v>123</v>
      </c>
      <c r="F126" s="46" t="s">
        <v>1</v>
      </c>
      <c r="G126" s="46"/>
      <c r="H126" s="46">
        <f>200000+200000</f>
        <v>400000</v>
      </c>
      <c r="I126" s="45">
        <f t="shared" si="4"/>
        <v>400000</v>
      </c>
      <c r="J126" s="32"/>
      <c r="K126" s="24"/>
      <c r="L126" s="15"/>
    </row>
    <row r="127" spans="2:12" ht="94.5">
      <c r="B127" s="43"/>
      <c r="C127" s="44">
        <v>180409</v>
      </c>
      <c r="D127" s="47" t="s">
        <v>127</v>
      </c>
      <c r="E127" s="95" t="s">
        <v>123</v>
      </c>
      <c r="F127" s="46" t="s">
        <v>233</v>
      </c>
      <c r="G127" s="46"/>
      <c r="H127" s="46">
        <f>165000-165000+423141</f>
        <v>423141</v>
      </c>
      <c r="I127" s="45">
        <f>G127+H127</f>
        <v>423141</v>
      </c>
      <c r="J127" s="32"/>
      <c r="K127" s="24"/>
      <c r="L127" s="15"/>
    </row>
    <row r="128" spans="2:12" ht="94.5">
      <c r="B128" s="43"/>
      <c r="C128" s="44">
        <v>180409</v>
      </c>
      <c r="D128" s="47" t="s">
        <v>127</v>
      </c>
      <c r="E128" s="95" t="s">
        <v>123</v>
      </c>
      <c r="F128" s="46" t="s">
        <v>185</v>
      </c>
      <c r="G128" s="46"/>
      <c r="H128" s="46">
        <v>100000</v>
      </c>
      <c r="I128" s="45">
        <f t="shared" si="4"/>
        <v>100000</v>
      </c>
      <c r="J128" s="32"/>
      <c r="K128" s="24"/>
      <c r="L128" s="15"/>
    </row>
    <row r="129" spans="1:16" s="90" customFormat="1" ht="94.5">
      <c r="A129" s="8"/>
      <c r="B129" s="9"/>
      <c r="C129" s="44">
        <v>180409</v>
      </c>
      <c r="D129" s="47" t="s">
        <v>127</v>
      </c>
      <c r="E129" s="95" t="s">
        <v>123</v>
      </c>
      <c r="F129" s="46" t="s">
        <v>208</v>
      </c>
      <c r="G129" s="35"/>
      <c r="H129" s="46">
        <v>15000000</v>
      </c>
      <c r="I129" s="45">
        <f t="shared" si="4"/>
        <v>15000000</v>
      </c>
      <c r="J129" s="86"/>
      <c r="K129" s="87"/>
      <c r="L129" s="88"/>
      <c r="M129" s="89"/>
      <c r="N129" s="89"/>
      <c r="O129" s="89"/>
      <c r="P129" s="89"/>
    </row>
    <row r="130" spans="2:12" ht="94.5">
      <c r="B130" s="43"/>
      <c r="C130" s="44">
        <v>180409</v>
      </c>
      <c r="D130" s="47" t="s">
        <v>127</v>
      </c>
      <c r="E130" s="95" t="s">
        <v>123</v>
      </c>
      <c r="F130" s="46" t="s">
        <v>239</v>
      </c>
      <c r="G130" s="46"/>
      <c r="H130" s="46">
        <f>1000000+5000000</f>
        <v>6000000</v>
      </c>
      <c r="I130" s="45">
        <f>G130+H130</f>
        <v>6000000</v>
      </c>
      <c r="J130" s="32"/>
      <c r="K130" s="24"/>
      <c r="L130" s="15"/>
    </row>
    <row r="131" spans="2:12" ht="15.75">
      <c r="B131" s="43"/>
      <c r="C131" s="44">
        <v>200700</v>
      </c>
      <c r="D131" s="44" t="s">
        <v>103</v>
      </c>
      <c r="E131" s="43" t="s">
        <v>137</v>
      </c>
      <c r="F131" s="119" t="s">
        <v>176</v>
      </c>
      <c r="G131" s="46">
        <f>200000-200000</f>
        <v>0</v>
      </c>
      <c r="H131" s="46">
        <f>199000-199000</f>
        <v>0</v>
      </c>
      <c r="I131" s="45">
        <f t="shared" si="4"/>
        <v>0</v>
      </c>
      <c r="J131" s="32"/>
      <c r="K131" s="24"/>
      <c r="L131" s="15"/>
    </row>
    <row r="132" spans="1:12" ht="47.25">
      <c r="A132" s="8"/>
      <c r="B132" s="9"/>
      <c r="C132" s="44">
        <v>240601</v>
      </c>
      <c r="D132" s="47" t="s">
        <v>94</v>
      </c>
      <c r="E132" s="43" t="s">
        <v>95</v>
      </c>
      <c r="F132" s="120"/>
      <c r="G132" s="35"/>
      <c r="H132" s="46">
        <f>0+801000</f>
        <v>801000</v>
      </c>
      <c r="I132" s="45">
        <f t="shared" si="3"/>
        <v>801000</v>
      </c>
      <c r="J132" s="32"/>
      <c r="K132" s="24"/>
      <c r="L132" s="15"/>
    </row>
    <row r="133" spans="1:12" ht="15.75">
      <c r="A133" s="8"/>
      <c r="B133" s="9"/>
      <c r="C133" s="44">
        <v>240602</v>
      </c>
      <c r="D133" s="47" t="s">
        <v>97</v>
      </c>
      <c r="E133" s="43" t="s">
        <v>98</v>
      </c>
      <c r="F133" s="121"/>
      <c r="G133" s="35"/>
      <c r="H133" s="46">
        <f>0+199000+3508529</f>
        <v>3707529</v>
      </c>
      <c r="I133" s="45">
        <f t="shared" si="3"/>
        <v>3707529</v>
      </c>
      <c r="J133" s="32"/>
      <c r="K133" s="24"/>
      <c r="L133" s="15"/>
    </row>
    <row r="134" spans="1:12" ht="47.25">
      <c r="A134" s="8"/>
      <c r="B134" s="9"/>
      <c r="C134" s="44">
        <v>250324</v>
      </c>
      <c r="D134" s="47" t="s">
        <v>197</v>
      </c>
      <c r="E134" s="43" t="s">
        <v>218</v>
      </c>
      <c r="F134" s="46" t="s">
        <v>212</v>
      </c>
      <c r="G134" s="45"/>
      <c r="H134" s="45">
        <v>2500000</v>
      </c>
      <c r="I134" s="45">
        <f t="shared" si="3"/>
        <v>2500000</v>
      </c>
      <c r="J134" s="32"/>
      <c r="K134" s="24"/>
      <c r="L134" s="15"/>
    </row>
    <row r="135" spans="1:14" ht="63">
      <c r="A135" s="8"/>
      <c r="B135" s="9"/>
      <c r="C135" s="44">
        <v>250380</v>
      </c>
      <c r="D135" s="47" t="s">
        <v>197</v>
      </c>
      <c r="E135" s="43" t="s">
        <v>198</v>
      </c>
      <c r="F135" s="46" t="s">
        <v>164</v>
      </c>
      <c r="G135" s="46">
        <f>0+500000</f>
        <v>500000</v>
      </c>
      <c r="H135" s="35"/>
      <c r="I135" s="45">
        <f t="shared" si="3"/>
        <v>500000</v>
      </c>
      <c r="J135" s="32"/>
      <c r="K135" s="24">
        <v>250380</v>
      </c>
      <c r="L135" s="12">
        <f>G135+G136+G137</f>
        <v>500000</v>
      </c>
      <c r="M135" s="12">
        <f>H135+H136+H137</f>
        <v>7056300</v>
      </c>
      <c r="N135" s="12">
        <f>I135+I136+I137</f>
        <v>7556300</v>
      </c>
    </row>
    <row r="136" spans="1:12" ht="47.25">
      <c r="A136" s="8"/>
      <c r="B136" s="9"/>
      <c r="C136" s="44">
        <v>250380</v>
      </c>
      <c r="D136" s="47" t="s">
        <v>197</v>
      </c>
      <c r="E136" s="43" t="s">
        <v>198</v>
      </c>
      <c r="F136" s="46" t="s">
        <v>205</v>
      </c>
      <c r="G136" s="35"/>
      <c r="H136" s="46">
        <f>1600000</f>
        <v>1600000</v>
      </c>
      <c r="I136" s="45">
        <f>G136+H136</f>
        <v>1600000</v>
      </c>
      <c r="J136" s="32"/>
      <c r="K136" s="24"/>
      <c r="L136" s="15"/>
    </row>
    <row r="137" spans="1:12" ht="47.25">
      <c r="A137" s="8"/>
      <c r="B137" s="9"/>
      <c r="C137" s="44">
        <v>250380</v>
      </c>
      <c r="D137" s="47" t="s">
        <v>197</v>
      </c>
      <c r="E137" s="43" t="s">
        <v>198</v>
      </c>
      <c r="F137" s="46" t="s">
        <v>0</v>
      </c>
      <c r="G137" s="35"/>
      <c r="H137" s="46">
        <f>3800000+1000000+656300</f>
        <v>5456300</v>
      </c>
      <c r="I137" s="45">
        <f>G137+H137</f>
        <v>5456300</v>
      </c>
      <c r="J137" s="32"/>
      <c r="K137" s="24"/>
      <c r="L137" s="15"/>
    </row>
    <row r="138" spans="1:14" ht="47.25">
      <c r="A138" s="8"/>
      <c r="B138" s="9"/>
      <c r="C138" s="44">
        <v>250404</v>
      </c>
      <c r="D138" s="47">
        <v>133</v>
      </c>
      <c r="E138" s="43" t="s">
        <v>27</v>
      </c>
      <c r="F138" s="46" t="s">
        <v>201</v>
      </c>
      <c r="G138" s="46">
        <f>1626300-400000</f>
        <v>1226300</v>
      </c>
      <c r="H138" s="46">
        <f>0+400000</f>
        <v>400000</v>
      </c>
      <c r="I138" s="45">
        <v>1626300</v>
      </c>
      <c r="J138" s="32"/>
      <c r="K138" s="24">
        <v>250404</v>
      </c>
      <c r="L138" s="12">
        <f>G138+G139</f>
        <v>3425282</v>
      </c>
      <c r="M138" s="12">
        <f>H138+H139</f>
        <v>400000</v>
      </c>
      <c r="N138" s="12">
        <f>I138+I139</f>
        <v>3825282</v>
      </c>
    </row>
    <row r="139" spans="2:17" ht="63">
      <c r="B139" s="43"/>
      <c r="C139" s="44" t="s">
        <v>72</v>
      </c>
      <c r="D139" s="44" t="s">
        <v>73</v>
      </c>
      <c r="E139" s="43" t="s">
        <v>27</v>
      </c>
      <c r="F139" s="46" t="s">
        <v>164</v>
      </c>
      <c r="G139" s="46">
        <f>118000+81000+2000000-8825-1378-37515+47700</f>
        <v>2198982</v>
      </c>
      <c r="H139" s="46"/>
      <c r="I139" s="45">
        <f t="shared" si="3"/>
        <v>2198982</v>
      </c>
      <c r="J139" s="32"/>
      <c r="K139" s="24"/>
      <c r="L139" s="34"/>
      <c r="M139" s="28"/>
      <c r="N139" s="13"/>
      <c r="Q139" s="62"/>
    </row>
    <row r="140" spans="1:16" s="7" customFormat="1" ht="15.75">
      <c r="A140" s="57"/>
      <c r="B140" s="55" t="s">
        <v>88</v>
      </c>
      <c r="C140" s="56"/>
      <c r="D140" s="56"/>
      <c r="E140" s="124" t="s">
        <v>246</v>
      </c>
      <c r="F140" s="124"/>
      <c r="G140" s="54">
        <f>SUM(G141:G141)</f>
        <v>85400</v>
      </c>
      <c r="H140" s="54">
        <f>SUM(H141:H141)</f>
        <v>2414600</v>
      </c>
      <c r="I140" s="54">
        <f>SUM(I141:I141)</f>
        <v>2500000</v>
      </c>
      <c r="J140" s="31"/>
      <c r="K140" s="21"/>
      <c r="L140" s="22"/>
      <c r="M140" s="23"/>
      <c r="N140" s="23"/>
      <c r="O140" s="23"/>
      <c r="P140" s="23"/>
    </row>
    <row r="141" spans="2:12" ht="78.75">
      <c r="B141" s="43"/>
      <c r="C141" s="44" t="s">
        <v>89</v>
      </c>
      <c r="D141" s="44" t="s">
        <v>90</v>
      </c>
      <c r="E141" s="43" t="s">
        <v>91</v>
      </c>
      <c r="F141" s="46" t="s">
        <v>165</v>
      </c>
      <c r="G141" s="46">
        <v>85400</v>
      </c>
      <c r="H141" s="46">
        <v>2414600</v>
      </c>
      <c r="I141" s="45">
        <f t="shared" si="3"/>
        <v>2500000</v>
      </c>
      <c r="J141" s="32"/>
      <c r="K141" s="24"/>
      <c r="L141" s="15"/>
    </row>
    <row r="142" spans="1:16" s="7" customFormat="1" ht="15.75">
      <c r="A142" s="57"/>
      <c r="B142" s="55" t="s">
        <v>92</v>
      </c>
      <c r="C142" s="56"/>
      <c r="D142" s="56"/>
      <c r="E142" s="123" t="s">
        <v>247</v>
      </c>
      <c r="F142" s="124"/>
      <c r="G142" s="54">
        <f>SUM(G143:G147)</f>
        <v>0</v>
      </c>
      <c r="H142" s="54">
        <f>SUM(H143:H147)</f>
        <v>9404700</v>
      </c>
      <c r="I142" s="54">
        <f>SUM(I143:I147)</f>
        <v>9404700</v>
      </c>
      <c r="J142" s="31"/>
      <c r="K142" s="21"/>
      <c r="L142" s="21"/>
      <c r="M142" s="21"/>
      <c r="N142" s="21"/>
      <c r="O142" s="23"/>
      <c r="P142" s="23"/>
    </row>
    <row r="143" spans="2:14" ht="15.75">
      <c r="B143" s="43"/>
      <c r="C143" s="44">
        <v>200700</v>
      </c>
      <c r="D143" s="44" t="s">
        <v>103</v>
      </c>
      <c r="E143" s="43" t="s">
        <v>137</v>
      </c>
      <c r="F143" s="119" t="s">
        <v>176</v>
      </c>
      <c r="G143" s="46">
        <f>2678700-200000-2478700</f>
        <v>0</v>
      </c>
      <c r="H143" s="46">
        <f>5197500-5197500</f>
        <v>0</v>
      </c>
      <c r="I143" s="45">
        <f>G143+H143</f>
        <v>0</v>
      </c>
      <c r="J143" s="32"/>
      <c r="K143" s="21"/>
      <c r="L143" s="21"/>
      <c r="M143" s="21"/>
      <c r="N143" s="21"/>
    </row>
    <row r="144" spans="1:14" ht="47.25">
      <c r="A144" s="8"/>
      <c r="B144" s="9"/>
      <c r="C144" s="44" t="s">
        <v>93</v>
      </c>
      <c r="D144" s="44" t="s">
        <v>94</v>
      </c>
      <c r="E144" s="43" t="s">
        <v>95</v>
      </c>
      <c r="F144" s="120"/>
      <c r="G144" s="35"/>
      <c r="H144" s="46">
        <f>0+5993200+196000</f>
        <v>6189200</v>
      </c>
      <c r="I144" s="45">
        <f t="shared" si="3"/>
        <v>6189200</v>
      </c>
      <c r="J144" s="32"/>
      <c r="K144" s="21"/>
      <c r="L144" s="21"/>
      <c r="M144" s="21"/>
      <c r="N144" s="21"/>
    </row>
    <row r="145" spans="1:14" ht="15.75">
      <c r="A145" s="8"/>
      <c r="B145" s="9"/>
      <c r="C145" s="44" t="s">
        <v>96</v>
      </c>
      <c r="D145" s="44" t="s">
        <v>97</v>
      </c>
      <c r="E145" s="43" t="s">
        <v>98</v>
      </c>
      <c r="F145" s="120"/>
      <c r="G145" s="35"/>
      <c r="H145" s="46">
        <f>0+1500000+1132500</f>
        <v>2632500</v>
      </c>
      <c r="I145" s="45">
        <f t="shared" si="3"/>
        <v>2632500</v>
      </c>
      <c r="J145" s="32"/>
      <c r="K145" s="21"/>
      <c r="L145" s="21"/>
      <c r="M145" s="21"/>
      <c r="N145" s="21"/>
    </row>
    <row r="146" spans="1:14" ht="47.25">
      <c r="A146" s="8"/>
      <c r="B146" s="9"/>
      <c r="C146" s="44" t="s">
        <v>99</v>
      </c>
      <c r="D146" s="44" t="s">
        <v>100</v>
      </c>
      <c r="E146" s="43" t="s">
        <v>101</v>
      </c>
      <c r="F146" s="120"/>
      <c r="G146" s="35"/>
      <c r="H146" s="46">
        <f>0+120000+400000</f>
        <v>520000</v>
      </c>
      <c r="I146" s="45">
        <f aca="true" t="shared" si="5" ref="I146:I161">G146+H146</f>
        <v>520000</v>
      </c>
      <c r="J146" s="32"/>
      <c r="K146" s="21"/>
      <c r="L146" s="21"/>
      <c r="M146" s="21"/>
      <c r="N146" s="21"/>
    </row>
    <row r="147" spans="1:14" ht="47.25">
      <c r="A147" s="8"/>
      <c r="B147" s="9"/>
      <c r="C147" s="44" t="s">
        <v>102</v>
      </c>
      <c r="D147" s="44" t="s">
        <v>103</v>
      </c>
      <c r="E147" s="43" t="s">
        <v>104</v>
      </c>
      <c r="F147" s="121"/>
      <c r="G147" s="35"/>
      <c r="H147" s="46">
        <f>0+63000</f>
        <v>63000</v>
      </c>
      <c r="I147" s="45">
        <f t="shared" si="5"/>
        <v>63000</v>
      </c>
      <c r="J147" s="32"/>
      <c r="K147" s="21"/>
      <c r="L147" s="21"/>
      <c r="M147" s="21"/>
      <c r="N147" s="21"/>
    </row>
    <row r="148" spans="1:16" s="7" customFormat="1" ht="15.75">
      <c r="A148" s="57"/>
      <c r="B148" s="55" t="s">
        <v>105</v>
      </c>
      <c r="C148" s="56"/>
      <c r="D148" s="56"/>
      <c r="E148" s="123" t="s">
        <v>248</v>
      </c>
      <c r="F148" s="124"/>
      <c r="G148" s="54">
        <f>SUM(G149:G154)</f>
        <v>28047227</v>
      </c>
      <c r="H148" s="54">
        <f>SUM(H149:H154)</f>
        <v>35090000</v>
      </c>
      <c r="I148" s="54">
        <f>SUM(I149:I154)</f>
        <v>63137227</v>
      </c>
      <c r="J148" s="31"/>
      <c r="K148" s="21"/>
      <c r="L148" s="21"/>
      <c r="M148" s="21"/>
      <c r="N148" s="21"/>
      <c r="O148" s="23"/>
      <c r="P148" s="23"/>
    </row>
    <row r="149" spans="2:12" ht="47.25">
      <c r="B149" s="43"/>
      <c r="C149" s="44">
        <v>170103</v>
      </c>
      <c r="D149" s="47" t="s">
        <v>128</v>
      </c>
      <c r="E149" s="43" t="s">
        <v>124</v>
      </c>
      <c r="F149" s="46" t="s">
        <v>161</v>
      </c>
      <c r="G149" s="46"/>
      <c r="H149" s="46">
        <v>10000</v>
      </c>
      <c r="I149" s="45">
        <f t="shared" si="5"/>
        <v>10000</v>
      </c>
      <c r="J149" s="32"/>
      <c r="K149" s="24"/>
      <c r="L149" s="15"/>
    </row>
    <row r="150" spans="2:12" ht="47.25">
      <c r="B150" s="43"/>
      <c r="C150" s="44" t="s">
        <v>106</v>
      </c>
      <c r="D150" s="44" t="s">
        <v>107</v>
      </c>
      <c r="E150" s="43" t="s">
        <v>108</v>
      </c>
      <c r="F150" s="93" t="s">
        <v>166</v>
      </c>
      <c r="G150" s="46">
        <f>17000000+15000000-2500000-1500000</f>
        <v>28000000</v>
      </c>
      <c r="H150" s="46"/>
      <c r="I150" s="45">
        <f t="shared" si="5"/>
        <v>28000000</v>
      </c>
      <c r="J150" s="32"/>
      <c r="K150" s="24"/>
      <c r="L150" s="15"/>
    </row>
    <row r="151" spans="2:14" ht="94.5">
      <c r="B151" s="43"/>
      <c r="C151" s="44">
        <v>180409</v>
      </c>
      <c r="D151" s="47" t="s">
        <v>127</v>
      </c>
      <c r="E151" s="43" t="s">
        <v>123</v>
      </c>
      <c r="F151" s="93" t="s">
        <v>166</v>
      </c>
      <c r="G151" s="46"/>
      <c r="H151" s="46">
        <f>0+6500000+2500000+4000000-4000000+385000+1500000+195000+15400000</f>
        <v>26480000</v>
      </c>
      <c r="I151" s="45">
        <f t="shared" si="5"/>
        <v>26480000</v>
      </c>
      <c r="J151" s="32"/>
      <c r="K151" s="24">
        <v>180409</v>
      </c>
      <c r="L151" s="12">
        <f>G151+G152</f>
        <v>0</v>
      </c>
      <c r="M151" s="12">
        <f>H151+H152</f>
        <v>35080000</v>
      </c>
      <c r="N151" s="12">
        <f>I151+I152</f>
        <v>35080000</v>
      </c>
    </row>
    <row r="152" spans="2:12" ht="94.5">
      <c r="B152" s="43"/>
      <c r="C152" s="44">
        <v>180409</v>
      </c>
      <c r="D152" s="47" t="s">
        <v>127</v>
      </c>
      <c r="E152" s="43" t="s">
        <v>123</v>
      </c>
      <c r="F152" s="46" t="s">
        <v>161</v>
      </c>
      <c r="G152" s="46"/>
      <c r="H152" s="46">
        <f>0+4000000+4600000</f>
        <v>8600000</v>
      </c>
      <c r="I152" s="45">
        <f t="shared" si="5"/>
        <v>8600000</v>
      </c>
      <c r="J152" s="32"/>
      <c r="K152" s="24"/>
      <c r="L152" s="15"/>
    </row>
    <row r="153" spans="1:14" ht="63">
      <c r="A153" s="8"/>
      <c r="B153" s="9"/>
      <c r="C153" s="132" t="s">
        <v>109</v>
      </c>
      <c r="D153" s="132" t="s">
        <v>110</v>
      </c>
      <c r="E153" s="134" t="s">
        <v>111</v>
      </c>
      <c r="F153" s="46" t="s">
        <v>182</v>
      </c>
      <c r="G153" s="46">
        <f>99000+52400-104173</f>
        <v>47227</v>
      </c>
      <c r="H153" s="46"/>
      <c r="I153" s="45">
        <f t="shared" si="5"/>
        <v>47227</v>
      </c>
      <c r="J153" s="32"/>
      <c r="K153" s="24">
        <v>210105</v>
      </c>
      <c r="L153" s="12">
        <f>G153+G154+G156+G157</f>
        <v>156000</v>
      </c>
      <c r="M153" s="12">
        <f>H153+H154+H156+H157</f>
        <v>0</v>
      </c>
      <c r="N153" s="12">
        <f>I153+I154+I156+I157</f>
        <v>156000</v>
      </c>
    </row>
    <row r="154" spans="1:12" ht="63">
      <c r="A154" s="8"/>
      <c r="B154" s="9"/>
      <c r="C154" s="133"/>
      <c r="D154" s="133"/>
      <c r="E154" s="135"/>
      <c r="F154" s="46" t="s">
        <v>181</v>
      </c>
      <c r="G154" s="46">
        <f>4600-4600</f>
        <v>0</v>
      </c>
      <c r="H154" s="46"/>
      <c r="I154" s="45">
        <f t="shared" si="5"/>
        <v>0</v>
      </c>
      <c r="J154" s="32"/>
      <c r="K154" s="24"/>
      <c r="L154" s="15"/>
    </row>
    <row r="155" spans="1:16" s="7" customFormat="1" ht="15.75">
      <c r="A155" s="57"/>
      <c r="B155" s="55">
        <v>67</v>
      </c>
      <c r="C155" s="56"/>
      <c r="D155" s="56"/>
      <c r="E155" s="123" t="s">
        <v>249</v>
      </c>
      <c r="F155" s="124"/>
      <c r="G155" s="54">
        <f>SUM(G156:G157)</f>
        <v>108773</v>
      </c>
      <c r="H155" s="54">
        <f>SUM(H156:H157)</f>
        <v>0</v>
      </c>
      <c r="I155" s="54">
        <f>SUM(I156:I157)</f>
        <v>108773</v>
      </c>
      <c r="J155" s="31"/>
      <c r="K155" s="21"/>
      <c r="L155" s="21"/>
      <c r="M155" s="21"/>
      <c r="N155" s="21"/>
      <c r="O155" s="23"/>
      <c r="P155" s="23"/>
    </row>
    <row r="156" spans="2:12" ht="63">
      <c r="B156" s="43"/>
      <c r="C156" s="132" t="s">
        <v>109</v>
      </c>
      <c r="D156" s="132" t="s">
        <v>110</v>
      </c>
      <c r="E156" s="134" t="s">
        <v>111</v>
      </c>
      <c r="F156" s="46" t="s">
        <v>182</v>
      </c>
      <c r="G156" s="46">
        <f>0+104173</f>
        <v>104173</v>
      </c>
      <c r="H156" s="46"/>
      <c r="I156" s="45">
        <f>G156+H156</f>
        <v>104173</v>
      </c>
      <c r="J156" s="32"/>
      <c r="K156" s="24"/>
      <c r="L156" s="15"/>
    </row>
    <row r="157" spans="1:12" ht="63">
      <c r="A157" s="8"/>
      <c r="B157" s="9"/>
      <c r="C157" s="133"/>
      <c r="D157" s="133"/>
      <c r="E157" s="135"/>
      <c r="F157" s="46" t="s">
        <v>181</v>
      </c>
      <c r="G157" s="46">
        <f>0+4600</f>
        <v>4600</v>
      </c>
      <c r="H157" s="46"/>
      <c r="I157" s="45">
        <f>G157+H157</f>
        <v>4600</v>
      </c>
      <c r="J157" s="32"/>
      <c r="K157" s="24"/>
      <c r="L157" s="15"/>
    </row>
    <row r="158" spans="1:16" s="7" customFormat="1" ht="15.75">
      <c r="A158" s="57"/>
      <c r="B158" s="55" t="s">
        <v>112</v>
      </c>
      <c r="C158" s="56"/>
      <c r="D158" s="56"/>
      <c r="E158" s="124" t="s">
        <v>250</v>
      </c>
      <c r="F158" s="124"/>
      <c r="G158" s="54">
        <f>SUM(G159:G161)</f>
        <v>1775000</v>
      </c>
      <c r="H158" s="54">
        <f>SUM(H159:H161)</f>
        <v>1275539</v>
      </c>
      <c r="I158" s="54">
        <f>SUM(I159:I161)</f>
        <v>3050539</v>
      </c>
      <c r="J158" s="31"/>
      <c r="K158" s="21"/>
      <c r="L158" s="22"/>
      <c r="M158" s="23"/>
      <c r="N158" s="23"/>
      <c r="O158" s="23"/>
      <c r="P158" s="23"/>
    </row>
    <row r="159" spans="1:12" ht="78.75">
      <c r="A159" s="8"/>
      <c r="B159" s="9"/>
      <c r="C159" s="44">
        <v>150110</v>
      </c>
      <c r="D159" s="47" t="s">
        <v>126</v>
      </c>
      <c r="E159" s="43" t="s">
        <v>120</v>
      </c>
      <c r="F159" s="46" t="s">
        <v>180</v>
      </c>
      <c r="G159" s="46"/>
      <c r="H159" s="46">
        <f>0+75539+1000000-1000000+24455</f>
        <v>99994</v>
      </c>
      <c r="I159" s="45">
        <f>G159+H159</f>
        <v>99994</v>
      </c>
      <c r="J159" s="32"/>
      <c r="K159" s="24"/>
      <c r="L159" s="15"/>
    </row>
    <row r="160" spans="1:12" ht="78.75">
      <c r="A160" s="8"/>
      <c r="B160" s="9"/>
      <c r="C160" s="44">
        <v>150112</v>
      </c>
      <c r="D160" s="47" t="s">
        <v>19</v>
      </c>
      <c r="E160" s="43" t="s">
        <v>134</v>
      </c>
      <c r="F160" s="46" t="s">
        <v>180</v>
      </c>
      <c r="G160" s="46"/>
      <c r="H160" s="46">
        <f>0+200000+1000000-24455</f>
        <v>1175545</v>
      </c>
      <c r="I160" s="45">
        <f>G160+H160</f>
        <v>1175545</v>
      </c>
      <c r="J160" s="32"/>
      <c r="K160" s="24"/>
      <c r="L160" s="15"/>
    </row>
    <row r="161" spans="1:12" ht="63">
      <c r="A161" s="8"/>
      <c r="B161" s="9"/>
      <c r="C161" s="44">
        <v>180107</v>
      </c>
      <c r="D161" s="47" t="s">
        <v>129</v>
      </c>
      <c r="E161" s="59" t="s">
        <v>131</v>
      </c>
      <c r="F161" s="46" t="s">
        <v>180</v>
      </c>
      <c r="G161" s="46">
        <f>330500+2664961-1200000-20461</f>
        <v>1775000</v>
      </c>
      <c r="H161" s="46">
        <v>0</v>
      </c>
      <c r="I161" s="45">
        <f t="shared" si="5"/>
        <v>1775000</v>
      </c>
      <c r="J161" s="32"/>
      <c r="K161" s="24"/>
      <c r="L161" s="15"/>
    </row>
    <row r="162" spans="1:16" s="7" customFormat="1" ht="15.75">
      <c r="A162" s="57"/>
      <c r="B162" s="55">
        <v>76</v>
      </c>
      <c r="C162" s="56"/>
      <c r="D162" s="56"/>
      <c r="E162" s="123" t="s">
        <v>227</v>
      </c>
      <c r="F162" s="124"/>
      <c r="G162" s="54">
        <f>G163</f>
        <v>1000000</v>
      </c>
      <c r="H162" s="54">
        <f>H163</f>
        <v>0</v>
      </c>
      <c r="I162" s="54">
        <f>I163</f>
        <v>1000000</v>
      </c>
      <c r="J162" s="32"/>
      <c r="K162" s="21"/>
      <c r="L162" s="22"/>
      <c r="M162" s="23"/>
      <c r="N162" s="23"/>
      <c r="O162" s="23"/>
      <c r="P162" s="23"/>
    </row>
    <row r="163" spans="1:16" s="90" customFormat="1" ht="78.75">
      <c r="A163" s="8"/>
      <c r="B163" s="9"/>
      <c r="C163" s="44">
        <v>250344</v>
      </c>
      <c r="D163" s="50" t="s">
        <v>197</v>
      </c>
      <c r="E163" s="59" t="s">
        <v>226</v>
      </c>
      <c r="F163" s="46" t="s">
        <v>228</v>
      </c>
      <c r="G163" s="46">
        <v>1000000</v>
      </c>
      <c r="H163" s="46"/>
      <c r="I163" s="45">
        <f>G163+H163</f>
        <v>1000000</v>
      </c>
      <c r="J163" s="86"/>
      <c r="K163" s="87"/>
      <c r="L163" s="88"/>
      <c r="M163" s="89"/>
      <c r="N163" s="89"/>
      <c r="O163" s="89"/>
      <c r="P163" s="89"/>
    </row>
    <row r="164" spans="1:16" s="7" customFormat="1" ht="15.75">
      <c r="A164" s="42"/>
      <c r="B164" s="51"/>
      <c r="C164" s="56"/>
      <c r="D164" s="56"/>
      <c r="E164" s="51" t="s">
        <v>5</v>
      </c>
      <c r="F164" s="51" t="s">
        <v>125</v>
      </c>
      <c r="G164" s="107">
        <f>G13+G33+G40+G47+G52+G55+G65+G78+G88+G92+G98+G100+G105+G140+G142+G148+G158+G17+G24+G29+G155+G86+G162</f>
        <v>237424622.5</v>
      </c>
      <c r="H164" s="107">
        <f>H13+H33+H40+H47+H52+H55+H65+H78+H88+H92+H98+H100+H105+H140+H142+H148+H158+H17+H24+H29+H155+H86+H162</f>
        <v>151453794</v>
      </c>
      <c r="I164" s="107">
        <f>I13+I33+I40+I47+I52+I55+I65+I78+I88+I92+I98+I100+I105+I140+I142+I148+I158+I17+I24+I29+I155+I86+I162</f>
        <v>388878416.5</v>
      </c>
      <c r="J164" s="33"/>
      <c r="K164" s="67"/>
      <c r="L164" s="67"/>
      <c r="M164" s="67"/>
      <c r="N164" s="23"/>
      <c r="O164" s="23"/>
      <c r="P164" s="23"/>
    </row>
    <row r="165" spans="1:12" ht="15.75">
      <c r="A165" s="8"/>
      <c r="B165" s="1"/>
      <c r="C165" s="2"/>
      <c r="D165" s="2"/>
      <c r="E165" s="1"/>
      <c r="F165" s="1"/>
      <c r="G165" s="1"/>
      <c r="H165" s="1"/>
      <c r="I165" s="1"/>
      <c r="J165" s="1"/>
      <c r="K165" s="14"/>
      <c r="L165" s="15"/>
    </row>
    <row r="166" spans="1:12" ht="15.75">
      <c r="A166" s="8"/>
      <c r="B166" s="1"/>
      <c r="C166" s="2"/>
      <c r="D166" s="2"/>
      <c r="E166" s="1"/>
      <c r="F166" s="1"/>
      <c r="G166" s="1"/>
      <c r="H166" s="1"/>
      <c r="I166" s="1"/>
      <c r="J166" s="1"/>
      <c r="K166" s="14"/>
      <c r="L166" s="15"/>
    </row>
    <row r="167" spans="1:16" s="73" customFormat="1" ht="18.75">
      <c r="A167" s="69"/>
      <c r="B167" s="146" t="s">
        <v>135</v>
      </c>
      <c r="C167" s="146"/>
      <c r="D167" s="146"/>
      <c r="E167" s="70"/>
      <c r="F167" s="70"/>
      <c r="G167" s="146" t="s">
        <v>175</v>
      </c>
      <c r="H167" s="146"/>
      <c r="I167" s="146"/>
      <c r="J167" s="70"/>
      <c r="K167" s="71"/>
      <c r="L167" s="72"/>
      <c r="M167" s="72"/>
      <c r="N167" s="72"/>
      <c r="O167" s="72"/>
      <c r="P167" s="72"/>
    </row>
    <row r="168" spans="2:12" ht="15.75">
      <c r="B168" s="1"/>
      <c r="C168" s="2"/>
      <c r="D168" s="2"/>
      <c r="E168" s="1"/>
      <c r="F168" s="1"/>
      <c r="G168" s="1"/>
      <c r="H168" s="1"/>
      <c r="I168" s="1"/>
      <c r="J168" s="1"/>
      <c r="K168" s="14"/>
      <c r="L168" s="15"/>
    </row>
    <row r="169" spans="2:12" ht="15.75">
      <c r="B169" s="1"/>
      <c r="C169" s="2"/>
      <c r="D169" s="2"/>
      <c r="E169" s="1"/>
      <c r="F169" s="1"/>
      <c r="G169" s="1"/>
      <c r="H169" s="1"/>
      <c r="I169" s="1"/>
      <c r="J169" s="1"/>
      <c r="K169" s="14"/>
      <c r="L169" s="15"/>
    </row>
    <row r="170" spans="2:12" ht="15.75">
      <c r="B170" s="1"/>
      <c r="C170" s="2"/>
      <c r="D170" s="2"/>
      <c r="E170" s="1"/>
      <c r="F170" s="1"/>
      <c r="G170" s="1"/>
      <c r="H170" s="1"/>
      <c r="I170" s="1"/>
      <c r="J170" s="1"/>
      <c r="K170" s="14"/>
      <c r="L170" s="15"/>
    </row>
    <row r="171" spans="2:12" ht="15.75">
      <c r="B171" s="1"/>
      <c r="C171" s="2"/>
      <c r="D171" s="2"/>
      <c r="E171" s="1"/>
      <c r="F171" s="1"/>
      <c r="G171" s="1"/>
      <c r="H171" s="1"/>
      <c r="I171" s="1"/>
      <c r="J171" s="1"/>
      <c r="K171" s="14"/>
      <c r="L171" s="15"/>
    </row>
  </sheetData>
  <sheetProtection/>
  <mergeCells count="82">
    <mergeCell ref="D70:D71"/>
    <mergeCell ref="E111:E112"/>
    <mergeCell ref="F131:F133"/>
    <mergeCell ref="E78:F78"/>
    <mergeCell ref="E100:F100"/>
    <mergeCell ref="E72:E73"/>
    <mergeCell ref="E114:E115"/>
    <mergeCell ref="E105:F105"/>
    <mergeCell ref="B19:B20"/>
    <mergeCell ref="B21:B23"/>
    <mergeCell ref="C19:C20"/>
    <mergeCell ref="C21:C23"/>
    <mergeCell ref="B66:B69"/>
    <mergeCell ref="B70:B71"/>
    <mergeCell ref="C72:C73"/>
    <mergeCell ref="C66:C69"/>
    <mergeCell ref="B72:B73"/>
    <mergeCell ref="C70:C71"/>
    <mergeCell ref="D21:D23"/>
    <mergeCell ref="E21:E23"/>
    <mergeCell ref="G167:I167"/>
    <mergeCell ref="B167:D167"/>
    <mergeCell ref="E88:F88"/>
    <mergeCell ref="E98:F98"/>
    <mergeCell ref="E92:F92"/>
    <mergeCell ref="E148:F148"/>
    <mergeCell ref="E158:F158"/>
    <mergeCell ref="E162:F162"/>
    <mergeCell ref="D48:D49"/>
    <mergeCell ref="E48:E49"/>
    <mergeCell ref="F34:F35"/>
    <mergeCell ref="F63:F64"/>
    <mergeCell ref="F43:F44"/>
    <mergeCell ref="F45:F46"/>
    <mergeCell ref="F61:F62"/>
    <mergeCell ref="E52:F52"/>
    <mergeCell ref="E40:F40"/>
    <mergeCell ref="C93:C94"/>
    <mergeCell ref="D93:D94"/>
    <mergeCell ref="E93:E94"/>
    <mergeCell ref="H19:H20"/>
    <mergeCell ref="H21:H23"/>
    <mergeCell ref="D72:D73"/>
    <mergeCell ref="E86:F86"/>
    <mergeCell ref="C48:C49"/>
    <mergeCell ref="G19:G20"/>
    <mergeCell ref="D66:D69"/>
    <mergeCell ref="G2:I2"/>
    <mergeCell ref="E13:F13"/>
    <mergeCell ref="I19:I20"/>
    <mergeCell ref="G7:I7"/>
    <mergeCell ref="E17:F17"/>
    <mergeCell ref="E19:E20"/>
    <mergeCell ref="C153:C154"/>
    <mergeCell ref="D153:D154"/>
    <mergeCell ref="E153:E154"/>
    <mergeCell ref="B1:I1"/>
    <mergeCell ref="B9:I9"/>
    <mergeCell ref="G6:I6"/>
    <mergeCell ref="D19:D20"/>
    <mergeCell ref="G3:I3"/>
    <mergeCell ref="G4:I4"/>
    <mergeCell ref="G5:I5"/>
    <mergeCell ref="E155:F155"/>
    <mergeCell ref="C156:C157"/>
    <mergeCell ref="D156:D157"/>
    <mergeCell ref="E156:E157"/>
    <mergeCell ref="F19:F20"/>
    <mergeCell ref="F21:F23"/>
    <mergeCell ref="E47:F47"/>
    <mergeCell ref="E33:F33"/>
    <mergeCell ref="E29:F29"/>
    <mergeCell ref="E24:F24"/>
    <mergeCell ref="F143:F147"/>
    <mergeCell ref="I21:I23"/>
    <mergeCell ref="E65:F65"/>
    <mergeCell ref="G21:G23"/>
    <mergeCell ref="E70:E71"/>
    <mergeCell ref="E55:F55"/>
    <mergeCell ref="E66:E69"/>
    <mergeCell ref="E142:F142"/>
    <mergeCell ref="E140:F140"/>
  </mergeCells>
  <printOptions/>
  <pageMargins left="0.7480314960629921" right="0.35433070866141736" top="0.64" bottom="0.21" header="0.2755905511811024" footer="0.15748031496062992"/>
  <pageSetup fitToHeight="20" fitToWidth="1" horizontalDpi="600" verticalDpi="600" orientation="landscape" paperSize="9" scale="72" r:id="rId1"/>
  <headerFooter alignWithMargins="0">
    <oddHeader>&amp;C&amp;P</oddHeader>
  </headerFooter>
  <rowBreaks count="2" manualBreakCount="2">
    <brk id="62" max="8" man="1"/>
    <brk id="129"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Admin</cp:lastModifiedBy>
  <cp:lastPrinted>2016-07-12T18:03:21Z</cp:lastPrinted>
  <dcterms:created xsi:type="dcterms:W3CDTF">2014-01-17T10:52:16Z</dcterms:created>
  <dcterms:modified xsi:type="dcterms:W3CDTF">2016-07-12T18:03:23Z</dcterms:modified>
  <cp:category/>
  <cp:version/>
  <cp:contentType/>
  <cp:contentStatus/>
</cp:coreProperties>
</file>