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6" yWindow="588" windowWidth="13536" windowHeight="7128" activeTab="0"/>
  </bookViews>
  <sheets>
    <sheet name="04.2022" sheetId="1" r:id="rId1"/>
  </sheets>
  <definedNames>
    <definedName name="_Hlk88833253" localSheetId="0">'04.2022'!$E$232</definedName>
    <definedName name="_xlnm.Print_Titles" localSheetId="0">'04.2022'!$11:$16</definedName>
    <definedName name="_xlnm.Print_Area" localSheetId="0">'04.2022'!$A$1:$J$280</definedName>
  </definedNames>
  <calcPr fullCalcOnLoad="1"/>
</workbook>
</file>

<file path=xl/sharedStrings.xml><?xml version="1.0" encoding="utf-8"?>
<sst xmlns="http://schemas.openxmlformats.org/spreadsheetml/2006/main" count="757" uniqueCount="439">
  <si>
    <t>Програма забезпечення діяльності органів самоорганізації населення Кам'янської міської теріторіальної громади  на 2022-2026 роки</t>
  </si>
  <si>
    <t>Програма розвитку житлового господарства Кам’янської міської територіальної громади на 2022–2025 роки</t>
  </si>
  <si>
    <t xml:space="preserve">Програма
розвитку Комунального підприємства
Кам`янської міської ради
«Центральні тепломережі»
на 2022–2024 роки
</t>
  </si>
  <si>
    <t xml:space="preserve">Програма
розвитку Комунального підприємства
Кам’янської міської ради
«Добробут» на 2022–2025 роки
</t>
  </si>
  <si>
    <t xml:space="preserve">Програма
розвитку Комунального підприємства
Кам’янської міської ради
«Кам’янська теплопостачальна 
компанія» на 2022–2025 роки
</t>
  </si>
  <si>
    <t xml:space="preserve"> Програма
розвитку та утримання
Комунального підприємства
Кам’янської міської ради
«Управляюча компанія
по обслуговуванню житлового фонду»
на 2022 рік
</t>
  </si>
  <si>
    <t xml:space="preserve">Комплексна 
програма «Розвиток комунальної аптечної мережі Кам’янської міської територіальної громади» 
на 2022–2024 роки
</t>
  </si>
  <si>
    <t xml:space="preserve"> Програма розвитку земельних відносин
Кам’янської міської територіальної громади
 на 2022–2023 роки
</t>
  </si>
  <si>
    <t xml:space="preserve">Програма розвитку
міського електричного транспорту 
Кам’янської міської територіальної громади
на 2022-2025 роки
</t>
  </si>
  <si>
    <t xml:space="preserve">Програма розвитку Комунального підприємства Кам’янської міської ради «Екосервіс» на 2022 рік </t>
  </si>
  <si>
    <t xml:space="preserve">Програма розвитку 
Комунального підприємства Кам’янської 
міської ради «Парки Кам’янського»  
на 2022–2023 роки
</t>
  </si>
  <si>
    <t>Програма розвитку культури Кам`янської міської територіальної громади на 2022 рік</t>
  </si>
  <si>
    <t>Програма підтримки внутрішньо переміщених осіб на 2022 рік</t>
  </si>
  <si>
    <t>Програма благоустрою на території Кам`янської міської територіальної громади на 2022-2024 роки</t>
  </si>
  <si>
    <t>Програма розвитку транспортного комплексу Кам'янської міської територіальної громади на 2022-2025 роки</t>
  </si>
  <si>
    <t>Програма розвитку міського електричного транспорту Кам'янської міської територіальної громади на 2022-2025 роки</t>
  </si>
  <si>
    <t xml:space="preserve"> Програма по проведенню технічної інвентаризації об’єктів комунальної власності Кам’янської міської територіальної громади </t>
  </si>
  <si>
    <t xml:space="preserve">Програма партиципаторного бюджетування (бюджету участі) Кам’янської міської територіальної громади на 2022–2026 роки </t>
  </si>
  <si>
    <t xml:space="preserve">Програма
захисту прав дітей та розвитку сімейних форм виховання Кам’янської міської територіальної громади на 2022–2025 роки
</t>
  </si>
  <si>
    <t xml:space="preserve"> Програма «Молодь Кам’янської міської територіальної громади на 2022–2026 роки»</t>
  </si>
  <si>
    <t>Програма розвитку фізичної культури і спорту Кам’янської міської територіальної громади на 2022–2026 роки</t>
  </si>
  <si>
    <r>
      <t>Будівництво</t>
    </r>
    <r>
      <rPr>
        <sz val="18"/>
        <rFont val="Calibri"/>
        <family val="2"/>
      </rPr>
      <t>¹</t>
    </r>
    <r>
      <rPr>
        <sz val="18"/>
        <rFont val="Times New Roman"/>
        <family val="1"/>
      </rPr>
      <t xml:space="preserve"> установ та закладів соціальної сфери</t>
    </r>
  </si>
  <si>
    <t>7366</t>
  </si>
  <si>
    <t>Програма економічного і соціального розвитку Кам'янської міської територіальної громади на 2022рік</t>
  </si>
  <si>
    <t>Програма забезпечення заходів щодо набуття права власності (користування) на житло мешканцями при відселенні з аварійних (непридатних для проживання) житлових приміщень, будинків</t>
  </si>
  <si>
    <t>2918110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</si>
  <si>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</si>
  <si>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</si>
  <si>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</si>
  <si>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вдосконалення і розвитку місцевої системи централізованого оповіщення цивільного захисту на території Кам'янської міської територіальної громади на 2022-2023 роки</t>
  </si>
  <si>
    <t>Комплексна програма «Здоров'я  населення  Кам'янської міської територіальної громадина  2022-2024 роки"</t>
  </si>
  <si>
    <t>Програма безпечної життєдіяльності населення в закладах охорони здоров'я Кам'янської міської територіальної громадина  2022-2025 роки"</t>
  </si>
  <si>
    <t>Програма розвитку освіти Кам'янської міської територіальної громади на 2022-2025 роки</t>
  </si>
  <si>
    <t xml:space="preserve"> Програма «Шкільний автобус» на 2022-2025 роки</t>
  </si>
  <si>
    <t>Програма забезпечення пожежної безпеки в закладах освіти та культури Кам'янської міської територіальної громади на 2022 рік</t>
  </si>
  <si>
    <t xml:space="preserve">Програма енергоефективності та зменшення споживання енергетичних ресурсів Кам’янської міської територіальної громади на 2022 рік </t>
  </si>
  <si>
    <t>0813050</t>
  </si>
  <si>
    <t>Пільгове медичне обслуговування осіб, які постраждали внаслідок Чорнобильської катастрофи</t>
  </si>
  <si>
    <t>у тому числі інші субвенції з місцевого бюджету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</si>
  <si>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 xml:space="preserve">Комплексна програма реалізації містобудівної політики Кам’янської міської територіальної громади на 2022 – 2029 роки </t>
  </si>
  <si>
    <t xml:space="preserve">Програма розвитку місцевого самоврядування Кам'янської міської теріторіальної громади  на 2022-2026 роки </t>
  </si>
  <si>
    <t xml:space="preserve">Програма розвитку місцевого самоврядування Кам'янської міської теріторіальної громади на 2022-2026 роки </t>
  </si>
  <si>
    <t>Наталія КТІТАРОВА</t>
  </si>
  <si>
    <t>0717670</t>
  </si>
  <si>
    <t>3242</t>
  </si>
  <si>
    <t>Інші заходи у сфері соціального захисту і соціального забезпечення</t>
  </si>
  <si>
    <t>0813192</t>
  </si>
  <si>
    <t>0813241</t>
  </si>
  <si>
    <t>0813242</t>
  </si>
  <si>
    <t>Забезпечення діяльності  інших закладів у сфері соціального захисту і  соціального забезпечення</t>
  </si>
  <si>
    <t>Надання соціальних гарантій фізичним особам, які надають соціальні послуги громадянам похилого віку,особам з  інвалідністю, дітям  з  інвалідністю, хворим, які не здатні до самообслуговування і потребують сторонньої допомоги</t>
  </si>
  <si>
    <t>Інші програми та заходи у сфері освіти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</si>
  <si>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</t>
  </si>
  <si>
    <t>0913242</t>
  </si>
  <si>
    <t>1517321</t>
  </si>
  <si>
    <t>7321</t>
  </si>
  <si>
    <t xml:space="preserve">Амбулаторно-поліклінічна допомога населенню,крім первинної медичної допомоги </t>
  </si>
  <si>
    <t>0712080</t>
  </si>
  <si>
    <t>2080</t>
  </si>
  <si>
    <t>0721</t>
  </si>
  <si>
    <t>1100000</t>
  </si>
  <si>
    <t>1110000</t>
  </si>
  <si>
    <t>1113131</t>
  </si>
  <si>
    <t>1113242</t>
  </si>
  <si>
    <t>1090</t>
  </si>
  <si>
    <t>1115021</t>
  </si>
  <si>
    <t>1115022</t>
  </si>
  <si>
    <t>5022</t>
  </si>
  <si>
    <t>1115031</t>
  </si>
  <si>
    <t>1115032</t>
  </si>
  <si>
    <t>1115061</t>
  </si>
  <si>
    <t>5061</t>
  </si>
  <si>
    <t>1115062</t>
  </si>
  <si>
    <t>5062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</si>
  <si>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</si>
  <si>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програми та заходи у сфері охорони здоров`я</t>
  </si>
  <si>
    <t>0614082</t>
  </si>
  <si>
    <t>0829</t>
  </si>
  <si>
    <t>Інші заходи в галузі культури та мистецтва</t>
  </si>
  <si>
    <t>(грн)</t>
  </si>
  <si>
    <t>Найменування головного розпорядника коштів міського бюджету/ відповідального виконавця,найменування  бюджетної програми  згідно з Типовою програмною класифікацією видатків та кредитування місцевих бюджетів</t>
  </si>
  <si>
    <t>Х</t>
  </si>
  <si>
    <t>УСЬОГО</t>
  </si>
  <si>
    <t>Проведення експертної грошової оцінки земельної ділянки чи права на неї</t>
  </si>
  <si>
    <t>2151</t>
  </si>
  <si>
    <t>Забезпечення діяльності інших закладів охорони здоров'я</t>
  </si>
  <si>
    <t>Утримання та розвиток автомобільних доріг та дорожньої інфраструктури за рахунок коштів місцевого бюджету</t>
  </si>
  <si>
    <t>0614030</t>
  </si>
  <si>
    <t>Забезпечення діяльності бібліотек</t>
  </si>
  <si>
    <t>0614040</t>
  </si>
  <si>
    <t>4040</t>
  </si>
  <si>
    <t>0824</t>
  </si>
  <si>
    <t>Забезпечення діяльності музеїв i виставок</t>
  </si>
  <si>
    <t>5031</t>
  </si>
  <si>
    <t>Утримання та навчально-тренувальна робота комунальних дитячо-юнацьких спортивних шкіл</t>
  </si>
  <si>
    <t>до рішення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</si>
  <si>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</si>
  <si>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</si>
  <si>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</si>
  <si>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</si>
  <si>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1517530</t>
  </si>
  <si>
    <t>7530</t>
  </si>
  <si>
    <t>0460</t>
  </si>
  <si>
    <t>Інші заходи у сфері зв'язку, телекомунікації та інформатики</t>
  </si>
  <si>
    <t>Загальний фонд</t>
  </si>
  <si>
    <t>Спеціальний фонд</t>
  </si>
  <si>
    <t>0100000</t>
  </si>
  <si>
    <t>0110000</t>
  </si>
  <si>
    <t>0830</t>
  </si>
  <si>
    <t>0133</t>
  </si>
  <si>
    <t>1050</t>
  </si>
  <si>
    <t>Організація та проведення громадських робіт</t>
  </si>
  <si>
    <t>0620</t>
  </si>
  <si>
    <t>0910</t>
  </si>
  <si>
    <t>0921</t>
  </si>
  <si>
    <t>0960</t>
  </si>
  <si>
    <t>0990</t>
  </si>
  <si>
    <t>1040</t>
  </si>
  <si>
    <t>0810</t>
  </si>
  <si>
    <t xml:space="preserve">Дата та номер документа, яким затверджено місцеву регіональну програму </t>
  </si>
  <si>
    <t>Усього</t>
  </si>
  <si>
    <t>усього</t>
  </si>
  <si>
    <t>у тому числі бюджет розвитку</t>
  </si>
  <si>
    <t>0490</t>
  </si>
  <si>
    <t>0731</t>
  </si>
  <si>
    <t>0763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</si>
  <si>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</si>
  <si>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</si>
  <si>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</si>
  <si>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3100000</t>
  </si>
  <si>
    <t>3110000</t>
  </si>
  <si>
    <t>0421</t>
  </si>
  <si>
    <t>0456</t>
  </si>
  <si>
    <t>0180</t>
  </si>
  <si>
    <t>0443</t>
  </si>
  <si>
    <t>Інші заходи та заклади молодіжної політики</t>
  </si>
  <si>
    <t>0540</t>
  </si>
  <si>
    <t>Інші заходи у сфері електротранспорту</t>
  </si>
  <si>
    <t>0451</t>
  </si>
  <si>
    <t>0470</t>
  </si>
  <si>
    <t>1110180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</si>
  <si>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</si>
  <si>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</si>
  <si>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сім`ї</t>
  </si>
  <si>
    <t>Заходи державної політики з питань дітей та їх соціального захисту</t>
  </si>
  <si>
    <t>Багатопрофільна стаціонарна медична допомога населенню</t>
  </si>
  <si>
    <t>3416020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</si>
  <si>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</si>
  <si>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Внески до статутного капіталу суб'єктів господарювання</t>
  </si>
  <si>
    <t>Заходи з енергозбереження</t>
  </si>
  <si>
    <t>0710000</t>
  </si>
  <si>
    <t>0712010</t>
  </si>
  <si>
    <t>0118410</t>
  </si>
  <si>
    <t>Фінансова підтримка засобів масової інформації</t>
  </si>
  <si>
    <t>0600000</t>
  </si>
  <si>
    <t>(код бюджету)</t>
  </si>
  <si>
    <t>0610000</t>
  </si>
  <si>
    <t>3131</t>
  </si>
  <si>
    <t>0613140</t>
  </si>
  <si>
    <t>3140</t>
  </si>
  <si>
    <t>0700000</t>
  </si>
  <si>
    <t>0800000</t>
  </si>
  <si>
    <t>0810000</t>
  </si>
  <si>
    <t>0813031</t>
  </si>
  <si>
    <t xml:space="preserve">Надання інших пільг окремим категоріям громадян відповідно  до законодавства </t>
  </si>
  <si>
    <t>0813033</t>
  </si>
  <si>
    <t>0813035</t>
  </si>
  <si>
    <t>0813036</t>
  </si>
  <si>
    <t>0813123</t>
  </si>
  <si>
    <t>0813140</t>
  </si>
  <si>
    <t>0813180</t>
  </si>
  <si>
    <t>0813160</t>
  </si>
  <si>
    <t>0900000</t>
  </si>
  <si>
    <t>0910000</t>
  </si>
  <si>
    <t>0913111</t>
  </si>
  <si>
    <t>3111</t>
  </si>
  <si>
    <t>0913112</t>
  </si>
  <si>
    <t>3112</t>
  </si>
  <si>
    <t>1500000</t>
  </si>
  <si>
    <t>1510000</t>
  </si>
  <si>
    <t>2800000</t>
  </si>
  <si>
    <t>2810000</t>
  </si>
  <si>
    <t>1900000</t>
  </si>
  <si>
    <t>1910000</t>
  </si>
  <si>
    <t>Здійснення заходів із землеустрою</t>
  </si>
  <si>
    <t>3400000</t>
  </si>
  <si>
    <t>3410000</t>
  </si>
  <si>
    <t>Природоохоронні заходи за рахунок цільових фондів</t>
  </si>
  <si>
    <t>0611010</t>
  </si>
  <si>
    <t>Надання дошкільної освітии</t>
  </si>
  <si>
    <t>0913113</t>
  </si>
  <si>
    <t>3113</t>
  </si>
  <si>
    <t>Підтримка та утримання малих групових будинків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</si>
  <si>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</si>
  <si>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</si>
  <si>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0110180</t>
  </si>
  <si>
    <t>0610180</t>
  </si>
  <si>
    <t>0710180</t>
  </si>
  <si>
    <t>0810180</t>
  </si>
  <si>
    <t>0910180</t>
  </si>
  <si>
    <t>х</t>
  </si>
  <si>
    <t>0116017</t>
  </si>
  <si>
    <t>0116030</t>
  </si>
  <si>
    <t>0113133</t>
  </si>
  <si>
    <t>5021</t>
  </si>
  <si>
    <t>5041</t>
  </si>
  <si>
    <t>Утримання центрів фізичної культури і спорту осіб з інвалідністю і реабілітаційних шкіл</t>
  </si>
  <si>
    <t>Утримання та фінансова підтримка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</si>
  <si>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</si>
  <si>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5032</t>
  </si>
  <si>
    <t>Фінансова підтримка дитячо-юнацьких спортивних шкіл фізкультурно-спортивних товариств</t>
  </si>
  <si>
    <t>Додаток 6</t>
  </si>
  <si>
    <t>Надання позашкільної освіти закладами позашкільної освіти, заходи із позашкільної роботи з дітьми</t>
  </si>
  <si>
    <t>Організація благоустрою населених пунктів</t>
  </si>
  <si>
    <t>0617340</t>
  </si>
  <si>
    <t>Проектування, реставрація та охорона пам'яток архітектури</t>
  </si>
  <si>
    <t>0611070</t>
  </si>
  <si>
    <t>6017</t>
  </si>
  <si>
    <t>0614010</t>
  </si>
  <si>
    <t>4010</t>
  </si>
  <si>
    <t>0821</t>
  </si>
  <si>
    <t>4030</t>
  </si>
  <si>
    <t>Фінансова підтримка театрів</t>
  </si>
  <si>
    <t>1513242</t>
  </si>
  <si>
    <t>2917330</t>
  </si>
  <si>
    <t>7330</t>
  </si>
  <si>
    <t>1617530</t>
  </si>
  <si>
    <t>Надання фінансової підтримки громадським об'єднанням ветеранів  і осіб з інвалідністю, діяльність яких має соціальну спрямованість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</si>
  <si>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</si>
  <si>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</si>
  <si>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</si>
  <si>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0611022</t>
  </si>
  <si>
    <t>1022</t>
  </si>
  <si>
    <t>0611080</t>
  </si>
  <si>
    <t>1080</t>
  </si>
  <si>
    <t>0611142</t>
  </si>
  <si>
    <t>1142</t>
  </si>
  <si>
    <t>Будівництво¹ освітніх установ та закладів</t>
  </si>
  <si>
    <t>Будівництво¹ медичних установ та закладів</t>
  </si>
  <si>
    <t>Будівництво¹ об'єктів житлово-комунального господарства</t>
  </si>
  <si>
    <t>Будівництво¹ інших об'єктів комунальної власності</t>
  </si>
  <si>
    <t>0455</t>
  </si>
  <si>
    <t>3133</t>
  </si>
  <si>
    <t>Інша діяльність у сфері державного управління</t>
  </si>
  <si>
    <t>0813032</t>
  </si>
  <si>
    <t>3032</t>
  </si>
  <si>
    <t>Надання пільг окремим категоріям громадян з оплати послуг зв'язку</t>
  </si>
  <si>
    <t>1070</t>
  </si>
  <si>
    <t>Надання дошкільної освіти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</si>
  <si>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</si>
  <si>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0717322</t>
  </si>
  <si>
    <t>2111</t>
  </si>
  <si>
    <t>'Первинна медична допомога населенню, що надається центрами первинної медичної (медико-санітарної) допомоги</t>
  </si>
  <si>
    <t>0726</t>
  </si>
  <si>
    <t>0712111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</si>
  <si>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</si>
  <si>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</si>
  <si>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Забезпеченння діяльності палаців і будинків культури, клубів, центрів дозвілля та інших клубних закладів</t>
  </si>
  <si>
    <t>0614060</t>
  </si>
  <si>
    <t>0828</t>
  </si>
  <si>
    <t>6030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</si>
  <si>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</si>
  <si>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</si>
  <si>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Секретар міської ради</t>
  </si>
  <si>
    <t>7670</t>
  </si>
  <si>
    <t>2817670</t>
  </si>
  <si>
    <t>1610180</t>
  </si>
  <si>
    <t>1700000</t>
  </si>
  <si>
    <t>1710000</t>
  </si>
  <si>
    <t>1710180</t>
  </si>
  <si>
    <t>1910180</t>
  </si>
  <si>
    <t>2710180</t>
  </si>
  <si>
    <t>2810180</t>
  </si>
  <si>
    <t>2900000</t>
  </si>
  <si>
    <t>2910180</t>
  </si>
  <si>
    <t>3110180</t>
  </si>
  <si>
    <t>3200000</t>
  </si>
  <si>
    <t>3210000</t>
  </si>
  <si>
    <t>3210180</t>
  </si>
  <si>
    <t>3410180</t>
  </si>
  <si>
    <t>Кам'янська міська рада</t>
  </si>
  <si>
    <t>0610</t>
  </si>
  <si>
    <t>3116086</t>
  </si>
  <si>
    <t>6086</t>
  </si>
  <si>
    <t xml:space="preserve">Інша діяльність щодо забезпечення житлом громадян </t>
  </si>
  <si>
    <t>7693</t>
  </si>
  <si>
    <t>Інші заходи, пов'язані з економічною діяльністю</t>
  </si>
  <si>
    <t>Інші заходи у сфері автотранспорту</t>
  </si>
  <si>
    <t>3160</t>
  </si>
  <si>
    <t>1517322</t>
  </si>
  <si>
    <t>7322</t>
  </si>
  <si>
    <t>1516086</t>
  </si>
  <si>
    <t>Інша діяльність щодо забезпечення житлом громадян</t>
  </si>
  <si>
    <t>0712151</t>
  </si>
  <si>
    <t>1917426</t>
  </si>
  <si>
    <t>7426</t>
  </si>
  <si>
    <t>2717640</t>
  </si>
  <si>
    <t>7640</t>
  </si>
  <si>
    <t>3117693</t>
  </si>
  <si>
    <t>Інші заходи, пов`язані з економічною діяльністю</t>
  </si>
  <si>
    <t>04571000000</t>
  </si>
  <si>
    <t>Будівництво об'єктів житлово-комунального господарства</t>
  </si>
  <si>
    <t>1517366</t>
  </si>
  <si>
    <t>Інша діяльність, пов'язана з експлуатацією об'єктів житлово-комунального господарства</t>
  </si>
  <si>
    <t>Проведення навчально-тренувальних зборів і змагань та заходів зі спорту осіб з інвалідністю</t>
  </si>
  <si>
    <t>0712152</t>
  </si>
  <si>
    <t xml:space="preserve">Розподіл витрат бюджету Кам’янської міської територіальної громади на реалізацію місцевих /регіональних програм  у 2022 році
 </t>
  </si>
  <si>
    <t>Надання спеціалізованої освіти мистецькими школами</t>
  </si>
  <si>
    <t>1400000</t>
  </si>
  <si>
    <t>1410000</t>
  </si>
  <si>
    <t>1413242</t>
  </si>
  <si>
    <t>1416030</t>
  </si>
  <si>
    <t>Програми підтримки органів самоорганізації населення Кам`янської міської територіальної громади у виконанні власних повноважень на 2022-2026 роки</t>
  </si>
  <si>
    <t xml:space="preserve">Програма підтримки об’єднань співвласників багатоквартирних будинків, житлово-будівельних кооперативів та обслуговуючих кооперативів Кам’янської міської територіальної громади на 2022–2026 роки
</t>
  </si>
  <si>
    <t xml:space="preserve">Програма благоустрою на території Кам’янської міської територіальної громади на 2022–2024 роки </t>
  </si>
  <si>
    <t xml:space="preserve">Програма розвитку житлового господарства Кам’янської міської територіальної громади на 2022–2025 роки
</t>
  </si>
  <si>
    <t xml:space="preserve">Програма розвитку Комунальної установи «Притулок для тварин» Кам’янської міської ради на 2022–2025 роки
 Програма регулювання чисельності безпритульних тварин Кам’янської міської територіальної громади на 2022–2025 роки </t>
  </si>
  <si>
    <t>Програма розвитку освіти Кам'янської міської територіальної громади на   2022-2025 роки</t>
  </si>
  <si>
    <t xml:space="preserve"> Програма соціального захисту населення Кам'янської міської теріторіальної громади на                   2022-2026 роки </t>
  </si>
  <si>
    <t>Програма розвитку та діяльності Комунальної установи «Центр молодіжних ініціатив» Кам’янської міської ради на 2022 рік</t>
  </si>
  <si>
    <t xml:space="preserve"> Програма розвитку муніципального телебачення ТРК «МІС» на 2022 рік</t>
  </si>
  <si>
    <t>Програма підтримки Комунального підприємства Кам’янської міської ради «Міська інформаційна служба»                      на 2022 рік</t>
  </si>
  <si>
    <t xml:space="preserve">Програма розвитку місцевого самоврядування Кам'янської міської теріторіальної громади                                       на 2022-2026 роки </t>
  </si>
  <si>
    <t xml:space="preserve">Програма розвитку сімейної та гендерної політики на території Кам'янської міської теріторіальної громади на 2022-2026 роки  </t>
  </si>
  <si>
    <t xml:space="preserve">Програма соціального захисту населення Кам'янської міської теріторіальної громади на                   2022-2026 роки </t>
  </si>
  <si>
    <t>Комплексна програма соціального захисту та підтримки учасників антитерористичної операції / операції об'єднаних сил, членів їх сімей та членів сімей загиблих (померлих) учасників антитерористичної операції / операції об'єднаних сил Кам'янської міської теріторіальної громади на 2022 рік</t>
  </si>
  <si>
    <t>Програма забезпечення муніципальною надбавкою деяких працівників Комунального закладу "Центр надання соціальних послуг" Кам'янської міської  ради на 2022-2026 роки</t>
  </si>
  <si>
    <t xml:space="preserve">Програма розвитку культури Кам'янської міської територіальної громади на 2022 рік </t>
  </si>
  <si>
    <t>1115041</t>
  </si>
  <si>
    <t xml:space="preserve">Програма щодо створення безбар’єрного середовища для осіб з інвалідністю та інших маломобільних груп населення Кам’янської міської територіальної громади на 2022–2029 роки
</t>
  </si>
  <si>
    <t xml:space="preserve">Програма соціального захисту населення Кам'янської міської теріторіальної громади на 2022-2026 роки </t>
  </si>
  <si>
    <r>
      <t xml:space="preserve">від </t>
    </r>
    <r>
      <rPr>
        <u val="single"/>
        <sz val="22"/>
        <rFont val="Times New Roman"/>
        <family val="1"/>
      </rPr>
      <t>22.12.2021</t>
    </r>
    <r>
      <rPr>
        <sz val="22"/>
        <rFont val="Times New Roman"/>
        <family val="1"/>
      </rPr>
      <t xml:space="preserve"> №</t>
    </r>
    <r>
      <rPr>
        <u val="single"/>
        <sz val="22"/>
        <rFont val="Times New Roman"/>
        <family val="1"/>
      </rPr>
      <t>385-14/VIII</t>
    </r>
  </si>
  <si>
    <t xml:space="preserve">Програма диспетчеризації процесів підприємств, установ, організацій життєдіяльності Кам’янської міської територіальної громади на 2022–2023 роки </t>
  </si>
  <si>
    <t>22.12.2021 №484-14/VIII</t>
  </si>
  <si>
    <t>22.12.2021 №479-14/VIII</t>
  </si>
  <si>
    <t>22.12.2021 №480-14/VIII</t>
  </si>
  <si>
    <t>22.12.2021 №478-14/VIII</t>
  </si>
  <si>
    <t>22.12.2021 №457-14/VIII</t>
  </si>
  <si>
    <t>22.12.2021 №425-14/VIII    22.12.2021 №426-14/VIII</t>
  </si>
  <si>
    <t>22.12.2021 №409-14/VIII</t>
  </si>
  <si>
    <t>22.12.2021 №427-14/VIII</t>
  </si>
  <si>
    <t>22.12.2021 №429-14/VIII</t>
  </si>
  <si>
    <t>22.12.2021 №447-14/VIII</t>
  </si>
  <si>
    <t>22.12.2021 №450-14/VIII</t>
  </si>
  <si>
    <t>22.12.2021 №451-14/VIII</t>
  </si>
  <si>
    <t>22.12.2021 №454-14/VIII</t>
  </si>
  <si>
    <t>22.12.2021 №467-14/VIII</t>
  </si>
  <si>
    <t>22.12.2021 №473-14/VIII</t>
  </si>
  <si>
    <t>22.12.2021 №392-14/VIII</t>
  </si>
  <si>
    <t>22.12.2021 №393-14/VIII</t>
  </si>
  <si>
    <t>22.12.2021 №406-14/VIII</t>
  </si>
  <si>
    <t>22.12.2021 №408-14/VIII</t>
  </si>
  <si>
    <t>22.12.2021 №421-14/VIII</t>
  </si>
  <si>
    <t>22.12.2021 №422-14/VIII</t>
  </si>
  <si>
    <t>22.12.2021 №433-14/VIII</t>
  </si>
  <si>
    <t>22.12.2021 №471-14/VIII</t>
  </si>
  <si>
    <t>22.12.2021 №460-14/VIII</t>
  </si>
  <si>
    <t>22.12.2021 №455-14/VIII</t>
  </si>
  <si>
    <t>22.12.2021 №461-14/VIII</t>
  </si>
  <si>
    <t>22.12.2021 №431-14/VIII</t>
  </si>
  <si>
    <t>22.12.2021 №438-14/VIII</t>
  </si>
  <si>
    <t>22.12.2021 №501-14/VIII</t>
  </si>
  <si>
    <t>22.12.2021 №477-14/VIII</t>
  </si>
  <si>
    <t>22.12.2021 №488-14/VIII</t>
  </si>
  <si>
    <t>22.12.2021 №486-14/VIII</t>
  </si>
  <si>
    <t>22.12.2021 №463-14/VIII</t>
  </si>
  <si>
    <t>22.12.2021 №464-14/VIII</t>
  </si>
  <si>
    <t>22.12.2021 №466-14/VIII</t>
  </si>
  <si>
    <t>22.12.2021 №468-14/VIII</t>
  </si>
  <si>
    <t>(у редакції рішення міської ради</t>
  </si>
  <si>
    <t>1517130</t>
  </si>
  <si>
    <t xml:space="preserve">Програму розвитку системи зовнішнього відеоспостереження Кам’янської міської територіальної громади </t>
  </si>
  <si>
    <t xml:space="preserve">на 2022–2023 роки </t>
  </si>
  <si>
    <t>22.12.2021 №506-14/VIII</t>
  </si>
  <si>
    <t xml:space="preserve"> Програма
розвитку Комунального підприємства
Кам’янської міської ради
«Інформаційні системи»
на 2022–2023 роки
</t>
  </si>
  <si>
    <t>22.12.2021 №448-14/VIII</t>
  </si>
  <si>
    <t>1516015</t>
  </si>
  <si>
    <t>Забезпечення надійної та безперебійної експлуатації ліфтів</t>
  </si>
  <si>
    <t>0611151</t>
  </si>
  <si>
    <t>1151</t>
  </si>
  <si>
    <t>Забезпечення діяльності інклюзивно-ресурсних центрів за рахунок коштів міського бюджету</t>
  </si>
  <si>
    <t>0611061</t>
  </si>
  <si>
    <t>1061</t>
  </si>
  <si>
    <t>8230</t>
  </si>
  <si>
    <t>0380</t>
  </si>
  <si>
    <t>Інші заходи громадського порядку та безпеки</t>
  </si>
  <si>
    <t>Програму розвитку системи зовнішнього відеоспостереження Кам’янської міської територіальної громади на 2022-2023 роки</t>
  </si>
  <si>
    <t>Програма розвитку цивільного захисту та забезпечення пожежної безпеки на території  Кам’янської міської  територіальної громади на 2022‒2023 роки</t>
  </si>
  <si>
    <t xml:space="preserve">22.12.2021          №469-14/VIIІ </t>
  </si>
  <si>
    <t>Комплексна Програма забезпечення громадського (публічного) порядку та безпеки на території Кам’янської міської територіальної громади  на 2022–2025 роки</t>
  </si>
  <si>
    <t>22.12.2021           №481-14/VIІI (зі змінами)</t>
  </si>
  <si>
    <t xml:space="preserve"> Екологічна програма Кам’янської міської  територіальної громади на 2022–2025 роки»</t>
  </si>
  <si>
    <t>у тому числі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</si>
  <si>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у тому числі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</si>
  <si>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тому числі інші субвенції з місцевого бюджету  (субвенція з обласного бюджету місцевим бюджетам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SARS-CoV-2)</t>
  </si>
  <si>
    <t>у тому числі інші субвенції з місцевого бюджету (субвенція з обласного бюджету місцевим бюджетам на забезпечення централізованою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SARS-CoV-2) (за рахунок залишку, що утворився на 01.01.2022)</t>
  </si>
  <si>
    <t>у тому числі 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  (за рахунок залишку, що утворився на 01.01.2022)</t>
  </si>
  <si>
    <t>22.12.2021 №391-14/VIII (зі змінами)</t>
  </si>
  <si>
    <t>22.12.2021 №444-14/VIII  (зі змінами)</t>
  </si>
  <si>
    <t>22.12.2021 №444-14/VIII (зі змінами)</t>
  </si>
  <si>
    <t>22.12.2021 №449-14/VIII  (зі змінами)</t>
  </si>
  <si>
    <t>22.12.2021 №446-14/VIII  (зі змінами)</t>
  </si>
  <si>
    <t>22.12.2021 №472-14/VIII  (зі змінами)</t>
  </si>
  <si>
    <t>22.12.2021 №484-14/VIII (зі змінами)</t>
  </si>
  <si>
    <t xml:space="preserve"> Програма
розвитку 
Комунального підприємства
Кам’янської міської ради
«Південні тепломережі»
 на 2022–2024 роки
</t>
  </si>
  <si>
    <t xml:space="preserve">Програма розвитку 
Комунального підприємства Кам’янської 
міської ради «Кам'янське автотранспортне підприємство 042802»  
на 2022–2023 роки
</t>
  </si>
  <si>
    <t>22.12.2021 №453-14/VIII</t>
  </si>
  <si>
    <t>Департамент з гуманітарних питань Кам'янської міської ради</t>
  </si>
  <si>
    <t>Управління охорони здоров'я Кам'янської міської ради</t>
  </si>
  <si>
    <t>Департамент соціальної політики Кам'янської міської ради</t>
  </si>
  <si>
    <t>Служба у справах дітей Кам'янської міської ради</t>
  </si>
  <si>
    <t>Управління молоді та спорту Кам'янської міської ради</t>
  </si>
  <si>
    <t>Відділ з питань інфраструктурного розвитку Карнаухівського старостинського округу Кам'янської міської ради</t>
  </si>
  <si>
    <t>Департамент житлово-комунального господарства та будівництва Кам'янської міської ради</t>
  </si>
  <si>
    <t>Управління  містобудування та архітектури Кам'янської міської ради</t>
  </si>
  <si>
    <t>Управління державного архітектурно-будівельного контролю Кам'янської міської ради</t>
  </si>
  <si>
    <t>Управління транспортної інфраструктури та зв`язку Кам'янської міської ради</t>
  </si>
  <si>
    <t>Департамент економічного розвитку Кам'янської міської ради</t>
  </si>
  <si>
    <t>Департамент  екології та природних ресурсів Кам'янської міської ради</t>
  </si>
  <si>
    <t>Управління  з питань надзвичайних ситуацій та цивільного захисту населення Кам'янської міської ради</t>
  </si>
  <si>
    <t>Департамент  комунальної власності, земельних відносин та реєстрації речових прав на нерухоме майно Кам'янської міської ради</t>
  </si>
  <si>
    <t>Відділ реклами Кам'янської міської ради</t>
  </si>
  <si>
    <t>Департамент муніципальних послуг та  регуляторної політики  Кам'янської міської ради</t>
  </si>
  <si>
    <t>Департамент фінансів Кам'янської міської ради</t>
  </si>
  <si>
    <t>0813230</t>
  </si>
  <si>
    <t>3230</t>
  </si>
  <si>
    <t>Видатки, пов'язані з наданням підтримки внутрішньопереміщеним та/або евакуйованим особам у з'вязку з введенням воєнного стану в Україні</t>
  </si>
  <si>
    <t xml:space="preserve">Програма соціального захисту населення Кам'янської міської теріторіальної громади на  2022-2026 роки </t>
  </si>
  <si>
    <t>22.12.2021 №431-14/VIII (зі змінами)</t>
  </si>
  <si>
    <t>22.12.2021 №435-14/VIII (зі змінами)</t>
  </si>
  <si>
    <t xml:space="preserve">22.12.2021 №433-14/VIII (зі змінами) </t>
  </si>
  <si>
    <t xml:space="preserve">Програма соціального захисту населення Кам'янської міської теріторіальної громади на   2022-2026 роки </t>
  </si>
  <si>
    <t xml:space="preserve">22.12.2021 №438-14/VIII </t>
  </si>
  <si>
    <t>Програма підвищення боєздатності та функціонування Кам’янського районного територіального центру комплектування та соціальної підтримки та військових частин А4608, А7222 на 2022 рік</t>
  </si>
  <si>
    <t>25.02.2022           №541-17/VIІI (зі змінами)</t>
  </si>
  <si>
    <t xml:space="preserve">22.12.2021 №487-14/VIII  </t>
  </si>
  <si>
    <t xml:space="preserve">22.12.2021 №474-14/VIII </t>
  </si>
  <si>
    <t xml:space="preserve">22.12.2021 №475-14/VIII  </t>
  </si>
  <si>
    <r>
      <t xml:space="preserve">від </t>
    </r>
    <r>
      <rPr>
        <u val="single"/>
        <sz val="22"/>
        <rFont val="Times New Roman"/>
        <family val="1"/>
      </rPr>
      <t>15.04.2022</t>
    </r>
    <r>
      <rPr>
        <sz val="22"/>
        <rFont val="Times New Roman"/>
        <family val="1"/>
      </rPr>
      <t xml:space="preserve"> №</t>
    </r>
    <r>
      <rPr>
        <u val="single"/>
        <sz val="22"/>
        <rFont val="Times New Roman"/>
        <family val="1"/>
      </rPr>
      <t>557-18/VIII</t>
    </r>
    <r>
      <rPr>
        <sz val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</si>
</sst>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  <numFmt numFmtId="202" formatCode="[$-FC19]d\ mmmm\ yyyy\ &quot;г.&quot;"/>
    <numFmt numFmtId="203" formatCode="#,##0.00_ ;\-#,##0.00\ "/>
    <numFmt numFmtId="204" formatCode="#,##0.00_ ;[Red]\-#,##0.00\ "/>
  </numFmts>
  <fonts count="7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8"/>
      <name val="Calibri"/>
      <family val="2"/>
    </font>
    <font>
      <i/>
      <sz val="10"/>
      <name val="Times New Roman"/>
      <family val="1"/>
    </font>
    <font>
      <b/>
      <i/>
      <sz val="18"/>
      <name val="Times New Roman"/>
      <family val="1"/>
    </font>
    <font>
      <sz val="24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6"/>
      <color indexed="10"/>
      <name val="Times New Roman"/>
      <family val="1"/>
    </font>
    <font>
      <b/>
      <i/>
      <sz val="18"/>
      <color indexed="10"/>
      <name val="Times New Roman"/>
      <family val="1"/>
    </font>
    <font>
      <i/>
      <sz val="1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26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u val="single"/>
      <sz val="24"/>
      <name val="Times New Roman"/>
      <family val="1"/>
    </font>
    <font>
      <sz val="26"/>
      <name val="Times New Roman"/>
      <family val="1"/>
    </font>
    <font>
      <b/>
      <sz val="10"/>
      <name val="Arial Cyr"/>
      <family val="0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>
      <alignment vertical="top"/>
      <protection/>
    </xf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3" fontId="17" fillId="0" borderId="10" xfId="49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4" fontId="18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24" fillId="0" borderId="10" xfId="49" applyNumberFormat="1" applyFont="1" applyFill="1" applyBorder="1" applyAlignment="1">
      <alignment horizontal="right" vertical="center" wrapText="1"/>
      <protection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32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49" applyNumberFormat="1" applyFont="1" applyFill="1" applyBorder="1" applyAlignment="1">
      <alignment horizontal="right" vertical="center" wrapText="1"/>
      <protection/>
    </xf>
    <xf numFmtId="49" fontId="17" fillId="32" borderId="10" xfId="0" applyNumberFormat="1" applyFont="1" applyFill="1" applyBorder="1" applyAlignment="1">
      <alignment horizontal="center" vertical="center" wrapText="1"/>
    </xf>
    <xf numFmtId="4" fontId="24" fillId="32" borderId="10" xfId="49" applyNumberFormat="1" applyFont="1" applyFill="1" applyBorder="1" applyAlignment="1">
      <alignment horizontal="right" vertical="center" wrapText="1"/>
      <protection/>
    </xf>
    <xf numFmtId="4" fontId="17" fillId="32" borderId="10" xfId="49" applyNumberFormat="1" applyFont="1" applyFill="1" applyBorder="1" applyAlignment="1">
      <alignment horizontal="right" vertical="center" wrapText="1"/>
      <protection/>
    </xf>
    <xf numFmtId="0" fontId="25" fillId="32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 wrapText="1"/>
    </xf>
    <xf numFmtId="49" fontId="17" fillId="32" borderId="10" xfId="0" applyNumberFormat="1" applyFont="1" applyFill="1" applyBorder="1" applyAlignment="1" quotePrefix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17" fillId="32" borderId="10" xfId="49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27" fillId="0" borderId="10" xfId="49" applyNumberFormat="1" applyFont="1" applyFill="1" applyBorder="1" applyAlignment="1">
      <alignment horizontal="right" vertical="center" wrapText="1"/>
      <protection/>
    </xf>
    <xf numFmtId="4" fontId="26" fillId="0" borderId="10" xfId="0" applyNumberFormat="1" applyFont="1" applyBorder="1" applyAlignment="1">
      <alignment horizontal="right" vertical="center" wrapText="1"/>
    </xf>
    <xf numFmtId="4" fontId="26" fillId="32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49" fontId="17" fillId="0" borderId="10" xfId="0" applyNumberFormat="1" applyFont="1" applyFill="1" applyBorder="1" applyAlignment="1" quotePrefix="1">
      <alignment horizontal="center" vertical="center" wrapText="1"/>
    </xf>
    <xf numFmtId="0" fontId="17" fillId="0" borderId="0" xfId="0" applyFont="1" applyFill="1" applyAlignment="1">
      <alignment vertical="center" wrapText="1"/>
    </xf>
    <xf numFmtId="3" fontId="17" fillId="32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 quotePrefix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 applyProtection="1">
      <alignment horizontal="right" vertical="center" wrapText="1"/>
      <protection/>
    </xf>
    <xf numFmtId="4" fontId="26" fillId="0" borderId="10" xfId="0" applyNumberFormat="1" applyFont="1" applyFill="1" applyBorder="1" applyAlignment="1" applyProtection="1">
      <alignment horizontal="right" vertical="center" wrapText="1"/>
      <protection/>
    </xf>
    <xf numFmtId="14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26" fillId="32" borderId="10" xfId="0" applyNumberFormat="1" applyFont="1" applyFill="1" applyBorder="1" applyAlignment="1" quotePrefix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3" fontId="26" fillId="32" borderId="10" xfId="0" applyNumberFormat="1" applyFont="1" applyFill="1" applyBorder="1" applyAlignment="1" applyProtection="1">
      <alignment horizontal="center" vertical="center" wrapText="1"/>
      <protection/>
    </xf>
    <xf numFmtId="4" fontId="27" fillId="32" borderId="10" xfId="0" applyNumberFormat="1" applyFont="1" applyFill="1" applyBorder="1" applyAlignment="1" applyProtection="1">
      <alignment horizontal="right" vertical="center" wrapText="1"/>
      <protection/>
    </xf>
    <xf numFmtId="4" fontId="26" fillId="32" borderId="10" xfId="0" applyNumberFormat="1" applyFont="1" applyFill="1" applyBorder="1" applyAlignment="1" applyProtection="1">
      <alignment horizontal="right" vertical="center" wrapText="1"/>
      <protection/>
    </xf>
    <xf numFmtId="0" fontId="26" fillId="34" borderId="0" xfId="0" applyFont="1" applyFill="1" applyAlignment="1">
      <alignment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35" borderId="0" xfId="0" applyFont="1" applyFill="1" applyBorder="1" applyAlignment="1">
      <alignment vertical="center" wrapText="1"/>
    </xf>
    <xf numFmtId="4" fontId="24" fillId="32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9" fontId="31" fillId="32" borderId="10" xfId="0" applyNumberFormat="1" applyFont="1" applyFill="1" applyBorder="1" applyAlignment="1" quotePrefix="1">
      <alignment horizontal="center" vertical="center" wrapText="1"/>
    </xf>
    <xf numFmtId="0" fontId="31" fillId="32" borderId="10" xfId="0" applyFont="1" applyFill="1" applyBorder="1" applyAlignment="1" quotePrefix="1">
      <alignment horizontal="center" vertical="center" wrapText="1"/>
    </xf>
    <xf numFmtId="0" fontId="26" fillId="36" borderId="0" xfId="0" applyFont="1" applyFill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3" fontId="18" fillId="32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2" fontId="26" fillId="32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4" fontId="34" fillId="0" borderId="0" xfId="0" applyNumberFormat="1" applyFont="1" applyAlignment="1">
      <alignment horizontal="right" vertical="center" wrapText="1"/>
    </xf>
    <xf numFmtId="4" fontId="31" fillId="0" borderId="0" xfId="0" applyNumberFormat="1" applyFont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6" fillId="0" borderId="10" xfId="49" applyNumberFormat="1" applyFont="1" applyFill="1" applyBorder="1" applyAlignment="1">
      <alignment horizontal="center" vertical="center" wrapText="1"/>
      <protection/>
    </xf>
    <xf numFmtId="4" fontId="7" fillId="0" borderId="10" xfId="49" applyNumberFormat="1" applyFont="1" applyFill="1" applyBorder="1" applyAlignment="1">
      <alignment horizontal="right" vertical="center" wrapText="1"/>
      <protection/>
    </xf>
    <xf numFmtId="4" fontId="6" fillId="0" borderId="10" xfId="49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Border="1" applyAlignment="1">
      <alignment horizontal="right" vertical="center" wrapText="1"/>
    </xf>
    <xf numFmtId="4" fontId="6" fillId="32" borderId="10" xfId="49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horizontal="right" vertical="center" wrapText="1"/>
      <protection/>
    </xf>
    <xf numFmtId="4" fontId="6" fillId="32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7" fillId="32" borderId="10" xfId="0" applyNumberFormat="1" applyFont="1" applyFill="1" applyBorder="1" applyAlignment="1" quotePrefix="1">
      <alignment horizontal="right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quotePrefix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 quotePrefix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 applyProtection="1">
      <alignment horizontal="right" vertical="center" wrapText="1"/>
      <protection/>
    </xf>
    <xf numFmtId="3" fontId="6" fillId="32" borderId="10" xfId="49" applyNumberFormat="1" applyFont="1" applyFill="1" applyBorder="1" applyAlignment="1">
      <alignment horizontal="center" vertical="center" wrapText="1"/>
      <protection/>
    </xf>
    <xf numFmtId="4" fontId="7" fillId="32" borderId="10" xfId="49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9" fontId="6" fillId="32" borderId="10" xfId="58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quotePrefix="1">
      <alignment horizontal="right" vertical="center" wrapText="1"/>
    </xf>
    <xf numFmtId="4" fontId="7" fillId="4" borderId="10" xfId="0" applyNumberFormat="1" applyFont="1" applyFill="1" applyBorder="1" applyAlignment="1" quotePrefix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7" fillId="37" borderId="10" xfId="0" applyNumberFormat="1" applyFont="1" applyFill="1" applyBorder="1" applyAlignment="1">
      <alignment vertical="center" wrapText="1"/>
    </xf>
    <xf numFmtId="49" fontId="7" fillId="4" borderId="10" xfId="0" applyNumberFormat="1" applyFont="1" applyFill="1" applyBorder="1" applyAlignment="1" quotePrefix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quotePrefix="1">
      <alignment horizontal="center" vertical="center" wrapText="1"/>
    </xf>
    <xf numFmtId="4" fontId="7" fillId="37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quotePrefix="1">
      <alignment horizontal="righ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 quotePrefix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 quotePrefix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10" xfId="0" applyNumberFormat="1" applyFont="1" applyFill="1" applyBorder="1" applyAlignment="1" quotePrefix="1">
      <alignment horizontal="right" vertical="center" wrapText="1"/>
    </xf>
    <xf numFmtId="0" fontId="7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4" fontId="7" fillId="0" borderId="0" xfId="0" applyNumberFormat="1" applyFont="1" applyFill="1" applyAlignment="1" applyProtection="1">
      <alignment horizontal="right" vertical="center" wrapText="1"/>
      <protection/>
    </xf>
    <xf numFmtId="49" fontId="7" fillId="4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4" borderId="10" xfId="49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32" fillId="0" borderId="10" xfId="0" applyFont="1" applyBorder="1" applyAlignment="1">
      <alignment horizontal="center" vertical="top" wrapText="1"/>
    </xf>
    <xf numFmtId="2" fontId="17" fillId="0" borderId="10" xfId="0" applyNumberFormat="1" applyFont="1" applyBorder="1" applyAlignment="1" quotePrefix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6" fillId="32" borderId="10" xfId="0" applyFont="1" applyFill="1" applyBorder="1" applyAlignment="1" quotePrefix="1">
      <alignment horizontal="center" vertical="center" wrapText="1"/>
    </xf>
    <xf numFmtId="0" fontId="7" fillId="4" borderId="10" xfId="0" applyFont="1" applyFill="1" applyBorder="1" applyAlignment="1" quotePrefix="1">
      <alignment horizontal="center" vertical="center" wrapText="1"/>
    </xf>
    <xf numFmtId="3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" fontId="41" fillId="0" borderId="10" xfId="49" applyNumberFormat="1" applyFont="1" applyFill="1" applyBorder="1" applyAlignment="1">
      <alignment horizontal="right" vertical="center" wrapText="1"/>
      <protection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4" fontId="5" fillId="32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 quotePrefix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2" borderId="10" xfId="0" applyNumberFormat="1" applyFont="1" applyFill="1" applyBorder="1" applyAlignment="1" applyProtection="1">
      <alignment horizontal="right" vertical="center" wrapText="1"/>
      <protection/>
    </xf>
    <xf numFmtId="4" fontId="42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41" fillId="32" borderId="10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3" fontId="5" fillId="0" borderId="10" xfId="49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/>
    </xf>
    <xf numFmtId="4" fontId="43" fillId="0" borderId="10" xfId="49" applyNumberFormat="1" applyFont="1" applyFill="1" applyBorder="1" applyAlignment="1">
      <alignment horizontal="right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2" fontId="6" fillId="0" borderId="10" xfId="0" applyNumberFormat="1" applyFont="1" applyBorder="1" applyAlignment="1" quotePrefix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201" fontId="6" fillId="32" borderId="12" xfId="0" applyNumberFormat="1" applyFont="1" applyFill="1" applyBorder="1" applyAlignment="1">
      <alignment horizontal="center" vertical="center" wrapText="1"/>
    </xf>
    <xf numFmtId="201" fontId="6" fillId="32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4" borderId="15" xfId="0" applyNumberFormat="1" applyFont="1" applyFill="1" applyBorder="1" applyAlignment="1" quotePrefix="1">
      <alignment horizontal="left" vertical="center" wrapText="1"/>
    </xf>
    <xf numFmtId="2" fontId="7" fillId="4" borderId="16" xfId="0" applyNumberFormat="1" applyFont="1" applyFill="1" applyBorder="1" applyAlignment="1" quotePrefix="1">
      <alignment horizontal="left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201" fontId="6" fillId="32" borderId="14" xfId="0" applyNumberFormat="1" applyFont="1" applyFill="1" applyBorder="1" applyAlignment="1">
      <alignment horizontal="center" vertical="center" wrapText="1"/>
    </xf>
    <xf numFmtId="3" fontId="6" fillId="32" borderId="13" xfId="0" applyNumberFormat="1" applyFont="1" applyFill="1" applyBorder="1" applyAlignment="1">
      <alignment horizontal="center" vertical="center" wrapText="1"/>
    </xf>
    <xf numFmtId="3" fontId="17" fillId="0" borderId="12" xfId="49" applyNumberFormat="1" applyFont="1" applyFill="1" applyBorder="1" applyAlignment="1">
      <alignment horizontal="center" vertical="center" wrapText="1"/>
      <protection/>
    </xf>
    <xf numFmtId="3" fontId="17" fillId="0" borderId="13" xfId="49" applyNumberFormat="1" applyFont="1" applyFill="1" applyBorder="1" applyAlignment="1">
      <alignment horizontal="center" vertical="center" wrapText="1"/>
      <protection/>
    </xf>
    <xf numFmtId="3" fontId="17" fillId="0" borderId="14" xfId="49" applyNumberFormat="1" applyFont="1" applyFill="1" applyBorder="1" applyAlignment="1">
      <alignment horizontal="center" vertical="center" wrapText="1"/>
      <protection/>
    </xf>
    <xf numFmtId="2" fontId="17" fillId="32" borderId="12" xfId="0" applyNumberFormat="1" applyFont="1" applyFill="1" applyBorder="1" applyAlignment="1">
      <alignment horizontal="center" vertical="center" wrapText="1"/>
    </xf>
    <xf numFmtId="2" fontId="17" fillId="32" borderId="13" xfId="0" applyNumberFormat="1" applyFont="1" applyFill="1" applyBorder="1" applyAlignment="1">
      <alignment horizontal="center" vertical="center" wrapText="1"/>
    </xf>
    <xf numFmtId="2" fontId="17" fillId="32" borderId="14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 quotePrefix="1">
      <alignment horizontal="left" vertical="center" wrapText="1"/>
    </xf>
    <xf numFmtId="2" fontId="7" fillId="4" borderId="10" xfId="0" applyNumberFormat="1" applyFont="1" applyFill="1" applyBorder="1" applyAlignment="1" quotePrefix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left" vertical="center" wrapText="1"/>
    </xf>
    <xf numFmtId="2" fontId="6" fillId="32" borderId="14" xfId="0" applyNumberFormat="1" applyFont="1" applyFill="1" applyBorder="1" applyAlignment="1">
      <alignment horizontal="center" vertical="center" wrapText="1"/>
    </xf>
    <xf numFmtId="2" fontId="7" fillId="35" borderId="15" xfId="0" applyNumberFormat="1" applyFont="1" applyFill="1" applyBorder="1" applyAlignment="1" quotePrefix="1">
      <alignment horizontal="left" vertical="center" wrapText="1"/>
    </xf>
    <xf numFmtId="2" fontId="7" fillId="35" borderId="16" xfId="0" applyNumberFormat="1" applyFont="1" applyFill="1" applyBorder="1" applyAlignment="1" quotePrefix="1">
      <alignment horizontal="left" vertical="center" wrapText="1"/>
    </xf>
    <xf numFmtId="2" fontId="7" fillId="35" borderId="15" xfId="0" applyNumberFormat="1" applyFont="1" applyFill="1" applyBorder="1" applyAlignment="1">
      <alignment horizontal="left" vertical="center" wrapText="1"/>
    </xf>
    <xf numFmtId="2" fontId="7" fillId="35" borderId="16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5" borderId="10" xfId="0" applyNumberFormat="1" applyFont="1" applyFill="1" applyBorder="1" applyAlignment="1">
      <alignment horizontal="left" vertical="center" wrapText="1"/>
    </xf>
    <xf numFmtId="49" fontId="37" fillId="32" borderId="0" xfId="0" applyNumberFormat="1" applyFont="1" applyFill="1" applyBorder="1" applyAlignment="1">
      <alignment horizontal="center"/>
    </xf>
    <xf numFmtId="49" fontId="16" fillId="32" borderId="0" xfId="0" applyNumberFormat="1" applyFont="1" applyFill="1" applyBorder="1" applyAlignment="1">
      <alignment horizontal="center"/>
    </xf>
    <xf numFmtId="0" fontId="16" fillId="32" borderId="0" xfId="0" applyFont="1" applyFill="1" applyAlignment="1">
      <alignment horizontal="center" vertical="center"/>
    </xf>
    <xf numFmtId="2" fontId="7" fillId="37" borderId="15" xfId="0" applyNumberFormat="1" applyFont="1" applyFill="1" applyBorder="1" applyAlignment="1">
      <alignment horizontal="left" vertical="center" wrapText="1"/>
    </xf>
    <xf numFmtId="2" fontId="7" fillId="37" borderId="16" xfId="0" applyNumberFormat="1" applyFont="1" applyFill="1" applyBorder="1" applyAlignment="1">
      <alignment horizontal="left" vertical="center" wrapText="1"/>
    </xf>
    <xf numFmtId="2" fontId="7" fillId="4" borderId="15" xfId="0" applyNumberFormat="1" applyFont="1" applyFill="1" applyBorder="1" applyAlignment="1">
      <alignment horizontal="left" vertical="center" wrapText="1"/>
    </xf>
    <xf numFmtId="2" fontId="7" fillId="4" borderId="16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 applyProtection="1">
      <alignment horizontal="right" vertical="center" wrapText="1"/>
      <protection/>
    </xf>
    <xf numFmtId="4" fontId="39" fillId="0" borderId="0" xfId="0" applyNumberFormat="1" applyFont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view="pageBreakPreview" zoomScale="68" zoomScaleSheetLayoutView="68" workbookViewId="0" topLeftCell="A1">
      <selection activeCell="I12" sqref="I12:J14"/>
    </sheetView>
  </sheetViews>
  <sheetFormatPr defaultColWidth="9.00390625" defaultRowHeight="12.75"/>
  <cols>
    <col min="1" max="1" width="18.50390625" style="96" customWidth="1"/>
    <col min="2" max="2" width="15.375" style="97" customWidth="1"/>
    <col min="3" max="3" width="13.00390625" style="97" customWidth="1"/>
    <col min="4" max="4" width="51.375" style="98" customWidth="1"/>
    <col min="5" max="5" width="59.50390625" style="99" customWidth="1"/>
    <col min="6" max="6" width="23.125" style="99" customWidth="1"/>
    <col min="7" max="7" width="27.50390625" style="101" customWidth="1"/>
    <col min="8" max="8" width="27.375" style="102" customWidth="1"/>
    <col min="9" max="9" width="28.00390625" style="102" customWidth="1"/>
    <col min="10" max="10" width="28.625" style="102" customWidth="1"/>
    <col min="11" max="11" width="8.875" style="100" customWidth="1"/>
    <col min="12" max="12" width="24.50390625" style="100" bestFit="1" customWidth="1"/>
    <col min="13" max="16384" width="8.875" style="100" customWidth="1"/>
  </cols>
  <sheetData>
    <row r="1" spans="1:10" s="8" customFormat="1" ht="21" customHeight="1">
      <c r="A1" s="2"/>
      <c r="B1" s="3"/>
      <c r="C1" s="3"/>
      <c r="D1" s="4"/>
      <c r="E1" s="5"/>
      <c r="F1" s="5"/>
      <c r="G1" s="6"/>
      <c r="H1" s="7"/>
      <c r="I1" s="315"/>
      <c r="J1" s="315"/>
    </row>
    <row r="2" spans="1:10" s="8" customFormat="1" ht="27" customHeight="1">
      <c r="A2" s="181"/>
      <c r="B2" s="182"/>
      <c r="C2" s="182"/>
      <c r="D2" s="183"/>
      <c r="E2" s="184"/>
      <c r="F2" s="184"/>
      <c r="G2" s="185"/>
      <c r="H2" s="185"/>
      <c r="I2" s="307" t="s">
        <v>211</v>
      </c>
      <c r="J2" s="307"/>
    </row>
    <row r="3" spans="1:10" s="8" customFormat="1" ht="28.5" customHeight="1">
      <c r="A3" s="181"/>
      <c r="B3" s="182"/>
      <c r="C3" s="182"/>
      <c r="D3" s="183"/>
      <c r="E3" s="184"/>
      <c r="F3" s="184"/>
      <c r="G3" s="185"/>
      <c r="H3" s="185"/>
      <c r="I3" s="307" t="s">
        <v>95</v>
      </c>
      <c r="J3" s="307"/>
    </row>
    <row r="4" spans="1:10" s="8" customFormat="1" ht="27" customHeight="1">
      <c r="A4" s="181"/>
      <c r="B4" s="182"/>
      <c r="C4" s="182"/>
      <c r="D4" s="183"/>
      <c r="E4" s="184"/>
      <c r="F4" s="184"/>
      <c r="G4" s="185"/>
      <c r="H4" s="185"/>
      <c r="I4" s="307" t="s">
        <v>331</v>
      </c>
      <c r="J4" s="307"/>
    </row>
    <row r="5" spans="1:10" s="8" customFormat="1" ht="32.25" customHeight="1">
      <c r="A5" s="181"/>
      <c r="B5" s="182"/>
      <c r="C5" s="182"/>
      <c r="D5" s="183"/>
      <c r="E5" s="184"/>
      <c r="F5" s="184"/>
      <c r="G5" s="185"/>
      <c r="H5" s="185"/>
      <c r="I5" s="307" t="s">
        <v>369</v>
      </c>
      <c r="J5" s="307"/>
    </row>
    <row r="6" spans="1:10" s="8" customFormat="1" ht="33" customHeight="1">
      <c r="A6" s="181"/>
      <c r="B6" s="182"/>
      <c r="C6" s="182"/>
      <c r="D6" s="183"/>
      <c r="E6" s="184"/>
      <c r="F6" s="184"/>
      <c r="G6" s="185"/>
      <c r="H6" s="185"/>
      <c r="I6" s="307" t="s">
        <v>438</v>
      </c>
      <c r="J6" s="307"/>
    </row>
    <row r="7" spans="1:10" s="8" customFormat="1" ht="48" customHeight="1">
      <c r="A7" s="181"/>
      <c r="B7" s="182"/>
      <c r="C7" s="182"/>
      <c r="D7" s="183"/>
      <c r="E7" s="184"/>
      <c r="F7" s="184"/>
      <c r="G7" s="186"/>
      <c r="H7" s="186"/>
      <c r="I7" s="186"/>
      <c r="J7" s="186"/>
    </row>
    <row r="8" spans="1:10" s="8" customFormat="1" ht="69" customHeight="1">
      <c r="A8" s="316" t="s">
        <v>306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s="8" customFormat="1" ht="33" customHeight="1">
      <c r="A9" s="322" t="s">
        <v>300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:10" s="8" customFormat="1" ht="33" customHeight="1">
      <c r="A10" s="324" t="s">
        <v>155</v>
      </c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s="8" customFormat="1" ht="30">
      <c r="A11" s="9"/>
      <c r="B11" s="10"/>
      <c r="C11" s="10"/>
      <c r="D11" s="11"/>
      <c r="E11" s="12"/>
      <c r="F11" s="13"/>
      <c r="G11" s="14"/>
      <c r="H11" s="15"/>
      <c r="I11" s="15"/>
      <c r="J11" s="159" t="s">
        <v>79</v>
      </c>
    </row>
    <row r="12" spans="1:10" s="16" customFormat="1" ht="15" customHeight="1">
      <c r="A12" s="317" t="s">
        <v>96</v>
      </c>
      <c r="B12" s="317" t="s">
        <v>97</v>
      </c>
      <c r="C12" s="317" t="s">
        <v>98</v>
      </c>
      <c r="D12" s="303" t="s">
        <v>80</v>
      </c>
      <c r="E12" s="303" t="s">
        <v>99</v>
      </c>
      <c r="F12" s="303" t="s">
        <v>119</v>
      </c>
      <c r="G12" s="308" t="s">
        <v>120</v>
      </c>
      <c r="H12" s="308" t="s">
        <v>104</v>
      </c>
      <c r="I12" s="308" t="s">
        <v>105</v>
      </c>
      <c r="J12" s="308"/>
    </row>
    <row r="13" spans="1:10" s="16" customFormat="1" ht="62.25" customHeight="1">
      <c r="A13" s="317"/>
      <c r="B13" s="317"/>
      <c r="C13" s="317"/>
      <c r="D13" s="303"/>
      <c r="E13" s="303"/>
      <c r="F13" s="303"/>
      <c r="G13" s="308"/>
      <c r="H13" s="308"/>
      <c r="I13" s="308"/>
      <c r="J13" s="308"/>
    </row>
    <row r="14" spans="1:10" s="16" customFormat="1" ht="28.5" customHeight="1">
      <c r="A14" s="317"/>
      <c r="B14" s="317"/>
      <c r="C14" s="317"/>
      <c r="D14" s="303"/>
      <c r="E14" s="303"/>
      <c r="F14" s="303"/>
      <c r="G14" s="308"/>
      <c r="H14" s="308"/>
      <c r="I14" s="308"/>
      <c r="J14" s="308"/>
    </row>
    <row r="15" spans="1:10" s="16" customFormat="1" ht="65.25" customHeight="1">
      <c r="A15" s="317"/>
      <c r="B15" s="317"/>
      <c r="C15" s="317"/>
      <c r="D15" s="303"/>
      <c r="E15" s="303"/>
      <c r="F15" s="303"/>
      <c r="G15" s="308"/>
      <c r="H15" s="308"/>
      <c r="I15" s="137" t="s">
        <v>121</v>
      </c>
      <c r="J15" s="137" t="s">
        <v>122</v>
      </c>
    </row>
    <row r="16" spans="1:10" s="17" customFormat="1" ht="20.25" customHeight="1">
      <c r="A16" s="138">
        <v>1</v>
      </c>
      <c r="B16" s="138">
        <v>2</v>
      </c>
      <c r="C16" s="138">
        <v>3</v>
      </c>
      <c r="D16" s="139">
        <v>4</v>
      </c>
      <c r="E16" s="139">
        <v>5</v>
      </c>
      <c r="F16" s="139">
        <v>6</v>
      </c>
      <c r="G16" s="139">
        <v>7</v>
      </c>
      <c r="H16" s="139">
        <v>8</v>
      </c>
      <c r="I16" s="139">
        <v>9</v>
      </c>
      <c r="J16" s="139">
        <v>10</v>
      </c>
    </row>
    <row r="17" spans="1:10" s="198" customFormat="1" ht="43.5" customHeight="1">
      <c r="A17" s="161" t="s">
        <v>106</v>
      </c>
      <c r="B17" s="194"/>
      <c r="C17" s="194"/>
      <c r="D17" s="309" t="s">
        <v>280</v>
      </c>
      <c r="E17" s="309"/>
      <c r="F17" s="162" t="s">
        <v>200</v>
      </c>
      <c r="G17" s="158">
        <f>G18</f>
        <v>30807873</v>
      </c>
      <c r="H17" s="158">
        <f>H18</f>
        <v>28464044</v>
      </c>
      <c r="I17" s="158">
        <f>I18</f>
        <v>2343829</v>
      </c>
      <c r="J17" s="158">
        <f>J18</f>
        <v>2343829</v>
      </c>
    </row>
    <row r="18" spans="1:10" s="19" customFormat="1" ht="40.5" customHeight="1">
      <c r="A18" s="133" t="s">
        <v>107</v>
      </c>
      <c r="B18" s="132"/>
      <c r="C18" s="132"/>
      <c r="D18" s="321" t="s">
        <v>280</v>
      </c>
      <c r="E18" s="321"/>
      <c r="F18" s="134" t="s">
        <v>200</v>
      </c>
      <c r="G18" s="135">
        <f>H18+I18</f>
        <v>30807873</v>
      </c>
      <c r="H18" s="135">
        <f>H19+H20+H22+H23+H21+H24+H25</f>
        <v>28464044</v>
      </c>
      <c r="I18" s="135">
        <f>I19+I20+I22+I23+I21+I24+I25</f>
        <v>2343829</v>
      </c>
      <c r="J18" s="135">
        <f>J19+J20+J22+J23+J21+J24+J25</f>
        <v>2343829</v>
      </c>
    </row>
    <row r="19" spans="1:10" s="24" customFormat="1" ht="108" customHeight="1">
      <c r="A19" s="286" t="s">
        <v>152</v>
      </c>
      <c r="B19" s="286">
        <v>8410</v>
      </c>
      <c r="C19" s="286" t="s">
        <v>108</v>
      </c>
      <c r="D19" s="287" t="s">
        <v>153</v>
      </c>
      <c r="E19" s="106" t="s">
        <v>321</v>
      </c>
      <c r="F19" s="126" t="s">
        <v>364</v>
      </c>
      <c r="G19" s="108">
        <f aca="true" t="shared" si="0" ref="G19:G25">SUM(H19+I19)</f>
        <v>7272900</v>
      </c>
      <c r="H19" s="117">
        <v>7272900</v>
      </c>
      <c r="I19" s="117">
        <v>0</v>
      </c>
      <c r="J19" s="117">
        <v>0</v>
      </c>
    </row>
    <row r="20" spans="1:10" s="19" customFormat="1" ht="73.5" customHeight="1">
      <c r="A20" s="286"/>
      <c r="B20" s="286"/>
      <c r="C20" s="286"/>
      <c r="D20" s="287"/>
      <c r="E20" s="106" t="s">
        <v>320</v>
      </c>
      <c r="F20" s="126" t="s">
        <v>435</v>
      </c>
      <c r="G20" s="108">
        <f t="shared" si="0"/>
        <v>4168628</v>
      </c>
      <c r="H20" s="110">
        <f>3802728+805900-440000</f>
        <v>4168628</v>
      </c>
      <c r="I20" s="110">
        <v>0</v>
      </c>
      <c r="J20" s="121">
        <v>0</v>
      </c>
    </row>
    <row r="21" spans="1:10" s="125" customFormat="1" ht="96" customHeight="1">
      <c r="A21" s="112" t="s">
        <v>195</v>
      </c>
      <c r="B21" s="114" t="s">
        <v>133</v>
      </c>
      <c r="C21" s="112" t="s">
        <v>109</v>
      </c>
      <c r="D21" s="126" t="s">
        <v>243</v>
      </c>
      <c r="E21" s="115" t="s">
        <v>0</v>
      </c>
      <c r="F21" s="126" t="s">
        <v>334</v>
      </c>
      <c r="G21" s="108">
        <f t="shared" si="0"/>
        <v>2901000</v>
      </c>
      <c r="H21" s="110">
        <v>2901000</v>
      </c>
      <c r="I21" s="110">
        <v>0</v>
      </c>
      <c r="J21" s="117">
        <v>0</v>
      </c>
    </row>
    <row r="22" spans="1:10" s="125" customFormat="1" ht="96" customHeight="1">
      <c r="A22" s="112" t="s">
        <v>195</v>
      </c>
      <c r="B22" s="114" t="s">
        <v>133</v>
      </c>
      <c r="C22" s="112" t="s">
        <v>109</v>
      </c>
      <c r="D22" s="126" t="s">
        <v>243</v>
      </c>
      <c r="E22" s="107" t="s">
        <v>322</v>
      </c>
      <c r="F22" s="107" t="s">
        <v>403</v>
      </c>
      <c r="G22" s="108">
        <f t="shared" si="0"/>
        <v>3832000</v>
      </c>
      <c r="H22" s="109">
        <f>3743000+40000+49000</f>
        <v>3832000</v>
      </c>
      <c r="I22" s="110">
        <v>0</v>
      </c>
      <c r="J22" s="110">
        <v>0</v>
      </c>
    </row>
    <row r="23" spans="1:10" s="35" customFormat="1" ht="125.25" customHeight="1">
      <c r="A23" s="104" t="s">
        <v>203</v>
      </c>
      <c r="B23" s="163" t="s">
        <v>242</v>
      </c>
      <c r="C23" s="163" t="s">
        <v>117</v>
      </c>
      <c r="D23" s="106" t="s">
        <v>135</v>
      </c>
      <c r="E23" s="106" t="s">
        <v>319</v>
      </c>
      <c r="F23" s="126" t="s">
        <v>363</v>
      </c>
      <c r="G23" s="144">
        <f t="shared" si="0"/>
        <v>1013800</v>
      </c>
      <c r="H23" s="111">
        <v>1013800</v>
      </c>
      <c r="I23" s="121">
        <v>0</v>
      </c>
      <c r="J23" s="121">
        <v>0</v>
      </c>
    </row>
    <row r="24" spans="1:10" s="19" customFormat="1" ht="171" customHeight="1">
      <c r="A24" s="104" t="s">
        <v>201</v>
      </c>
      <c r="B24" s="105">
        <v>6017</v>
      </c>
      <c r="C24" s="104" t="s">
        <v>112</v>
      </c>
      <c r="D24" s="106" t="s">
        <v>303</v>
      </c>
      <c r="E24" s="106" t="s">
        <v>313</v>
      </c>
      <c r="F24" s="107" t="s">
        <v>335</v>
      </c>
      <c r="G24" s="108">
        <f t="shared" si="0"/>
        <v>6120429</v>
      </c>
      <c r="H24" s="109">
        <v>3776600</v>
      </c>
      <c r="I24" s="110">
        <v>2343829</v>
      </c>
      <c r="J24" s="110">
        <f>I24</f>
        <v>2343829</v>
      </c>
    </row>
    <row r="25" spans="1:10" s="19" customFormat="1" ht="150.75" customHeight="1">
      <c r="A25" s="104" t="s">
        <v>202</v>
      </c>
      <c r="B25" s="105">
        <v>6030</v>
      </c>
      <c r="C25" s="105" t="s">
        <v>112</v>
      </c>
      <c r="D25" s="106" t="s">
        <v>213</v>
      </c>
      <c r="E25" s="106" t="s">
        <v>312</v>
      </c>
      <c r="F25" s="107" t="s">
        <v>336</v>
      </c>
      <c r="G25" s="108">
        <f t="shared" si="0"/>
        <v>5499116</v>
      </c>
      <c r="H25" s="111">
        <v>5499116</v>
      </c>
      <c r="I25" s="110">
        <v>0</v>
      </c>
      <c r="J25" s="110">
        <v>0</v>
      </c>
    </row>
    <row r="26" spans="1:10" s="41" customFormat="1" ht="39" customHeight="1">
      <c r="A26" s="161" t="s">
        <v>154</v>
      </c>
      <c r="B26" s="194"/>
      <c r="C26" s="194"/>
      <c r="D26" s="302" t="s">
        <v>407</v>
      </c>
      <c r="E26" s="302"/>
      <c r="F26" s="199" t="s">
        <v>200</v>
      </c>
      <c r="G26" s="141">
        <f>G27</f>
        <v>124046431</v>
      </c>
      <c r="H26" s="141">
        <f>H27</f>
        <v>62992831</v>
      </c>
      <c r="I26" s="141">
        <f>I27</f>
        <v>61053600</v>
      </c>
      <c r="J26" s="141">
        <f>J27</f>
        <v>60053600</v>
      </c>
    </row>
    <row r="27" spans="1:10" s="41" customFormat="1" ht="42.75" customHeight="1">
      <c r="A27" s="133" t="s">
        <v>156</v>
      </c>
      <c r="B27" s="132"/>
      <c r="C27" s="132"/>
      <c r="D27" s="301" t="s">
        <v>407</v>
      </c>
      <c r="E27" s="301"/>
      <c r="F27" s="134" t="s">
        <v>200</v>
      </c>
      <c r="G27" s="170">
        <f>SUM(G28+G29+G30+G33+G34+G36+G37+G39+G41+G43+G48)+G44+G31+G42+G45+G38+G40+G46+G47+G35+G32</f>
        <v>124046431</v>
      </c>
      <c r="H27" s="170">
        <f>SUM(H28:H48)</f>
        <v>62992831</v>
      </c>
      <c r="I27" s="170">
        <f>SUM(I28:I48)</f>
        <v>61053600</v>
      </c>
      <c r="J27" s="170">
        <f>SUM(J28:J48)</f>
        <v>60053600</v>
      </c>
    </row>
    <row r="28" spans="1:10" s="125" customFormat="1" ht="99.75" customHeight="1">
      <c r="A28" s="114" t="s">
        <v>196</v>
      </c>
      <c r="B28" s="114" t="s">
        <v>133</v>
      </c>
      <c r="C28" s="114" t="s">
        <v>109</v>
      </c>
      <c r="D28" s="126" t="s">
        <v>243</v>
      </c>
      <c r="E28" s="107" t="s">
        <v>41</v>
      </c>
      <c r="F28" s="107" t="s">
        <v>403</v>
      </c>
      <c r="G28" s="108">
        <f>SUM(H28+I28)</f>
        <v>1035000</v>
      </c>
      <c r="H28" s="109">
        <f>946000+40000+49000</f>
        <v>1035000</v>
      </c>
      <c r="I28" s="110">
        <v>0</v>
      </c>
      <c r="J28" s="110">
        <v>0</v>
      </c>
    </row>
    <row r="29" spans="1:10" s="19" customFormat="1" ht="54.75" customHeight="1">
      <c r="A29" s="114" t="s">
        <v>188</v>
      </c>
      <c r="B29" s="105">
        <v>1010</v>
      </c>
      <c r="C29" s="112" t="s">
        <v>113</v>
      </c>
      <c r="D29" s="126" t="s">
        <v>248</v>
      </c>
      <c r="E29" s="305" t="s">
        <v>317</v>
      </c>
      <c r="F29" s="305" t="s">
        <v>358</v>
      </c>
      <c r="G29" s="108">
        <f>SUM(H29+I29)</f>
        <v>37386800</v>
      </c>
      <c r="H29" s="110">
        <f>25365700+450000-379800-4000000</f>
        <v>21435900</v>
      </c>
      <c r="I29" s="110">
        <f>16310900-360000</f>
        <v>15950900</v>
      </c>
      <c r="J29" s="121">
        <f>16310900-360000</f>
        <v>15950900</v>
      </c>
    </row>
    <row r="30" spans="1:10" s="19" customFormat="1" ht="73.5" customHeight="1">
      <c r="A30" s="112" t="s">
        <v>228</v>
      </c>
      <c r="B30" s="114" t="s">
        <v>229</v>
      </c>
      <c r="C30" s="112" t="s">
        <v>114</v>
      </c>
      <c r="D30" s="196" t="s">
        <v>230</v>
      </c>
      <c r="E30" s="306"/>
      <c r="F30" s="306"/>
      <c r="G30" s="108">
        <f aca="true" t="shared" si="1" ref="G30:G40">SUM(H30+I30)</f>
        <v>58994953.81</v>
      </c>
      <c r="H30" s="110">
        <f>32724910-6000000</f>
        <v>26724910</v>
      </c>
      <c r="I30" s="110">
        <f>32492700-222656.19</f>
        <v>32270043.81</v>
      </c>
      <c r="J30" s="110">
        <f>32492700-222656.19</f>
        <v>32270043.81</v>
      </c>
    </row>
    <row r="31" spans="1:10" s="51" customFormat="1" ht="153" customHeight="1">
      <c r="A31" s="122" t="s">
        <v>231</v>
      </c>
      <c r="B31" s="122" t="s">
        <v>232</v>
      </c>
      <c r="C31" s="122" t="s">
        <v>261</v>
      </c>
      <c r="D31" s="115" t="s">
        <v>262</v>
      </c>
      <c r="E31" s="306"/>
      <c r="F31" s="306"/>
      <c r="G31" s="108">
        <f t="shared" si="1"/>
        <v>2347206</v>
      </c>
      <c r="H31" s="117">
        <f>2537106-189900</f>
        <v>2347206</v>
      </c>
      <c r="I31" s="117">
        <v>0</v>
      </c>
      <c r="J31" s="117">
        <v>0</v>
      </c>
    </row>
    <row r="32" spans="1:10" s="51" customFormat="1" ht="68.25">
      <c r="A32" s="122" t="s">
        <v>381</v>
      </c>
      <c r="B32" s="122" t="s">
        <v>382</v>
      </c>
      <c r="C32" s="122" t="s">
        <v>114</v>
      </c>
      <c r="D32" s="115" t="s">
        <v>230</v>
      </c>
      <c r="E32" s="306"/>
      <c r="F32" s="306"/>
      <c r="G32" s="108">
        <f t="shared" si="1"/>
        <v>429384</v>
      </c>
      <c r="H32" s="117">
        <f>223329.88+206054.12</f>
        <v>429384</v>
      </c>
      <c r="I32" s="117">
        <v>0</v>
      </c>
      <c r="J32" s="117">
        <v>0</v>
      </c>
    </row>
    <row r="33" spans="1:10" s="53" customFormat="1" ht="99" customHeight="1">
      <c r="A33" s="127" t="s">
        <v>216</v>
      </c>
      <c r="B33" s="122" t="s">
        <v>247</v>
      </c>
      <c r="C33" s="127" t="s">
        <v>115</v>
      </c>
      <c r="D33" s="115" t="s">
        <v>212</v>
      </c>
      <c r="E33" s="306"/>
      <c r="F33" s="306"/>
      <c r="G33" s="108">
        <f t="shared" si="1"/>
        <v>1899900</v>
      </c>
      <c r="H33" s="117">
        <f>199900</f>
        <v>199900</v>
      </c>
      <c r="I33" s="117">
        <f>1700000</f>
        <v>1700000</v>
      </c>
      <c r="J33" s="117">
        <f>1700000</f>
        <v>1700000</v>
      </c>
    </row>
    <row r="34" spans="1:10" s="53" customFormat="1" ht="55.5" customHeight="1">
      <c r="A34" s="122" t="s">
        <v>235</v>
      </c>
      <c r="B34" s="122" t="s">
        <v>236</v>
      </c>
      <c r="C34" s="122" t="s">
        <v>116</v>
      </c>
      <c r="D34" s="115" t="s">
        <v>51</v>
      </c>
      <c r="E34" s="306"/>
      <c r="F34" s="306"/>
      <c r="G34" s="108">
        <f t="shared" si="1"/>
        <v>853420</v>
      </c>
      <c r="H34" s="117">
        <f>853420</f>
        <v>853420</v>
      </c>
      <c r="I34" s="117">
        <v>0</v>
      </c>
      <c r="J34" s="117">
        <v>0</v>
      </c>
    </row>
    <row r="35" spans="1:10" s="53" customFormat="1" ht="80.25" customHeight="1">
      <c r="A35" s="122" t="s">
        <v>378</v>
      </c>
      <c r="B35" s="122" t="s">
        <v>379</v>
      </c>
      <c r="C35" s="122" t="s">
        <v>116</v>
      </c>
      <c r="D35" s="115" t="s">
        <v>380</v>
      </c>
      <c r="E35" s="217"/>
      <c r="F35" s="310"/>
      <c r="G35" s="108">
        <f t="shared" si="1"/>
        <v>132656.19</v>
      </c>
      <c r="H35" s="117">
        <v>0</v>
      </c>
      <c r="I35" s="117">
        <v>132656.19</v>
      </c>
      <c r="J35" s="117">
        <f>132656.19</f>
        <v>132656.19</v>
      </c>
    </row>
    <row r="36" spans="1:10" s="19" customFormat="1" ht="68.25" customHeight="1">
      <c r="A36" s="112" t="s">
        <v>228</v>
      </c>
      <c r="B36" s="114" t="s">
        <v>229</v>
      </c>
      <c r="C36" s="112" t="s">
        <v>114</v>
      </c>
      <c r="D36" s="196" t="s">
        <v>230</v>
      </c>
      <c r="E36" s="106" t="s">
        <v>33</v>
      </c>
      <c r="F36" s="106" t="s">
        <v>366</v>
      </c>
      <c r="G36" s="108">
        <f>SUM(H36+I36)</f>
        <v>1654300</v>
      </c>
      <c r="H36" s="110">
        <f>1654300</f>
        <v>1654300</v>
      </c>
      <c r="I36" s="153">
        <v>0</v>
      </c>
      <c r="J36" s="110">
        <v>0</v>
      </c>
    </row>
    <row r="37" spans="1:10" s="19" customFormat="1" ht="75" customHeight="1">
      <c r="A37" s="112" t="s">
        <v>228</v>
      </c>
      <c r="B37" s="114" t="s">
        <v>229</v>
      </c>
      <c r="C37" s="112" t="s">
        <v>114</v>
      </c>
      <c r="D37" s="196" t="s">
        <v>230</v>
      </c>
      <c r="E37" s="289" t="s">
        <v>34</v>
      </c>
      <c r="F37" s="289" t="s">
        <v>365</v>
      </c>
      <c r="G37" s="108">
        <f t="shared" si="1"/>
        <v>3550000</v>
      </c>
      <c r="H37" s="110">
        <f>3550000-3200000</f>
        <v>350000</v>
      </c>
      <c r="I37" s="110">
        <f>3200000</f>
        <v>3200000</v>
      </c>
      <c r="J37" s="110">
        <f>3200000</f>
        <v>3200000</v>
      </c>
    </row>
    <row r="38" spans="1:10" s="19" customFormat="1" ht="146.25" customHeight="1">
      <c r="A38" s="122" t="s">
        <v>231</v>
      </c>
      <c r="B38" s="122" t="s">
        <v>232</v>
      </c>
      <c r="C38" s="122" t="s">
        <v>261</v>
      </c>
      <c r="D38" s="115" t="s">
        <v>262</v>
      </c>
      <c r="E38" s="304"/>
      <c r="F38" s="304"/>
      <c r="G38" s="108">
        <f t="shared" si="1"/>
        <v>4000000</v>
      </c>
      <c r="H38" s="110">
        <f>4000000-4000000</f>
        <v>0</v>
      </c>
      <c r="I38" s="110">
        <f>4000000</f>
        <v>4000000</v>
      </c>
      <c r="J38" s="110">
        <f>4000000</f>
        <v>4000000</v>
      </c>
    </row>
    <row r="39" spans="1:10" s="19" customFormat="1" ht="41.25" customHeight="1">
      <c r="A39" s="114" t="s">
        <v>188</v>
      </c>
      <c r="B39" s="105">
        <v>1010</v>
      </c>
      <c r="C39" s="112" t="s">
        <v>113</v>
      </c>
      <c r="D39" s="126" t="s">
        <v>189</v>
      </c>
      <c r="E39" s="304"/>
      <c r="F39" s="304"/>
      <c r="G39" s="108">
        <f t="shared" si="1"/>
        <v>1960000</v>
      </c>
      <c r="H39" s="110">
        <f>1960000</f>
        <v>1960000</v>
      </c>
      <c r="I39" s="110">
        <v>0</v>
      </c>
      <c r="J39" s="110">
        <v>0</v>
      </c>
    </row>
    <row r="40" spans="1:10" s="56" customFormat="1" ht="48" customHeight="1">
      <c r="A40" s="105" t="s">
        <v>87</v>
      </c>
      <c r="B40" s="114" t="s">
        <v>221</v>
      </c>
      <c r="C40" s="114" t="s">
        <v>91</v>
      </c>
      <c r="D40" s="200" t="s">
        <v>88</v>
      </c>
      <c r="E40" s="290"/>
      <c r="F40" s="290"/>
      <c r="G40" s="108">
        <f t="shared" si="1"/>
        <v>50000</v>
      </c>
      <c r="H40" s="118">
        <v>50000</v>
      </c>
      <c r="I40" s="117">
        <v>0</v>
      </c>
      <c r="J40" s="117">
        <v>0</v>
      </c>
    </row>
    <row r="41" spans="1:10" s="19" customFormat="1" ht="149.25" customHeight="1">
      <c r="A41" s="114" t="s">
        <v>158</v>
      </c>
      <c r="B41" s="114" t="s">
        <v>159</v>
      </c>
      <c r="C41" s="112" t="s">
        <v>117</v>
      </c>
      <c r="D41" s="152" t="s">
        <v>142</v>
      </c>
      <c r="E41" s="143" t="s">
        <v>32</v>
      </c>
      <c r="F41" s="106" t="s">
        <v>358</v>
      </c>
      <c r="G41" s="123">
        <f aca="true" t="shared" si="2" ref="G41:G48">H41+I41</f>
        <v>2386380</v>
      </c>
      <c r="H41" s="109">
        <f>6386380-5000000</f>
        <v>1386380</v>
      </c>
      <c r="I41" s="110">
        <f>1000000</f>
        <v>1000000</v>
      </c>
      <c r="J41" s="110">
        <v>0</v>
      </c>
    </row>
    <row r="42" spans="1:10" s="56" customFormat="1" ht="54" customHeight="1">
      <c r="A42" s="122" t="s">
        <v>233</v>
      </c>
      <c r="B42" s="122" t="s">
        <v>234</v>
      </c>
      <c r="C42" s="122" t="s">
        <v>115</v>
      </c>
      <c r="D42" s="115" t="s">
        <v>307</v>
      </c>
      <c r="E42" s="275" t="s">
        <v>327</v>
      </c>
      <c r="F42" s="275" t="s">
        <v>356</v>
      </c>
      <c r="G42" s="123">
        <f t="shared" si="2"/>
        <v>1079700</v>
      </c>
      <c r="H42" s="109">
        <f>699900+379800</f>
        <v>1079700</v>
      </c>
      <c r="I42" s="117">
        <v>0</v>
      </c>
      <c r="J42" s="117">
        <v>0</v>
      </c>
    </row>
    <row r="43" spans="1:10" s="53" customFormat="1" ht="45">
      <c r="A43" s="114" t="s">
        <v>76</v>
      </c>
      <c r="B43" s="112">
        <v>4082</v>
      </c>
      <c r="C43" s="112" t="s">
        <v>77</v>
      </c>
      <c r="D43" s="115" t="s">
        <v>78</v>
      </c>
      <c r="E43" s="276"/>
      <c r="F43" s="276"/>
      <c r="G43" s="123">
        <f t="shared" si="2"/>
        <v>2810531</v>
      </c>
      <c r="H43" s="117">
        <f>2737331+61000+12200</f>
        <v>2810531</v>
      </c>
      <c r="I43" s="117">
        <f>J43</f>
        <v>0</v>
      </c>
      <c r="J43" s="117">
        <v>0</v>
      </c>
    </row>
    <row r="44" spans="1:10" s="19" customFormat="1" ht="57.75" customHeight="1">
      <c r="A44" s="105" t="s">
        <v>87</v>
      </c>
      <c r="B44" s="114" t="s">
        <v>221</v>
      </c>
      <c r="C44" s="114" t="s">
        <v>91</v>
      </c>
      <c r="D44" s="200" t="s">
        <v>88</v>
      </c>
      <c r="E44" s="276"/>
      <c r="F44" s="276"/>
      <c r="G44" s="123">
        <f t="shared" si="2"/>
        <v>240000</v>
      </c>
      <c r="H44" s="117">
        <v>240000</v>
      </c>
      <c r="I44" s="110">
        <v>0</v>
      </c>
      <c r="J44" s="110">
        <v>0</v>
      </c>
    </row>
    <row r="45" spans="1:10" s="19" customFormat="1" ht="45">
      <c r="A45" s="104" t="s">
        <v>89</v>
      </c>
      <c r="B45" s="114" t="s">
        <v>90</v>
      </c>
      <c r="C45" s="112" t="s">
        <v>91</v>
      </c>
      <c r="D45" s="152" t="s">
        <v>92</v>
      </c>
      <c r="E45" s="276"/>
      <c r="F45" s="276"/>
      <c r="G45" s="123">
        <f t="shared" si="2"/>
        <v>2730000</v>
      </c>
      <c r="H45" s="117">
        <v>230000</v>
      </c>
      <c r="I45" s="110">
        <v>2500000</v>
      </c>
      <c r="J45" s="110">
        <v>2500000</v>
      </c>
    </row>
    <row r="46" spans="1:10" s="19" customFormat="1" ht="46.5" customHeight="1">
      <c r="A46" s="104" t="s">
        <v>218</v>
      </c>
      <c r="B46" s="114" t="s">
        <v>219</v>
      </c>
      <c r="C46" s="105" t="s">
        <v>220</v>
      </c>
      <c r="D46" s="200" t="s">
        <v>222</v>
      </c>
      <c r="E46" s="276"/>
      <c r="F46" s="276"/>
      <c r="G46" s="123">
        <f t="shared" si="2"/>
        <v>300000</v>
      </c>
      <c r="H46" s="117">
        <v>0</v>
      </c>
      <c r="I46" s="110">
        <v>300000</v>
      </c>
      <c r="J46" s="110">
        <v>300000</v>
      </c>
    </row>
    <row r="47" spans="1:10" s="19" customFormat="1" ht="84.75" customHeight="1">
      <c r="A47" s="114" t="s">
        <v>258</v>
      </c>
      <c r="B47" s="113">
        <v>4060</v>
      </c>
      <c r="C47" s="114" t="s">
        <v>259</v>
      </c>
      <c r="D47" s="126" t="s">
        <v>257</v>
      </c>
      <c r="E47" s="293"/>
      <c r="F47" s="293"/>
      <c r="G47" s="123">
        <f t="shared" si="2"/>
        <v>100000</v>
      </c>
      <c r="H47" s="117">
        <v>100000</v>
      </c>
      <c r="I47" s="110">
        <v>0</v>
      </c>
      <c r="J47" s="110">
        <v>0</v>
      </c>
    </row>
    <row r="48" spans="1:10" s="129" customFormat="1" ht="93.75" customHeight="1">
      <c r="A48" s="127" t="s">
        <v>214</v>
      </c>
      <c r="B48" s="145">
        <v>7340</v>
      </c>
      <c r="C48" s="146" t="s">
        <v>134</v>
      </c>
      <c r="D48" s="115" t="s">
        <v>215</v>
      </c>
      <c r="E48" s="147" t="s">
        <v>11</v>
      </c>
      <c r="F48" s="107" t="s">
        <v>356</v>
      </c>
      <c r="G48" s="148">
        <f t="shared" si="2"/>
        <v>106200</v>
      </c>
      <c r="H48" s="149">
        <v>106200</v>
      </c>
      <c r="I48" s="149">
        <v>0</v>
      </c>
      <c r="J48" s="117">
        <f>I48</f>
        <v>0</v>
      </c>
    </row>
    <row r="49" spans="1:10" s="41" customFormat="1" ht="42" customHeight="1">
      <c r="A49" s="161" t="s">
        <v>160</v>
      </c>
      <c r="B49" s="194"/>
      <c r="C49" s="194"/>
      <c r="D49" s="302" t="s">
        <v>408</v>
      </c>
      <c r="E49" s="302"/>
      <c r="F49" s="162" t="s">
        <v>200</v>
      </c>
      <c r="G49" s="141">
        <f>G50</f>
        <v>207764962</v>
      </c>
      <c r="H49" s="141">
        <f>H50</f>
        <v>183973487</v>
      </c>
      <c r="I49" s="141">
        <f>I50</f>
        <v>23791475</v>
      </c>
      <c r="J49" s="141">
        <f>J50</f>
        <v>23791475</v>
      </c>
    </row>
    <row r="50" spans="1:10" s="41" customFormat="1" ht="43.5" customHeight="1">
      <c r="A50" s="133" t="s">
        <v>150</v>
      </c>
      <c r="B50" s="132"/>
      <c r="C50" s="132"/>
      <c r="D50" s="301" t="s">
        <v>408</v>
      </c>
      <c r="E50" s="301"/>
      <c r="F50" s="134" t="s">
        <v>200</v>
      </c>
      <c r="G50" s="136">
        <f>H50+I50</f>
        <v>207764962</v>
      </c>
      <c r="H50" s="136">
        <f>H51+H52+H56+H62+H69+H70+H74+H81+H82+H83+H84+H87</f>
        <v>183973487</v>
      </c>
      <c r="I50" s="136">
        <f>I51+I52+I56+I62+I69+I70+I74+I81+I82+I83+I84+I87</f>
        <v>23791475</v>
      </c>
      <c r="J50" s="136">
        <f>J51+J52+J56+J62+J69+J70+J74+J81+J82+J83+J84+J87</f>
        <v>23791475</v>
      </c>
    </row>
    <row r="51" spans="1:10" s="125" customFormat="1" ht="90.75">
      <c r="A51" s="114" t="s">
        <v>197</v>
      </c>
      <c r="B51" s="114" t="s">
        <v>133</v>
      </c>
      <c r="C51" s="114" t="s">
        <v>109</v>
      </c>
      <c r="D51" s="126" t="s">
        <v>243</v>
      </c>
      <c r="E51" s="107" t="s">
        <v>41</v>
      </c>
      <c r="F51" s="107" t="s">
        <v>403</v>
      </c>
      <c r="G51" s="108">
        <f>SUM(H51+I51)</f>
        <v>1087000</v>
      </c>
      <c r="H51" s="109">
        <f>998000+40000+49000</f>
        <v>1087000</v>
      </c>
      <c r="I51" s="110">
        <v>0</v>
      </c>
      <c r="J51" s="110">
        <v>0</v>
      </c>
    </row>
    <row r="52" spans="1:10" s="19" customFormat="1" ht="51.75" customHeight="1">
      <c r="A52" s="112" t="s">
        <v>151</v>
      </c>
      <c r="B52" s="112">
        <v>2010</v>
      </c>
      <c r="C52" s="112" t="s">
        <v>124</v>
      </c>
      <c r="D52" s="126" t="s">
        <v>145</v>
      </c>
      <c r="E52" s="269" t="s">
        <v>30</v>
      </c>
      <c r="F52" s="274" t="s">
        <v>367</v>
      </c>
      <c r="G52" s="108">
        <f>SUM(H52+I52)</f>
        <v>96432760.03</v>
      </c>
      <c r="H52" s="121">
        <f>79858349+57409-315056.97+114584+100000+H55</f>
        <v>79815285.03</v>
      </c>
      <c r="I52" s="120">
        <f>800000+I53+I54+I55</f>
        <v>16617475</v>
      </c>
      <c r="J52" s="120">
        <f>800000+J53+J54+J55</f>
        <v>16617475</v>
      </c>
    </row>
    <row r="53" spans="1:10" s="230" customFormat="1" ht="223.5" customHeight="1">
      <c r="A53" s="226"/>
      <c r="B53" s="226"/>
      <c r="C53" s="226"/>
      <c r="D53" s="220" t="s">
        <v>395</v>
      </c>
      <c r="E53" s="294"/>
      <c r="F53" s="274"/>
      <c r="G53" s="227">
        <f>H53+I53</f>
        <v>12000000</v>
      </c>
      <c r="H53" s="228">
        <v>0</v>
      </c>
      <c r="I53" s="229">
        <v>12000000</v>
      </c>
      <c r="J53" s="229">
        <v>12000000</v>
      </c>
    </row>
    <row r="54" spans="1:10" s="230" customFormat="1" ht="148.5" customHeight="1">
      <c r="A54" s="226"/>
      <c r="B54" s="226"/>
      <c r="C54" s="226"/>
      <c r="D54" s="231" t="s">
        <v>396</v>
      </c>
      <c r="E54" s="294"/>
      <c r="F54" s="274"/>
      <c r="G54" s="227">
        <f>H54+I54</f>
        <v>717475</v>
      </c>
      <c r="H54" s="228">
        <v>0</v>
      </c>
      <c r="I54" s="229">
        <v>717475</v>
      </c>
      <c r="J54" s="229">
        <v>717475</v>
      </c>
    </row>
    <row r="55" spans="1:10" s="230" customFormat="1" ht="184.5" customHeight="1">
      <c r="A55" s="226"/>
      <c r="B55" s="226"/>
      <c r="C55" s="226"/>
      <c r="D55" s="220" t="s">
        <v>394</v>
      </c>
      <c r="E55" s="294"/>
      <c r="F55" s="274"/>
      <c r="G55" s="227">
        <f>H55+I55</f>
        <v>3100000</v>
      </c>
      <c r="H55" s="228">
        <v>0</v>
      </c>
      <c r="I55" s="229">
        <v>3100000</v>
      </c>
      <c r="J55" s="229">
        <v>3100000</v>
      </c>
    </row>
    <row r="56" spans="1:10" s="53" customFormat="1" ht="84" customHeight="1">
      <c r="A56" s="122" t="s">
        <v>57</v>
      </c>
      <c r="B56" s="155" t="s">
        <v>58</v>
      </c>
      <c r="C56" s="127" t="s">
        <v>59</v>
      </c>
      <c r="D56" s="146" t="s">
        <v>56</v>
      </c>
      <c r="E56" s="294"/>
      <c r="F56" s="274"/>
      <c r="G56" s="108">
        <f>SUM(H56+I56)</f>
        <v>9118419.6</v>
      </c>
      <c r="H56" s="117">
        <f>8450796+99536.6+568087</f>
        <v>9118419.6</v>
      </c>
      <c r="I56" s="118">
        <f>J56</f>
        <v>0</v>
      </c>
      <c r="J56" s="118">
        <v>0</v>
      </c>
    </row>
    <row r="57" spans="1:10" s="53" customFormat="1" ht="59.25" customHeight="1" hidden="1">
      <c r="A57" s="127"/>
      <c r="B57" s="127"/>
      <c r="C57" s="127"/>
      <c r="D57" s="115"/>
      <c r="E57" s="294"/>
      <c r="F57" s="274"/>
      <c r="G57" s="22"/>
      <c r="H57" s="23"/>
      <c r="I57" s="40"/>
      <c r="J57" s="40"/>
    </row>
    <row r="58" spans="1:10" s="53" customFormat="1" ht="86.25" customHeight="1" hidden="1">
      <c r="A58" s="127"/>
      <c r="B58" s="127"/>
      <c r="C58" s="127"/>
      <c r="D58" s="201"/>
      <c r="E58" s="294"/>
      <c r="F58" s="274"/>
      <c r="G58" s="43"/>
      <c r="H58" s="49"/>
      <c r="I58" s="40"/>
      <c r="J58" s="62"/>
    </row>
    <row r="59" spans="1:10" s="53" customFormat="1" ht="201.75" customHeight="1" hidden="1">
      <c r="A59" s="127"/>
      <c r="B59" s="127"/>
      <c r="C59" s="127"/>
      <c r="D59" s="202"/>
      <c r="E59" s="294"/>
      <c r="F59" s="274"/>
      <c r="G59" s="43"/>
      <c r="H59" s="49"/>
      <c r="I59" s="40"/>
      <c r="J59" s="62"/>
    </row>
    <row r="60" spans="1:10" s="53" customFormat="1" ht="101.25" customHeight="1" hidden="1">
      <c r="A60" s="122"/>
      <c r="B60" s="122"/>
      <c r="C60" s="122"/>
      <c r="D60" s="115"/>
      <c r="E60" s="294"/>
      <c r="F60" s="274"/>
      <c r="G60" s="22"/>
      <c r="H60" s="23"/>
      <c r="I60" s="40"/>
      <c r="J60" s="40"/>
    </row>
    <row r="61" spans="1:10" s="53" customFormat="1" ht="101.25" customHeight="1" hidden="1">
      <c r="A61" s="122"/>
      <c r="B61" s="122"/>
      <c r="C61" s="122"/>
      <c r="D61" s="115"/>
      <c r="E61" s="294"/>
      <c r="F61" s="274"/>
      <c r="G61" s="22"/>
      <c r="H61" s="23"/>
      <c r="I61" s="23"/>
      <c r="J61" s="40"/>
    </row>
    <row r="62" spans="1:10" s="53" customFormat="1" ht="108" customHeight="1">
      <c r="A62" s="122" t="s">
        <v>254</v>
      </c>
      <c r="B62" s="122" t="s">
        <v>251</v>
      </c>
      <c r="C62" s="127" t="s">
        <v>253</v>
      </c>
      <c r="D62" s="115" t="s">
        <v>252</v>
      </c>
      <c r="E62" s="294"/>
      <c r="F62" s="274"/>
      <c r="G62" s="108">
        <f>SUM(H62+I62)</f>
        <v>37704498.37</v>
      </c>
      <c r="H62" s="117">
        <f>38602837+60082+215520.37+195000-1479529+110588</f>
        <v>37704498.37</v>
      </c>
      <c r="I62" s="117">
        <f>I63</f>
        <v>0</v>
      </c>
      <c r="J62" s="117">
        <v>0</v>
      </c>
    </row>
    <row r="63" spans="1:10" s="53" customFormat="1" ht="160.5" customHeight="1" hidden="1">
      <c r="A63" s="122"/>
      <c r="B63" s="122"/>
      <c r="C63" s="127"/>
      <c r="D63" s="203"/>
      <c r="E63" s="278"/>
      <c r="F63" s="63"/>
      <c r="G63" s="22"/>
      <c r="H63" s="23"/>
      <c r="I63" s="23"/>
      <c r="J63" s="23"/>
    </row>
    <row r="64" spans="1:10" s="53" customFormat="1" ht="108" customHeight="1" hidden="1">
      <c r="A64" s="122"/>
      <c r="B64" s="122"/>
      <c r="C64" s="127"/>
      <c r="D64" s="115"/>
      <c r="E64" s="295"/>
      <c r="F64" s="298"/>
      <c r="G64" s="22"/>
      <c r="H64" s="23"/>
      <c r="I64" s="23"/>
      <c r="J64" s="26"/>
    </row>
    <row r="65" spans="1:10" s="176" customFormat="1" ht="116.25" customHeight="1" hidden="1">
      <c r="A65" s="171"/>
      <c r="B65" s="172"/>
      <c r="C65" s="173"/>
      <c r="D65" s="172"/>
      <c r="E65" s="296"/>
      <c r="F65" s="299"/>
      <c r="G65" s="174"/>
      <c r="H65" s="175"/>
      <c r="I65" s="49"/>
      <c r="J65" s="49"/>
    </row>
    <row r="66" spans="1:10" s="53" customFormat="1" ht="49.5" customHeight="1" hidden="1">
      <c r="A66" s="37"/>
      <c r="B66" s="37"/>
      <c r="C66" s="37"/>
      <c r="D66" s="21"/>
      <c r="E66" s="296"/>
      <c r="F66" s="299"/>
      <c r="G66" s="22"/>
      <c r="H66" s="23"/>
      <c r="I66" s="23"/>
      <c r="J66" s="23"/>
    </row>
    <row r="67" spans="1:10" s="53" customFormat="1" ht="49.5" customHeight="1" hidden="1">
      <c r="A67" s="52"/>
      <c r="B67" s="52"/>
      <c r="C67" s="52"/>
      <c r="D67" s="21"/>
      <c r="E67" s="296"/>
      <c r="F67" s="299"/>
      <c r="G67" s="22"/>
      <c r="H67" s="23"/>
      <c r="I67" s="23"/>
      <c r="J67" s="23"/>
    </row>
    <row r="68" spans="1:10" s="53" customFormat="1" ht="106.5" customHeight="1" hidden="1">
      <c r="A68" s="171"/>
      <c r="B68" s="172"/>
      <c r="C68" s="173"/>
      <c r="D68" s="172"/>
      <c r="E68" s="297"/>
      <c r="F68" s="300"/>
      <c r="G68" s="43"/>
      <c r="H68" s="49"/>
      <c r="I68" s="49"/>
      <c r="J68" s="49"/>
    </row>
    <row r="69" spans="1:10" s="53" customFormat="1" ht="58.5" customHeight="1">
      <c r="A69" s="122" t="s">
        <v>293</v>
      </c>
      <c r="B69" s="122" t="s">
        <v>84</v>
      </c>
      <c r="C69" s="122" t="s">
        <v>125</v>
      </c>
      <c r="D69" s="115" t="s">
        <v>85</v>
      </c>
      <c r="E69" s="268" t="s">
        <v>30</v>
      </c>
      <c r="F69" s="274" t="s">
        <v>367</v>
      </c>
      <c r="G69" s="108">
        <f>SUM(H69+I69)</f>
        <v>11500410</v>
      </c>
      <c r="H69" s="117">
        <f>10355399+796858+348153</f>
        <v>11500410</v>
      </c>
      <c r="I69" s="117">
        <f>J69</f>
        <v>0</v>
      </c>
      <c r="J69" s="117">
        <v>0</v>
      </c>
    </row>
    <row r="70" spans="1:10" s="53" customFormat="1" ht="45">
      <c r="A70" s="127" t="s">
        <v>305</v>
      </c>
      <c r="B70" s="127">
        <v>2152</v>
      </c>
      <c r="C70" s="127" t="s">
        <v>125</v>
      </c>
      <c r="D70" s="115" t="s">
        <v>75</v>
      </c>
      <c r="E70" s="268"/>
      <c r="F70" s="274"/>
      <c r="G70" s="108">
        <f>SUM(H70+I70)</f>
        <v>36227682</v>
      </c>
      <c r="H70" s="117">
        <f>36540173-117491-195000</f>
        <v>36227682</v>
      </c>
      <c r="I70" s="117">
        <v>0</v>
      </c>
      <c r="J70" s="117">
        <v>0</v>
      </c>
    </row>
    <row r="71" spans="1:10" s="19" customFormat="1" ht="70.5" customHeight="1" hidden="1">
      <c r="A71" s="28"/>
      <c r="B71" s="28"/>
      <c r="C71" s="28"/>
      <c r="D71" s="204"/>
      <c r="E71" s="269" t="s">
        <v>31</v>
      </c>
      <c r="F71" s="275" t="s">
        <v>368</v>
      </c>
      <c r="G71" s="22"/>
      <c r="H71" s="26"/>
      <c r="I71" s="23"/>
      <c r="J71" s="25"/>
    </row>
    <row r="72" spans="1:10" s="53" customFormat="1" ht="81" customHeight="1" hidden="1">
      <c r="A72" s="52"/>
      <c r="B72" s="52"/>
      <c r="C72" s="52"/>
      <c r="D72" s="21"/>
      <c r="E72" s="270"/>
      <c r="F72" s="276"/>
      <c r="G72" s="22"/>
      <c r="H72" s="23"/>
      <c r="I72" s="23"/>
      <c r="J72" s="23"/>
    </row>
    <row r="73" spans="1:10" s="19" customFormat="1" ht="60.75" customHeight="1" hidden="1">
      <c r="A73" s="28"/>
      <c r="B73" s="28"/>
      <c r="C73" s="28"/>
      <c r="D73" s="204"/>
      <c r="E73" s="270"/>
      <c r="F73" s="276"/>
      <c r="G73" s="22"/>
      <c r="H73" s="26"/>
      <c r="I73" s="23"/>
      <c r="J73" s="25"/>
    </row>
    <row r="74" spans="1:10" s="19" customFormat="1" ht="68.25" customHeight="1">
      <c r="A74" s="112" t="s">
        <v>151</v>
      </c>
      <c r="B74" s="112">
        <v>2010</v>
      </c>
      <c r="C74" s="112" t="s">
        <v>124</v>
      </c>
      <c r="D74" s="126" t="s">
        <v>145</v>
      </c>
      <c r="E74" s="270"/>
      <c r="F74" s="276"/>
      <c r="G74" s="108">
        <f>SUM(H74+I74)</f>
        <v>5602012</v>
      </c>
      <c r="H74" s="121">
        <v>5602012</v>
      </c>
      <c r="I74" s="117">
        <f>J74</f>
        <v>0</v>
      </c>
      <c r="J74" s="110">
        <v>0</v>
      </c>
    </row>
    <row r="75" spans="1:10" s="53" customFormat="1" ht="156" customHeight="1" hidden="1">
      <c r="A75" s="52"/>
      <c r="B75" s="37"/>
      <c r="C75" s="52"/>
      <c r="D75" s="21"/>
      <c r="E75" s="270"/>
      <c r="F75" s="277"/>
      <c r="G75" s="108"/>
      <c r="H75" s="109"/>
      <c r="I75" s="117"/>
      <c r="J75" s="117"/>
    </row>
    <row r="76" spans="1:10" s="19" customFormat="1" ht="99.75" customHeight="1" hidden="1">
      <c r="A76" s="29"/>
      <c r="B76" s="29"/>
      <c r="C76" s="29"/>
      <c r="D76" s="204"/>
      <c r="E76" s="270"/>
      <c r="F76" s="277"/>
      <c r="G76" s="108"/>
      <c r="H76" s="109"/>
      <c r="I76" s="117"/>
      <c r="J76" s="110"/>
    </row>
    <row r="77" spans="1:10" s="19" customFormat="1" ht="152.25" customHeight="1" hidden="1">
      <c r="A77" s="28"/>
      <c r="B77" s="29"/>
      <c r="C77" s="28"/>
      <c r="D77" s="204"/>
      <c r="E77" s="270"/>
      <c r="F77" s="277"/>
      <c r="G77" s="108"/>
      <c r="H77" s="109"/>
      <c r="I77" s="117"/>
      <c r="J77" s="110"/>
    </row>
    <row r="78" spans="1:10" s="19" customFormat="1" ht="135" customHeight="1" hidden="1">
      <c r="A78" s="37"/>
      <c r="B78" s="37"/>
      <c r="C78" s="52"/>
      <c r="D78" s="21"/>
      <c r="E78" s="270"/>
      <c r="F78" s="277"/>
      <c r="G78" s="108"/>
      <c r="H78" s="109"/>
      <c r="I78" s="117"/>
      <c r="J78" s="110"/>
    </row>
    <row r="79" spans="1:10" s="19" customFormat="1" ht="107.25" customHeight="1" hidden="1">
      <c r="A79" s="28"/>
      <c r="B79" s="28"/>
      <c r="C79" s="28"/>
      <c r="D79" s="204"/>
      <c r="E79" s="270"/>
      <c r="F79" s="277"/>
      <c r="G79" s="108"/>
      <c r="H79" s="109"/>
      <c r="I79" s="117"/>
      <c r="J79" s="110"/>
    </row>
    <row r="80" spans="1:10" s="19" customFormat="1" ht="75" customHeight="1" hidden="1">
      <c r="A80" s="36"/>
      <c r="B80" s="28"/>
      <c r="C80" s="29"/>
      <c r="D80" s="204"/>
      <c r="E80" s="270"/>
      <c r="F80" s="277"/>
      <c r="G80" s="108"/>
      <c r="H80" s="109"/>
      <c r="I80" s="110"/>
      <c r="J80" s="117"/>
    </row>
    <row r="81" spans="1:10" s="19" customFormat="1" ht="75" customHeight="1">
      <c r="A81" s="122" t="s">
        <v>57</v>
      </c>
      <c r="B81" s="155" t="s">
        <v>58</v>
      </c>
      <c r="C81" s="127" t="s">
        <v>59</v>
      </c>
      <c r="D81" s="146" t="s">
        <v>56</v>
      </c>
      <c r="E81" s="270"/>
      <c r="F81" s="277"/>
      <c r="G81" s="108">
        <f>SUM(H81+I81)</f>
        <v>1080000</v>
      </c>
      <c r="H81" s="109">
        <v>1080000</v>
      </c>
      <c r="I81" s="110">
        <v>0</v>
      </c>
      <c r="J81" s="117">
        <v>0</v>
      </c>
    </row>
    <row r="82" spans="1:10" s="19" customFormat="1" ht="99.75" customHeight="1">
      <c r="A82" s="122" t="s">
        <v>254</v>
      </c>
      <c r="B82" s="122" t="s">
        <v>251</v>
      </c>
      <c r="C82" s="127" t="s">
        <v>253</v>
      </c>
      <c r="D82" s="115" t="s">
        <v>252</v>
      </c>
      <c r="E82" s="270"/>
      <c r="F82" s="277"/>
      <c r="G82" s="108">
        <f>SUM(H82+I82)</f>
        <v>1153180</v>
      </c>
      <c r="H82" s="109">
        <v>1153180</v>
      </c>
      <c r="I82" s="110">
        <v>0</v>
      </c>
      <c r="J82" s="117">
        <v>0</v>
      </c>
    </row>
    <row r="83" spans="1:10" s="19" customFormat="1" ht="75" customHeight="1">
      <c r="A83" s="122" t="s">
        <v>293</v>
      </c>
      <c r="B83" s="122" t="s">
        <v>84</v>
      </c>
      <c r="C83" s="122" t="s">
        <v>125</v>
      </c>
      <c r="D83" s="115" t="s">
        <v>85</v>
      </c>
      <c r="E83" s="271"/>
      <c r="F83" s="278"/>
      <c r="G83" s="108">
        <f>SUM(H83+I83)</f>
        <v>685000</v>
      </c>
      <c r="H83" s="109">
        <v>685000</v>
      </c>
      <c r="I83" s="110">
        <v>0</v>
      </c>
      <c r="J83" s="117">
        <v>0</v>
      </c>
    </row>
    <row r="84" spans="1:10" s="19" customFormat="1" ht="93" customHeight="1">
      <c r="A84" s="105" t="s">
        <v>250</v>
      </c>
      <c r="B84" s="112" t="s">
        <v>290</v>
      </c>
      <c r="C84" s="114" t="s">
        <v>134</v>
      </c>
      <c r="D84" s="126" t="s">
        <v>238</v>
      </c>
      <c r="E84" s="107" t="s">
        <v>23</v>
      </c>
      <c r="F84" s="107" t="s">
        <v>397</v>
      </c>
      <c r="G84" s="108">
        <f>SUM(H84+I84)</f>
        <v>5050000</v>
      </c>
      <c r="H84" s="109">
        <v>0</v>
      </c>
      <c r="I84" s="121">
        <f>5000000+50000</f>
        <v>5050000</v>
      </c>
      <c r="J84" s="121">
        <f>I84</f>
        <v>5050000</v>
      </c>
    </row>
    <row r="85" spans="1:10" s="35" customFormat="1" ht="135" customHeight="1" hidden="1">
      <c r="A85" s="36"/>
      <c r="B85" s="36"/>
      <c r="C85" s="31"/>
      <c r="D85" s="20"/>
      <c r="E85" s="38"/>
      <c r="F85" s="64"/>
      <c r="G85" s="32"/>
      <c r="H85" s="33"/>
      <c r="I85" s="26"/>
      <c r="J85" s="26"/>
    </row>
    <row r="86" spans="1:10" s="71" customFormat="1" ht="107.25" customHeight="1" hidden="1">
      <c r="A86" s="66"/>
      <c r="B86" s="67"/>
      <c r="C86" s="67"/>
      <c r="D86" s="91"/>
      <c r="E86" s="68"/>
      <c r="F86" s="68"/>
      <c r="G86" s="69"/>
      <c r="H86" s="70"/>
      <c r="I86" s="45"/>
      <c r="J86" s="45"/>
    </row>
    <row r="87" spans="1:10" s="71" customFormat="1" ht="131.25" customHeight="1">
      <c r="A87" s="104" t="s">
        <v>43</v>
      </c>
      <c r="B87" s="112">
        <v>7670</v>
      </c>
      <c r="C87" s="114" t="s">
        <v>123</v>
      </c>
      <c r="D87" s="126" t="s">
        <v>148</v>
      </c>
      <c r="E87" s="140" t="s">
        <v>6</v>
      </c>
      <c r="F87" s="107" t="s">
        <v>346</v>
      </c>
      <c r="G87" s="142">
        <f>H87+I87</f>
        <v>2124000</v>
      </c>
      <c r="H87" s="120">
        <v>0</v>
      </c>
      <c r="I87" s="121">
        <v>2124000</v>
      </c>
      <c r="J87" s="121">
        <f>I87</f>
        <v>2124000</v>
      </c>
    </row>
    <row r="88" spans="1:10" s="19" customFormat="1" ht="358.5" customHeight="1" hidden="1">
      <c r="A88" s="42"/>
      <c r="B88" s="42"/>
      <c r="C88" s="29"/>
      <c r="D88" s="204"/>
      <c r="E88" s="54"/>
      <c r="F88" s="72"/>
      <c r="G88" s="73"/>
      <c r="H88" s="57"/>
      <c r="I88" s="55"/>
      <c r="J88" s="23"/>
    </row>
    <row r="89" spans="1:10" s="41" customFormat="1" ht="51" customHeight="1">
      <c r="A89" s="161" t="s">
        <v>161</v>
      </c>
      <c r="B89" s="194"/>
      <c r="C89" s="194"/>
      <c r="D89" s="284" t="s">
        <v>409</v>
      </c>
      <c r="E89" s="285"/>
      <c r="F89" s="162" t="s">
        <v>200</v>
      </c>
      <c r="G89" s="158">
        <f>G90</f>
        <v>98315039</v>
      </c>
      <c r="H89" s="158">
        <f>H90</f>
        <v>97234699</v>
      </c>
      <c r="I89" s="158">
        <f>I90</f>
        <v>1080340</v>
      </c>
      <c r="J89" s="158">
        <f>J90</f>
        <v>650000</v>
      </c>
    </row>
    <row r="90" spans="1:10" s="74" customFormat="1" ht="50.25" customHeight="1">
      <c r="A90" s="132" t="s">
        <v>162</v>
      </c>
      <c r="B90" s="132"/>
      <c r="C90" s="132"/>
      <c r="D90" s="291" t="s">
        <v>409</v>
      </c>
      <c r="E90" s="292"/>
      <c r="F90" s="178" t="s">
        <v>200</v>
      </c>
      <c r="G90" s="135">
        <f>H90+I90</f>
        <v>98315039</v>
      </c>
      <c r="H90" s="135">
        <f>H91+H92+H93+H94+H95+H98+H99+H100+H101+H102+H103+H104+H106+H107+H108+H109+H110+H112+H96+H105</f>
        <v>97234699</v>
      </c>
      <c r="I90" s="135">
        <f>I91+I92+I93+I94+I95+I98+I99+I100+I101+I102+I103+I104+I106+I107+I108+I109+I110+I112+I96+I105</f>
        <v>1080340</v>
      </c>
      <c r="J90" s="135">
        <f>J91+J92+J93+J94+J95+J98+J99+J100+J101+J102+J103+J104+J106+J107+J108+J109+J110+J112+J96+J105</f>
        <v>650000</v>
      </c>
    </row>
    <row r="91" spans="1:10" s="129" customFormat="1" ht="97.5" customHeight="1">
      <c r="A91" s="122" t="s">
        <v>198</v>
      </c>
      <c r="B91" s="122" t="s">
        <v>133</v>
      </c>
      <c r="C91" s="122" t="s">
        <v>109</v>
      </c>
      <c r="D91" s="115" t="s">
        <v>243</v>
      </c>
      <c r="E91" s="107" t="s">
        <v>41</v>
      </c>
      <c r="F91" s="107" t="s">
        <v>403</v>
      </c>
      <c r="G91" s="128">
        <f aca="true" t="shared" si="3" ref="G91:G110">H91+I91</f>
        <v>496000</v>
      </c>
      <c r="H91" s="109">
        <f>447000+49000</f>
        <v>496000</v>
      </c>
      <c r="I91" s="117">
        <v>0</v>
      </c>
      <c r="J91" s="117">
        <v>0</v>
      </c>
    </row>
    <row r="92" spans="1:10" s="76" customFormat="1" ht="75" customHeight="1">
      <c r="A92" s="122" t="s">
        <v>163</v>
      </c>
      <c r="B92" s="122">
        <v>3031</v>
      </c>
      <c r="C92" s="122">
        <v>1030</v>
      </c>
      <c r="D92" s="145" t="s">
        <v>164</v>
      </c>
      <c r="E92" s="267" t="s">
        <v>318</v>
      </c>
      <c r="F92" s="267" t="s">
        <v>428</v>
      </c>
      <c r="G92" s="123">
        <f t="shared" si="3"/>
        <v>26550</v>
      </c>
      <c r="H92" s="121">
        <f>26550</f>
        <v>26550</v>
      </c>
      <c r="I92" s="117">
        <v>0</v>
      </c>
      <c r="J92" s="117">
        <v>0</v>
      </c>
    </row>
    <row r="93" spans="1:10" s="76" customFormat="1" ht="68.25">
      <c r="A93" s="122" t="s">
        <v>244</v>
      </c>
      <c r="B93" s="122" t="s">
        <v>245</v>
      </c>
      <c r="C93" s="122" t="s">
        <v>247</v>
      </c>
      <c r="D93" s="145" t="s">
        <v>246</v>
      </c>
      <c r="E93" s="267"/>
      <c r="F93" s="267"/>
      <c r="G93" s="123">
        <f t="shared" si="3"/>
        <v>2000</v>
      </c>
      <c r="H93" s="121">
        <f>2000</f>
        <v>2000</v>
      </c>
      <c r="I93" s="117">
        <v>0</v>
      </c>
      <c r="J93" s="117">
        <v>0</v>
      </c>
    </row>
    <row r="94" spans="1:10" s="77" customFormat="1" ht="90.75">
      <c r="A94" s="122" t="s">
        <v>165</v>
      </c>
      <c r="B94" s="122">
        <v>3033</v>
      </c>
      <c r="C94" s="122">
        <v>1070</v>
      </c>
      <c r="D94" s="145" t="s">
        <v>126</v>
      </c>
      <c r="E94" s="279"/>
      <c r="F94" s="267"/>
      <c r="G94" s="123">
        <f t="shared" si="3"/>
        <v>6997764</v>
      </c>
      <c r="H94" s="157">
        <f>1297764+5700000</f>
        <v>6997764</v>
      </c>
      <c r="I94" s="110">
        <v>0</v>
      </c>
      <c r="J94" s="110">
        <v>0</v>
      </c>
    </row>
    <row r="95" spans="1:10" s="77" customFormat="1" ht="90.75">
      <c r="A95" s="122" t="s">
        <v>166</v>
      </c>
      <c r="B95" s="122">
        <v>3035</v>
      </c>
      <c r="C95" s="122">
        <v>1070</v>
      </c>
      <c r="D95" s="145" t="s">
        <v>127</v>
      </c>
      <c r="E95" s="279"/>
      <c r="F95" s="267"/>
      <c r="G95" s="123">
        <f t="shared" si="3"/>
        <v>604416</v>
      </c>
      <c r="H95" s="157">
        <f>604416</f>
        <v>604416</v>
      </c>
      <c r="I95" s="110">
        <v>0</v>
      </c>
      <c r="J95" s="110">
        <v>0</v>
      </c>
    </row>
    <row r="96" spans="1:10" s="77" customFormat="1" ht="72.75" customHeight="1">
      <c r="A96" s="122" t="s">
        <v>167</v>
      </c>
      <c r="B96" s="122">
        <v>3036</v>
      </c>
      <c r="C96" s="122">
        <v>1070</v>
      </c>
      <c r="D96" s="145" t="s">
        <v>128</v>
      </c>
      <c r="E96" s="279"/>
      <c r="F96" s="267"/>
      <c r="G96" s="123">
        <f>H96+I96</f>
        <v>16620000</v>
      </c>
      <c r="H96" s="157">
        <f>16620000</f>
        <v>16620000</v>
      </c>
      <c r="I96" s="117">
        <v>0</v>
      </c>
      <c r="J96" s="117">
        <v>0</v>
      </c>
    </row>
    <row r="97" spans="1:10" s="77" customFormat="1" ht="109.5" customHeight="1">
      <c r="A97" s="281" t="s">
        <v>36</v>
      </c>
      <c r="B97" s="281">
        <v>3050</v>
      </c>
      <c r="C97" s="281" t="s">
        <v>247</v>
      </c>
      <c r="D97" s="122" t="s">
        <v>37</v>
      </c>
      <c r="E97" s="279"/>
      <c r="F97" s="267"/>
      <c r="G97" s="123">
        <f>H97+I97</f>
        <v>219179</v>
      </c>
      <c r="H97" s="157">
        <f>219179</f>
        <v>219179</v>
      </c>
      <c r="I97" s="110">
        <v>0</v>
      </c>
      <c r="J97" s="110">
        <v>0</v>
      </c>
    </row>
    <row r="98" spans="1:10" s="236" customFormat="1" ht="119.25" customHeight="1">
      <c r="A98" s="282"/>
      <c r="B98" s="282"/>
      <c r="C98" s="282"/>
      <c r="D98" s="235" t="s">
        <v>38</v>
      </c>
      <c r="E98" s="279"/>
      <c r="F98" s="267"/>
      <c r="G98" s="232">
        <f>H98+I98</f>
        <v>219179</v>
      </c>
      <c r="H98" s="233">
        <v>219179</v>
      </c>
      <c r="I98" s="234">
        <v>0</v>
      </c>
      <c r="J98" s="234">
        <v>0</v>
      </c>
    </row>
    <row r="99" spans="1:10" s="79" customFormat="1" ht="53.25" customHeight="1">
      <c r="A99" s="114" t="s">
        <v>168</v>
      </c>
      <c r="B99" s="114">
        <v>3123</v>
      </c>
      <c r="C99" s="114">
        <v>1040</v>
      </c>
      <c r="D99" s="196" t="s">
        <v>143</v>
      </c>
      <c r="E99" s="280" t="s">
        <v>323</v>
      </c>
      <c r="F99" s="280" t="s">
        <v>429</v>
      </c>
      <c r="G99" s="151">
        <f t="shared" si="3"/>
        <v>325570</v>
      </c>
      <c r="H99" s="121">
        <f>325570</f>
        <v>325570</v>
      </c>
      <c r="I99" s="121">
        <v>0</v>
      </c>
      <c r="J99" s="121">
        <v>0</v>
      </c>
    </row>
    <row r="100" spans="1:10" s="80" customFormat="1" ht="144.75" customHeight="1">
      <c r="A100" s="122" t="s">
        <v>169</v>
      </c>
      <c r="B100" s="122">
        <v>3140</v>
      </c>
      <c r="C100" s="122">
        <v>1040</v>
      </c>
      <c r="D100" s="145" t="s">
        <v>142</v>
      </c>
      <c r="E100" s="280"/>
      <c r="F100" s="280"/>
      <c r="G100" s="151">
        <f t="shared" si="3"/>
        <v>0</v>
      </c>
      <c r="H100" s="157">
        <f>4000000-2000000-2000000</f>
        <v>0</v>
      </c>
      <c r="I100" s="117">
        <v>0</v>
      </c>
      <c r="J100" s="117">
        <v>0</v>
      </c>
    </row>
    <row r="101" spans="1:10" s="80" customFormat="1" ht="194.25" customHeight="1">
      <c r="A101" s="122" t="s">
        <v>171</v>
      </c>
      <c r="B101" s="122" t="s">
        <v>288</v>
      </c>
      <c r="C101" s="122">
        <v>1010</v>
      </c>
      <c r="D101" s="146" t="s">
        <v>50</v>
      </c>
      <c r="E101" s="119" t="s">
        <v>330</v>
      </c>
      <c r="F101" s="106" t="s">
        <v>428</v>
      </c>
      <c r="G101" s="123">
        <f t="shared" si="3"/>
        <v>1843940</v>
      </c>
      <c r="H101" s="166">
        <f>1843940</f>
        <v>1843940</v>
      </c>
      <c r="I101" s="117">
        <v>0</v>
      </c>
      <c r="J101" s="117">
        <v>0</v>
      </c>
    </row>
    <row r="102" spans="1:10" s="80" customFormat="1" ht="102" customHeight="1">
      <c r="A102" s="281" t="s">
        <v>170</v>
      </c>
      <c r="B102" s="281">
        <v>3180</v>
      </c>
      <c r="C102" s="281">
        <v>1060</v>
      </c>
      <c r="D102" s="333" t="s">
        <v>74</v>
      </c>
      <c r="E102" s="145" t="s">
        <v>330</v>
      </c>
      <c r="F102" s="106" t="s">
        <v>428</v>
      </c>
      <c r="G102" s="151">
        <f t="shared" si="3"/>
        <v>522700</v>
      </c>
      <c r="H102" s="121">
        <f>522700</f>
        <v>522700</v>
      </c>
      <c r="I102" s="117">
        <v>0</v>
      </c>
      <c r="J102" s="117">
        <v>0</v>
      </c>
    </row>
    <row r="103" spans="1:10" s="80" customFormat="1" ht="202.5" customHeight="1">
      <c r="A103" s="288"/>
      <c r="B103" s="288"/>
      <c r="C103" s="288"/>
      <c r="D103" s="334"/>
      <c r="E103" s="167" t="s">
        <v>325</v>
      </c>
      <c r="F103" s="106" t="s">
        <v>432</v>
      </c>
      <c r="G103" s="123">
        <f t="shared" si="3"/>
        <v>464748</v>
      </c>
      <c r="H103" s="121">
        <v>464748</v>
      </c>
      <c r="I103" s="117">
        <v>0</v>
      </c>
      <c r="J103" s="117">
        <v>0</v>
      </c>
    </row>
    <row r="104" spans="1:10" s="80" customFormat="1" ht="128.25" customHeight="1">
      <c r="A104" s="114" t="s">
        <v>46</v>
      </c>
      <c r="B104" s="114">
        <v>3192</v>
      </c>
      <c r="C104" s="114">
        <v>1030</v>
      </c>
      <c r="D104" s="196" t="s">
        <v>227</v>
      </c>
      <c r="E104" s="106" t="s">
        <v>427</v>
      </c>
      <c r="F104" s="106" t="s">
        <v>428</v>
      </c>
      <c r="G104" s="128">
        <f>H104+I104</f>
        <v>1128200</v>
      </c>
      <c r="H104" s="121">
        <f>1128200</f>
        <v>1128200</v>
      </c>
      <c r="I104" s="110">
        <v>0</v>
      </c>
      <c r="J104" s="110">
        <v>0</v>
      </c>
    </row>
    <row r="105" spans="1:10" s="80" customFormat="1" ht="159.75" customHeight="1">
      <c r="A105" s="239" t="s">
        <v>424</v>
      </c>
      <c r="B105" s="239" t="s">
        <v>425</v>
      </c>
      <c r="C105" s="239" t="s">
        <v>247</v>
      </c>
      <c r="D105" s="238" t="s">
        <v>426</v>
      </c>
      <c r="E105" s="140" t="s">
        <v>12</v>
      </c>
      <c r="F105" s="107" t="s">
        <v>430</v>
      </c>
      <c r="G105" s="128">
        <f>H105+I105</f>
        <v>4000000</v>
      </c>
      <c r="H105" s="121">
        <v>3400000</v>
      </c>
      <c r="I105" s="110">
        <v>600000</v>
      </c>
      <c r="J105" s="110">
        <v>600000</v>
      </c>
    </row>
    <row r="106" spans="1:10" s="19" customFormat="1" ht="108" customHeight="1">
      <c r="A106" s="272" t="s">
        <v>47</v>
      </c>
      <c r="B106" s="272">
        <v>3241</v>
      </c>
      <c r="C106" s="272">
        <v>1090</v>
      </c>
      <c r="D106" s="289" t="s">
        <v>49</v>
      </c>
      <c r="E106" s="106" t="s">
        <v>431</v>
      </c>
      <c r="F106" s="106" t="s">
        <v>428</v>
      </c>
      <c r="G106" s="128">
        <f t="shared" si="3"/>
        <v>41068884.81</v>
      </c>
      <c r="H106" s="121">
        <f>40584251.81-50000+54293</f>
        <v>40588544.81</v>
      </c>
      <c r="I106" s="110">
        <f>430340+50000</f>
        <v>480340</v>
      </c>
      <c r="J106" s="110">
        <f>50000</f>
        <v>50000</v>
      </c>
    </row>
    <row r="107" spans="1:10" s="19" customFormat="1" ht="155.25" customHeight="1">
      <c r="A107" s="273"/>
      <c r="B107" s="273"/>
      <c r="C107" s="273"/>
      <c r="D107" s="290"/>
      <c r="E107" s="106" t="s">
        <v>326</v>
      </c>
      <c r="F107" s="106" t="s">
        <v>361</v>
      </c>
      <c r="G107" s="128">
        <f t="shared" si="3"/>
        <v>2987416.19</v>
      </c>
      <c r="H107" s="121">
        <v>2987416.19</v>
      </c>
      <c r="I107" s="110">
        <v>0</v>
      </c>
      <c r="J107" s="110">
        <v>0</v>
      </c>
    </row>
    <row r="108" spans="1:10" s="19" customFormat="1" ht="112.5" customHeight="1">
      <c r="A108" s="283" t="s">
        <v>48</v>
      </c>
      <c r="B108" s="283" t="s">
        <v>44</v>
      </c>
      <c r="C108" s="286">
        <v>1090</v>
      </c>
      <c r="D108" s="287" t="s">
        <v>45</v>
      </c>
      <c r="E108" s="106" t="s">
        <v>330</v>
      </c>
      <c r="F108" s="106" t="s">
        <v>428</v>
      </c>
      <c r="G108" s="128">
        <f t="shared" si="3"/>
        <v>12892354</v>
      </c>
      <c r="H108" s="117">
        <f>6600654+3000000+1000000+1303200+988500</f>
        <v>12892354</v>
      </c>
      <c r="I108" s="110">
        <v>0</v>
      </c>
      <c r="J108" s="110">
        <v>0</v>
      </c>
    </row>
    <row r="109" spans="1:10" s="19" customFormat="1" ht="206.25" customHeight="1">
      <c r="A109" s="283"/>
      <c r="B109" s="283"/>
      <c r="C109" s="286"/>
      <c r="D109" s="287"/>
      <c r="E109" s="115" t="s">
        <v>325</v>
      </c>
      <c r="F109" s="106" t="s">
        <v>360</v>
      </c>
      <c r="G109" s="128">
        <f t="shared" si="3"/>
        <v>8115317</v>
      </c>
      <c r="H109" s="121">
        <f>8015317+100000</f>
        <v>8115317</v>
      </c>
      <c r="I109" s="110">
        <v>0</v>
      </c>
      <c r="J109" s="110">
        <v>0</v>
      </c>
    </row>
    <row r="110" spans="1:10" s="19" customFormat="1" ht="22.5" hidden="1">
      <c r="A110" s="283"/>
      <c r="B110" s="283"/>
      <c r="C110" s="286"/>
      <c r="D110" s="287"/>
      <c r="E110" s="106"/>
      <c r="F110" s="195"/>
      <c r="G110" s="128">
        <f t="shared" si="3"/>
        <v>0</v>
      </c>
      <c r="H110" s="117"/>
      <c r="I110" s="110">
        <v>0</v>
      </c>
      <c r="J110" s="110">
        <v>0</v>
      </c>
    </row>
    <row r="111" spans="1:10" s="19" customFormat="1" ht="117" customHeight="1" hidden="1">
      <c r="A111" s="29"/>
      <c r="B111" s="28"/>
      <c r="C111" s="28"/>
      <c r="D111" s="204"/>
      <c r="E111" s="20"/>
      <c r="F111" s="20"/>
      <c r="G111" s="75"/>
      <c r="H111" s="40"/>
      <c r="I111" s="25"/>
      <c r="J111" s="25"/>
    </row>
    <row r="112" spans="1:10" s="19" customFormat="1" ht="72.75" customHeight="1" hidden="1">
      <c r="A112" s="29"/>
      <c r="B112" s="28"/>
      <c r="C112" s="28"/>
      <c r="D112" s="204"/>
      <c r="E112" s="20"/>
      <c r="F112" s="20"/>
      <c r="G112" s="75"/>
      <c r="H112" s="40"/>
      <c r="I112" s="25"/>
      <c r="J112" s="25"/>
    </row>
    <row r="113" spans="1:10" s="41" customFormat="1" ht="39.75" customHeight="1">
      <c r="A113" s="161" t="s">
        <v>172</v>
      </c>
      <c r="B113" s="194"/>
      <c r="C113" s="194"/>
      <c r="D113" s="284" t="s">
        <v>410</v>
      </c>
      <c r="E113" s="285"/>
      <c r="F113" s="162" t="s">
        <v>200</v>
      </c>
      <c r="G113" s="158">
        <f>G114</f>
        <v>11258067</v>
      </c>
      <c r="H113" s="158">
        <f>H114</f>
        <v>11092067</v>
      </c>
      <c r="I113" s="158">
        <f>I114</f>
        <v>166000</v>
      </c>
      <c r="J113" s="158">
        <f>J114</f>
        <v>166000</v>
      </c>
    </row>
    <row r="114" spans="1:10" s="41" customFormat="1" ht="39" customHeight="1">
      <c r="A114" s="133" t="s">
        <v>173</v>
      </c>
      <c r="B114" s="132"/>
      <c r="C114" s="132"/>
      <c r="D114" s="311" t="s">
        <v>410</v>
      </c>
      <c r="E114" s="312"/>
      <c r="F114" s="134" t="s">
        <v>200</v>
      </c>
      <c r="G114" s="136">
        <f aca="true" t="shared" si="4" ref="G114:G120">H114+I114</f>
        <v>11258067</v>
      </c>
      <c r="H114" s="136">
        <f>SUM(H115+H116+H117+H118+H120+H121)</f>
        <v>11092067</v>
      </c>
      <c r="I114" s="136">
        <f>SUM(I115+I116+I117+I118+I120+I121)</f>
        <v>166000</v>
      </c>
      <c r="J114" s="136">
        <f>SUM(J115+J116+J117+J118+J122)</f>
        <v>166000</v>
      </c>
    </row>
    <row r="115" spans="1:10" s="129" customFormat="1" ht="93" customHeight="1">
      <c r="A115" s="122" t="s">
        <v>199</v>
      </c>
      <c r="B115" s="122" t="s">
        <v>133</v>
      </c>
      <c r="C115" s="122" t="s">
        <v>109</v>
      </c>
      <c r="D115" s="115" t="s">
        <v>243</v>
      </c>
      <c r="E115" s="107" t="s">
        <v>41</v>
      </c>
      <c r="F115" s="107" t="s">
        <v>403</v>
      </c>
      <c r="G115" s="108">
        <f t="shared" si="4"/>
        <v>128000</v>
      </c>
      <c r="H115" s="109">
        <v>128000</v>
      </c>
      <c r="I115" s="117">
        <v>0</v>
      </c>
      <c r="J115" s="117">
        <v>0</v>
      </c>
    </row>
    <row r="116" spans="1:10" s="19" customFormat="1" ht="168.75" customHeight="1">
      <c r="A116" s="114" t="s">
        <v>174</v>
      </c>
      <c r="B116" s="112" t="s">
        <v>175</v>
      </c>
      <c r="C116" s="112" t="s">
        <v>117</v>
      </c>
      <c r="D116" s="152" t="s">
        <v>249</v>
      </c>
      <c r="E116" s="318" t="s">
        <v>18</v>
      </c>
      <c r="F116" s="319" t="s">
        <v>362</v>
      </c>
      <c r="G116" s="151">
        <f t="shared" si="4"/>
        <v>7792807</v>
      </c>
      <c r="H116" s="110">
        <v>7792807</v>
      </c>
      <c r="I116" s="110">
        <v>0</v>
      </c>
      <c r="J116" s="110">
        <v>0</v>
      </c>
    </row>
    <row r="117" spans="1:10" s="19" customFormat="1" ht="70.5" customHeight="1">
      <c r="A117" s="114" t="s">
        <v>176</v>
      </c>
      <c r="B117" s="112" t="s">
        <v>177</v>
      </c>
      <c r="C117" s="112" t="s">
        <v>117</v>
      </c>
      <c r="D117" s="152" t="s">
        <v>144</v>
      </c>
      <c r="E117" s="318"/>
      <c r="F117" s="319"/>
      <c r="G117" s="151">
        <f t="shared" si="4"/>
        <v>354000</v>
      </c>
      <c r="H117" s="110">
        <v>354000</v>
      </c>
      <c r="I117" s="110">
        <v>0</v>
      </c>
      <c r="J117" s="110">
        <v>0</v>
      </c>
    </row>
    <row r="118" spans="1:10" s="19" customFormat="1" ht="64.5" customHeight="1">
      <c r="A118" s="114" t="s">
        <v>190</v>
      </c>
      <c r="B118" s="114" t="s">
        <v>191</v>
      </c>
      <c r="C118" s="114" t="s">
        <v>117</v>
      </c>
      <c r="D118" s="205" t="s">
        <v>192</v>
      </c>
      <c r="E118" s="318"/>
      <c r="F118" s="319"/>
      <c r="G118" s="151">
        <f t="shared" si="4"/>
        <v>2903260</v>
      </c>
      <c r="H118" s="110">
        <f>2106560-126000+H119</f>
        <v>2737260</v>
      </c>
      <c r="I118" s="110">
        <f>40000+126000</f>
        <v>166000</v>
      </c>
      <c r="J118" s="110">
        <f>40000+126000</f>
        <v>166000</v>
      </c>
    </row>
    <row r="119" spans="1:10" s="224" customFormat="1" ht="218.25" customHeight="1">
      <c r="A119" s="225"/>
      <c r="B119" s="225"/>
      <c r="C119" s="225"/>
      <c r="D119" s="223" t="s">
        <v>393</v>
      </c>
      <c r="E119" s="318"/>
      <c r="F119" s="319"/>
      <c r="G119" s="237">
        <f t="shared" si="4"/>
        <v>756700</v>
      </c>
      <c r="H119" s="103">
        <f>756700</f>
        <v>756700</v>
      </c>
      <c r="I119" s="103">
        <v>0</v>
      </c>
      <c r="J119" s="103">
        <v>0</v>
      </c>
    </row>
    <row r="120" spans="1:10" s="19" customFormat="1" ht="68.25">
      <c r="A120" s="122" t="s">
        <v>53</v>
      </c>
      <c r="B120" s="112">
        <v>3242</v>
      </c>
      <c r="C120" s="112">
        <v>1090</v>
      </c>
      <c r="D120" s="126" t="s">
        <v>45</v>
      </c>
      <c r="E120" s="318"/>
      <c r="F120" s="319"/>
      <c r="G120" s="151">
        <f t="shared" si="4"/>
        <v>80000</v>
      </c>
      <c r="H120" s="110">
        <v>80000</v>
      </c>
      <c r="I120" s="117">
        <v>0</v>
      </c>
      <c r="J120" s="117">
        <v>0</v>
      </c>
    </row>
    <row r="121" spans="1:10" s="19" customFormat="1" ht="219.75" customHeight="1" hidden="1">
      <c r="A121" s="37"/>
      <c r="B121" s="28"/>
      <c r="C121" s="28"/>
      <c r="D121" s="204"/>
      <c r="E121" s="318"/>
      <c r="F121" s="319"/>
      <c r="G121" s="78"/>
      <c r="H121" s="25"/>
      <c r="I121" s="23"/>
      <c r="J121" s="23"/>
    </row>
    <row r="122" spans="1:10" s="53" customFormat="1" ht="338.25" customHeight="1" hidden="1">
      <c r="A122" s="81"/>
      <c r="B122" s="82"/>
      <c r="C122" s="81"/>
      <c r="D122" s="206"/>
      <c r="E122" s="318"/>
      <c r="F122" s="319"/>
      <c r="G122" s="78"/>
      <c r="H122" s="25"/>
      <c r="I122" s="23"/>
      <c r="J122" s="23"/>
    </row>
    <row r="123" spans="1:10" s="41" customFormat="1" ht="44.25" customHeight="1">
      <c r="A123" s="194" t="s">
        <v>60</v>
      </c>
      <c r="B123" s="214"/>
      <c r="C123" s="161"/>
      <c r="D123" s="327" t="s">
        <v>411</v>
      </c>
      <c r="E123" s="328"/>
      <c r="F123" s="215" t="s">
        <v>200</v>
      </c>
      <c r="G123" s="131">
        <f>G124</f>
        <v>24791197</v>
      </c>
      <c r="H123" s="131">
        <f>H124</f>
        <v>24641197</v>
      </c>
      <c r="I123" s="131">
        <f>I124</f>
        <v>150000</v>
      </c>
      <c r="J123" s="131">
        <f>J124</f>
        <v>150000</v>
      </c>
    </row>
    <row r="124" spans="1:10" s="19" customFormat="1" ht="42" customHeight="1">
      <c r="A124" s="132" t="s">
        <v>61</v>
      </c>
      <c r="B124" s="164"/>
      <c r="C124" s="133"/>
      <c r="D124" s="325" t="s">
        <v>411</v>
      </c>
      <c r="E124" s="326"/>
      <c r="F124" s="134" t="s">
        <v>200</v>
      </c>
      <c r="G124" s="165">
        <f>H124+I124</f>
        <v>24791197</v>
      </c>
      <c r="H124" s="165">
        <f>SUM(H125+H126+H127+H128+H129+H130+H131+H132+H133+H135+H136+H137+H134)</f>
        <v>24641197</v>
      </c>
      <c r="I124" s="165">
        <f>SUM(I125+I126+I127+I128+I129+I130+I131+I132+I133+I135+I136+I137+I134)</f>
        <v>150000</v>
      </c>
      <c r="J124" s="165">
        <f>SUM(J125+J126+J127+J128+J129+J130+J131+J132+J133+J135+J136+J137+J134)</f>
        <v>150000</v>
      </c>
    </row>
    <row r="125" spans="1:10" s="125" customFormat="1" ht="97.5" customHeight="1">
      <c r="A125" s="114" t="s">
        <v>140</v>
      </c>
      <c r="B125" s="114" t="s">
        <v>133</v>
      </c>
      <c r="C125" s="114" t="s">
        <v>109</v>
      </c>
      <c r="D125" s="115" t="s">
        <v>243</v>
      </c>
      <c r="E125" s="107" t="s">
        <v>41</v>
      </c>
      <c r="F125" s="107" t="s">
        <v>403</v>
      </c>
      <c r="G125" s="108">
        <f>H125+I125</f>
        <v>1306000</v>
      </c>
      <c r="H125" s="109">
        <f>1217000+40000+49000</f>
        <v>1306000</v>
      </c>
      <c r="I125" s="117">
        <v>0</v>
      </c>
      <c r="J125" s="117">
        <v>0</v>
      </c>
    </row>
    <row r="126" spans="1:10" s="19" customFormat="1" ht="100.5" customHeight="1">
      <c r="A126" s="112" t="s">
        <v>62</v>
      </c>
      <c r="B126" s="113" t="s">
        <v>157</v>
      </c>
      <c r="C126" s="112" t="s">
        <v>117</v>
      </c>
      <c r="D126" s="152" t="s">
        <v>141</v>
      </c>
      <c r="E126" s="320" t="s">
        <v>19</v>
      </c>
      <c r="F126" s="320" t="s">
        <v>437</v>
      </c>
      <c r="G126" s="116">
        <f aca="true" t="shared" si="5" ref="G126:G136">H126+I126</f>
        <v>4888979</v>
      </c>
      <c r="H126" s="118">
        <f>5131255-242276</f>
        <v>4888979</v>
      </c>
      <c r="I126" s="110">
        <v>0</v>
      </c>
      <c r="J126" s="110">
        <v>0</v>
      </c>
    </row>
    <row r="127" spans="1:10" s="19" customFormat="1" ht="68.25">
      <c r="A127" s="112" t="s">
        <v>63</v>
      </c>
      <c r="B127" s="113">
        <v>3242</v>
      </c>
      <c r="C127" s="112" t="s">
        <v>64</v>
      </c>
      <c r="D127" s="196" t="s">
        <v>45</v>
      </c>
      <c r="E127" s="320"/>
      <c r="F127" s="320"/>
      <c r="G127" s="116">
        <f t="shared" si="5"/>
        <v>362127</v>
      </c>
      <c r="H127" s="118">
        <v>362127</v>
      </c>
      <c r="I127" s="110">
        <v>0</v>
      </c>
      <c r="J127" s="110">
        <v>0</v>
      </c>
    </row>
    <row r="128" spans="1:10" s="19" customFormat="1" ht="102" customHeight="1" hidden="1">
      <c r="A128" s="29"/>
      <c r="B128" s="42"/>
      <c r="C128" s="29"/>
      <c r="D128" s="65"/>
      <c r="E128" s="207"/>
      <c r="F128" s="119"/>
      <c r="G128" s="73"/>
      <c r="H128" s="40"/>
      <c r="I128" s="25"/>
      <c r="J128" s="25"/>
    </row>
    <row r="129" spans="1:10" s="19" customFormat="1" ht="104.25" customHeight="1" hidden="1">
      <c r="A129" s="29"/>
      <c r="B129" s="42"/>
      <c r="C129" s="29"/>
      <c r="D129" s="65"/>
      <c r="E129" s="208"/>
      <c r="F129" s="119"/>
      <c r="G129" s="73"/>
      <c r="H129" s="40"/>
      <c r="I129" s="25"/>
      <c r="J129" s="25"/>
    </row>
    <row r="130" spans="1:10" s="19" customFormat="1" ht="91.5" customHeight="1">
      <c r="A130" s="112" t="s">
        <v>65</v>
      </c>
      <c r="B130" s="113" t="s">
        <v>204</v>
      </c>
      <c r="C130" s="112" t="s">
        <v>118</v>
      </c>
      <c r="D130" s="152" t="s">
        <v>206</v>
      </c>
      <c r="E130" s="329" t="s">
        <v>20</v>
      </c>
      <c r="F130" s="338" t="s">
        <v>436</v>
      </c>
      <c r="G130" s="116">
        <f t="shared" si="5"/>
        <v>749677</v>
      </c>
      <c r="H130" s="153">
        <v>749677</v>
      </c>
      <c r="I130" s="110">
        <v>0</v>
      </c>
      <c r="J130" s="110">
        <v>0</v>
      </c>
    </row>
    <row r="131" spans="1:10" s="19" customFormat="1" ht="93" customHeight="1">
      <c r="A131" s="112" t="s">
        <v>66</v>
      </c>
      <c r="B131" s="113" t="s">
        <v>67</v>
      </c>
      <c r="C131" s="112" t="s">
        <v>118</v>
      </c>
      <c r="D131" s="152" t="s">
        <v>304</v>
      </c>
      <c r="E131" s="330"/>
      <c r="F131" s="339"/>
      <c r="G131" s="116">
        <f t="shared" si="5"/>
        <v>63053</v>
      </c>
      <c r="H131" s="153">
        <v>63053</v>
      </c>
      <c r="I131" s="110">
        <v>0</v>
      </c>
      <c r="J131" s="110">
        <v>0</v>
      </c>
    </row>
    <row r="132" spans="1:10" s="19" customFormat="1" ht="91.5" customHeight="1">
      <c r="A132" s="112" t="s">
        <v>68</v>
      </c>
      <c r="B132" s="113" t="s">
        <v>93</v>
      </c>
      <c r="C132" s="112" t="s">
        <v>118</v>
      </c>
      <c r="D132" s="152" t="s">
        <v>94</v>
      </c>
      <c r="E132" s="330"/>
      <c r="F132" s="339"/>
      <c r="G132" s="116">
        <f t="shared" si="5"/>
        <v>1859557</v>
      </c>
      <c r="H132" s="153">
        <f>1467281+242276</f>
        <v>1709557</v>
      </c>
      <c r="I132" s="110">
        <v>150000</v>
      </c>
      <c r="J132" s="110">
        <f>I132</f>
        <v>150000</v>
      </c>
    </row>
    <row r="133" spans="1:10" s="19" customFormat="1" ht="97.5" customHeight="1">
      <c r="A133" s="112" t="s">
        <v>69</v>
      </c>
      <c r="B133" s="113" t="s">
        <v>209</v>
      </c>
      <c r="C133" s="112" t="s">
        <v>118</v>
      </c>
      <c r="D133" s="152" t="s">
        <v>210</v>
      </c>
      <c r="E133" s="330"/>
      <c r="F133" s="339"/>
      <c r="G133" s="116">
        <f t="shared" si="5"/>
        <v>378200</v>
      </c>
      <c r="H133" s="153">
        <v>378200</v>
      </c>
      <c r="I133" s="110">
        <v>0</v>
      </c>
      <c r="J133" s="110">
        <v>0</v>
      </c>
    </row>
    <row r="134" spans="1:10" s="19" customFormat="1" ht="67.5" customHeight="1">
      <c r="A134" s="114" t="s">
        <v>328</v>
      </c>
      <c r="B134" s="114" t="s">
        <v>205</v>
      </c>
      <c r="C134" s="122" t="s">
        <v>118</v>
      </c>
      <c r="D134" s="106" t="s">
        <v>207</v>
      </c>
      <c r="E134" s="330"/>
      <c r="F134" s="339"/>
      <c r="G134" s="116">
        <f>H134+I134</f>
        <v>11193208</v>
      </c>
      <c r="H134" s="153">
        <v>11193208</v>
      </c>
      <c r="I134" s="110">
        <v>0</v>
      </c>
      <c r="J134" s="110"/>
    </row>
    <row r="135" spans="1:10" s="19" customFormat="1" ht="116.25" customHeight="1">
      <c r="A135" s="112" t="s">
        <v>70</v>
      </c>
      <c r="B135" s="113" t="s">
        <v>71</v>
      </c>
      <c r="C135" s="112" t="s">
        <v>118</v>
      </c>
      <c r="D135" s="152" t="s">
        <v>147</v>
      </c>
      <c r="E135" s="330"/>
      <c r="F135" s="339"/>
      <c r="G135" s="154">
        <f t="shared" si="5"/>
        <v>2409009</v>
      </c>
      <c r="H135" s="153">
        <v>2409009</v>
      </c>
      <c r="I135" s="153">
        <v>0</v>
      </c>
      <c r="J135" s="153">
        <v>0</v>
      </c>
    </row>
    <row r="136" spans="1:10" s="19" customFormat="1" ht="100.5" customHeight="1">
      <c r="A136" s="112" t="s">
        <v>72</v>
      </c>
      <c r="B136" s="113" t="s">
        <v>73</v>
      </c>
      <c r="C136" s="112" t="s">
        <v>118</v>
      </c>
      <c r="D136" s="152" t="s">
        <v>208</v>
      </c>
      <c r="E136" s="331"/>
      <c r="F136" s="340"/>
      <c r="G136" s="116">
        <f t="shared" si="5"/>
        <v>1581387</v>
      </c>
      <c r="H136" s="153">
        <v>1581387</v>
      </c>
      <c r="I136" s="110">
        <v>0</v>
      </c>
      <c r="J136" s="110">
        <v>0</v>
      </c>
    </row>
    <row r="137" spans="1:10" s="19" customFormat="1" ht="105" customHeight="1" hidden="1">
      <c r="A137" s="28"/>
      <c r="B137" s="42"/>
      <c r="C137" s="28"/>
      <c r="D137" s="209"/>
      <c r="E137" s="54"/>
      <c r="F137" s="39"/>
      <c r="G137" s="73"/>
      <c r="H137" s="55"/>
      <c r="I137" s="25"/>
      <c r="J137" s="25"/>
    </row>
    <row r="138" spans="1:10" s="41" customFormat="1" ht="57" customHeight="1">
      <c r="A138" s="161" t="s">
        <v>308</v>
      </c>
      <c r="B138" s="194"/>
      <c r="C138" s="194"/>
      <c r="D138" s="284" t="s">
        <v>412</v>
      </c>
      <c r="E138" s="285"/>
      <c r="F138" s="162" t="s">
        <v>200</v>
      </c>
      <c r="G138" s="158">
        <f>G139</f>
        <v>2251090</v>
      </c>
      <c r="H138" s="158">
        <f>H139</f>
        <v>2251090</v>
      </c>
      <c r="I138" s="158">
        <f>I139</f>
        <v>0</v>
      </c>
      <c r="J138" s="158">
        <f>J139</f>
        <v>0</v>
      </c>
    </row>
    <row r="139" spans="1:10" s="19" customFormat="1" ht="57" customHeight="1">
      <c r="A139" s="132" t="s">
        <v>309</v>
      </c>
      <c r="B139" s="133"/>
      <c r="C139" s="133"/>
      <c r="D139" s="321" t="s">
        <v>412</v>
      </c>
      <c r="E139" s="321"/>
      <c r="F139" s="134" t="s">
        <v>200</v>
      </c>
      <c r="G139" s="135">
        <f>H139+I139</f>
        <v>2251090</v>
      </c>
      <c r="H139" s="135">
        <f>H140+H141+H142</f>
        <v>2251090</v>
      </c>
      <c r="I139" s="135">
        <f>I140+I141+I142</f>
        <v>0</v>
      </c>
      <c r="J139" s="135">
        <f>J140+J141+J142</f>
        <v>0</v>
      </c>
    </row>
    <row r="140" spans="1:10" s="19" customFormat="1" ht="120" customHeight="1" hidden="1">
      <c r="A140" s="29"/>
      <c r="B140" s="29"/>
      <c r="C140" s="29"/>
      <c r="D140" s="204"/>
      <c r="E140" s="1"/>
      <c r="F140" s="1"/>
      <c r="G140" s="22"/>
      <c r="H140" s="30"/>
      <c r="I140" s="25"/>
      <c r="J140" s="25"/>
    </row>
    <row r="141" spans="1:10" s="19" customFormat="1" ht="96.75" customHeight="1">
      <c r="A141" s="114" t="s">
        <v>310</v>
      </c>
      <c r="B141" s="114" t="s">
        <v>44</v>
      </c>
      <c r="C141" s="114" t="s">
        <v>64</v>
      </c>
      <c r="D141" s="126" t="s">
        <v>45</v>
      </c>
      <c r="E141" s="107" t="s">
        <v>324</v>
      </c>
      <c r="F141" s="107" t="s">
        <v>359</v>
      </c>
      <c r="G141" s="108">
        <f>SUM(H141+I141)</f>
        <v>200000</v>
      </c>
      <c r="H141" s="111">
        <v>200000</v>
      </c>
      <c r="I141" s="110">
        <v>0</v>
      </c>
      <c r="J141" s="110">
        <v>0</v>
      </c>
    </row>
    <row r="142" spans="1:10" s="19" customFormat="1" ht="101.25" customHeight="1">
      <c r="A142" s="112" t="s">
        <v>311</v>
      </c>
      <c r="B142" s="113" t="s">
        <v>260</v>
      </c>
      <c r="C142" s="112" t="s">
        <v>112</v>
      </c>
      <c r="D142" s="152" t="s">
        <v>213</v>
      </c>
      <c r="E142" s="114" t="s">
        <v>314</v>
      </c>
      <c r="F142" s="107" t="s">
        <v>337</v>
      </c>
      <c r="G142" s="108">
        <f>SUM(H142+I142)</f>
        <v>2051090</v>
      </c>
      <c r="H142" s="109">
        <v>2051090</v>
      </c>
      <c r="I142" s="110">
        <v>0</v>
      </c>
      <c r="J142" s="110">
        <v>0</v>
      </c>
    </row>
    <row r="143" spans="1:10" s="41" customFormat="1" ht="57" customHeight="1">
      <c r="A143" s="161" t="s">
        <v>178</v>
      </c>
      <c r="B143" s="194"/>
      <c r="C143" s="194"/>
      <c r="D143" s="284" t="s">
        <v>413</v>
      </c>
      <c r="E143" s="285"/>
      <c r="F143" s="162" t="s">
        <v>200</v>
      </c>
      <c r="G143" s="158">
        <f>G144</f>
        <v>482968871</v>
      </c>
      <c r="H143" s="158">
        <f>H144</f>
        <v>364122150</v>
      </c>
      <c r="I143" s="158">
        <f>I144</f>
        <v>118846721</v>
      </c>
      <c r="J143" s="158">
        <f>J144</f>
        <v>110007450</v>
      </c>
    </row>
    <row r="144" spans="1:10" s="19" customFormat="1" ht="59.25" customHeight="1">
      <c r="A144" s="133" t="s">
        <v>179</v>
      </c>
      <c r="B144" s="132"/>
      <c r="C144" s="132"/>
      <c r="D144" s="311" t="s">
        <v>413</v>
      </c>
      <c r="E144" s="312"/>
      <c r="F144" s="134" t="s">
        <v>200</v>
      </c>
      <c r="G144" s="160">
        <f>G145+G146+G147+G148+G149+G151+G153+G154+G155+G160+G161+G164+G166+G167+G168+G169+G171+G172+G173+G174+G175+G176+G177+G178+G179+G180+G181+G183+G184+G188+G189+G190+G193+G194+G195+G196+G197+G198+G199+G200+G201+G204+G205+G208+G206+G209+G210+G207+G202</f>
        <v>482968871</v>
      </c>
      <c r="H144" s="160">
        <f>H145+H146+H147+H148+H149+H151+H153+H154+H155+H160+H161+H164+H166+H167+H168+H169+H171+H172+H173+H174+H175+H176+H177+H178+H179+H180+H181+H183+H184+H188+H189+H190+H193+H194+H195+H196+H197+H198+H199+H200+H201+H204+H205+H208+H206+H209+H210+H207+H202</f>
        <v>364122150</v>
      </c>
      <c r="I144" s="160">
        <f>I145+I146+I147+I148+I149+I151+I153+I154+I155+I160+I161+I164+I166+I167+I168+I169+I171+I172+I173+I174+I175+I176+I177+I178+I179+I180+I181+I183+I184+I188+I189+I190+I193+I194+I195+I196+I197+I198+I199+I200+I201+I204+I205+I208+I206+I209+I210+I207+I202</f>
        <v>118846721</v>
      </c>
      <c r="J144" s="160">
        <f>J145+J146+J147+J148+J149+J151+J153+J154+J155+J160+J161+J164+J166+J167+J168+J169+J171+J172+J173+J174+J175+J176+J177+J178+J179+J180+J181+J183+J184+J188+J189+J190+J193+J194+J195+J196+J197+J198+J199+J200+J201+J204+J205+J208+J206+J209+J210+J207+J202</f>
        <v>110007450</v>
      </c>
    </row>
    <row r="145" spans="1:10" s="125" customFormat="1" ht="97.5" customHeight="1">
      <c r="A145" s="127">
        <v>1510180</v>
      </c>
      <c r="B145" s="122" t="s">
        <v>133</v>
      </c>
      <c r="C145" s="122" t="s">
        <v>109</v>
      </c>
      <c r="D145" s="126" t="s">
        <v>243</v>
      </c>
      <c r="E145" s="107" t="s">
        <v>41</v>
      </c>
      <c r="F145" s="107" t="s">
        <v>403</v>
      </c>
      <c r="G145" s="130">
        <f>H145+I145</f>
        <v>1367000</v>
      </c>
      <c r="H145" s="109">
        <f>1278000+40000+49000</f>
        <v>1367000</v>
      </c>
      <c r="I145" s="117">
        <v>0</v>
      </c>
      <c r="J145" s="117">
        <v>0</v>
      </c>
    </row>
    <row r="146" spans="1:10" s="19" customFormat="1" ht="83.25" customHeight="1">
      <c r="A146" s="168">
        <v>1513210</v>
      </c>
      <c r="B146" s="112">
        <v>3210</v>
      </c>
      <c r="C146" s="112" t="s">
        <v>110</v>
      </c>
      <c r="D146" s="126" t="s">
        <v>111</v>
      </c>
      <c r="E146" s="114" t="s">
        <v>314</v>
      </c>
      <c r="F146" s="107" t="s">
        <v>337</v>
      </c>
      <c r="G146" s="130">
        <f>H146+I146</f>
        <v>140100</v>
      </c>
      <c r="H146" s="117">
        <v>140100</v>
      </c>
      <c r="I146" s="110">
        <v>0</v>
      </c>
      <c r="J146" s="117">
        <f>I146</f>
        <v>0</v>
      </c>
    </row>
    <row r="147" spans="1:10" s="19" customFormat="1" ht="81.75" customHeight="1">
      <c r="A147" s="114" t="s">
        <v>223</v>
      </c>
      <c r="B147" s="114" t="s">
        <v>44</v>
      </c>
      <c r="C147" s="114" t="s">
        <v>64</v>
      </c>
      <c r="D147" s="126" t="s">
        <v>45</v>
      </c>
      <c r="E147" s="104" t="s">
        <v>314</v>
      </c>
      <c r="F147" s="107" t="s">
        <v>337</v>
      </c>
      <c r="G147" s="116">
        <f>H147+I147</f>
        <v>6000000</v>
      </c>
      <c r="H147" s="117">
        <v>6000000</v>
      </c>
      <c r="I147" s="118">
        <v>0</v>
      </c>
      <c r="J147" s="117">
        <f>I147</f>
        <v>0</v>
      </c>
    </row>
    <row r="148" spans="1:10" s="19" customFormat="1" ht="96.75" customHeight="1" hidden="1">
      <c r="A148" s="37"/>
      <c r="B148" s="37"/>
      <c r="C148" s="37"/>
      <c r="D148" s="21"/>
      <c r="E148" s="21"/>
      <c r="F148" s="21"/>
      <c r="G148" s="177"/>
      <c r="H148" s="23"/>
      <c r="I148" s="23"/>
      <c r="J148" s="23"/>
    </row>
    <row r="149" spans="1:10" s="19" customFormat="1" ht="177" customHeight="1" hidden="1">
      <c r="A149" s="37"/>
      <c r="B149" s="37"/>
      <c r="C149" s="37"/>
      <c r="D149" s="210"/>
      <c r="E149" s="1"/>
      <c r="F149" s="21"/>
      <c r="G149" s="177"/>
      <c r="H149" s="23"/>
      <c r="I149" s="23"/>
      <c r="J149" s="23"/>
    </row>
    <row r="150" spans="1:10" s="71" customFormat="1" ht="95.25" customHeight="1" hidden="1">
      <c r="A150" s="58"/>
      <c r="B150" s="59"/>
      <c r="C150" s="59"/>
      <c r="D150" s="92"/>
      <c r="E150" s="60"/>
      <c r="F150" s="60"/>
      <c r="G150" s="61"/>
      <c r="H150" s="62"/>
      <c r="I150" s="49"/>
      <c r="J150" s="49"/>
    </row>
    <row r="151" spans="1:10" s="19" customFormat="1" ht="93.75" customHeight="1" hidden="1">
      <c r="A151" s="37"/>
      <c r="B151" s="37"/>
      <c r="C151" s="37"/>
      <c r="D151" s="210"/>
      <c r="E151" s="1"/>
      <c r="F151" s="21"/>
      <c r="G151" s="177"/>
      <c r="H151" s="23"/>
      <c r="I151" s="23"/>
      <c r="J151" s="23"/>
    </row>
    <row r="152" spans="1:10" s="83" customFormat="1" ht="95.25" customHeight="1" hidden="1">
      <c r="A152" s="58"/>
      <c r="B152" s="59"/>
      <c r="C152" s="59"/>
      <c r="D152" s="92"/>
      <c r="E152" s="60"/>
      <c r="F152" s="60"/>
      <c r="G152" s="61"/>
      <c r="H152" s="62"/>
      <c r="I152" s="49"/>
      <c r="J152" s="49"/>
    </row>
    <row r="153" spans="1:10" s="19" customFormat="1" ht="102" customHeight="1">
      <c r="A153" s="127">
        <v>1516011</v>
      </c>
      <c r="B153" s="122">
        <v>6011</v>
      </c>
      <c r="C153" s="122" t="s">
        <v>281</v>
      </c>
      <c r="D153" s="106" t="s">
        <v>193</v>
      </c>
      <c r="E153" s="140" t="s">
        <v>1</v>
      </c>
      <c r="F153" s="107" t="s">
        <v>398</v>
      </c>
      <c r="G153" s="116">
        <f>H153+I153</f>
        <v>700000</v>
      </c>
      <c r="H153" s="118">
        <v>0</v>
      </c>
      <c r="I153" s="117">
        <v>700000</v>
      </c>
      <c r="J153" s="117">
        <f>I153</f>
        <v>700000</v>
      </c>
    </row>
    <row r="154" spans="1:10" s="47" customFormat="1" ht="101.25" customHeight="1">
      <c r="A154" s="114" t="s">
        <v>376</v>
      </c>
      <c r="B154" s="113">
        <v>6015</v>
      </c>
      <c r="C154" s="114" t="s">
        <v>112</v>
      </c>
      <c r="D154" s="216" t="s">
        <v>377</v>
      </c>
      <c r="E154" s="140" t="s">
        <v>1</v>
      </c>
      <c r="F154" s="107" t="s">
        <v>398</v>
      </c>
      <c r="G154" s="116">
        <f>H154+I154</f>
        <v>949645</v>
      </c>
      <c r="H154" s="118">
        <v>0</v>
      </c>
      <c r="I154" s="117">
        <v>949645</v>
      </c>
      <c r="J154" s="117">
        <f>I154</f>
        <v>949645</v>
      </c>
    </row>
    <row r="155" spans="1:10" s="19" customFormat="1" ht="88.5" customHeight="1" hidden="1">
      <c r="A155" s="52"/>
      <c r="B155" s="37"/>
      <c r="C155" s="37"/>
      <c r="D155" s="21"/>
      <c r="E155" s="39"/>
      <c r="F155" s="39"/>
      <c r="G155" s="73"/>
      <c r="H155" s="40"/>
      <c r="I155" s="23"/>
      <c r="J155" s="23"/>
    </row>
    <row r="156" spans="1:10" s="19" customFormat="1" ht="117" customHeight="1" hidden="1">
      <c r="A156" s="37"/>
      <c r="B156" s="37"/>
      <c r="C156" s="37"/>
      <c r="D156" s="204"/>
      <c r="E156" s="39"/>
      <c r="F156" s="39"/>
      <c r="G156" s="73"/>
      <c r="H156" s="40"/>
      <c r="I156" s="23"/>
      <c r="J156" s="23"/>
    </row>
    <row r="157" spans="1:10" s="47" customFormat="1" ht="75" customHeight="1" hidden="1">
      <c r="A157" s="58"/>
      <c r="B157" s="59"/>
      <c r="C157" s="59"/>
      <c r="D157" s="211"/>
      <c r="E157" s="60"/>
      <c r="F157" s="60"/>
      <c r="G157" s="61"/>
      <c r="H157" s="62"/>
      <c r="I157" s="49"/>
      <c r="J157" s="23"/>
    </row>
    <row r="158" spans="1:10" s="19" customFormat="1" ht="103.5" customHeight="1" hidden="1">
      <c r="A158" s="52"/>
      <c r="B158" s="37"/>
      <c r="C158" s="37"/>
      <c r="D158" s="204"/>
      <c r="E158" s="39"/>
      <c r="F158" s="39"/>
      <c r="G158" s="73"/>
      <c r="H158" s="40"/>
      <c r="I158" s="23"/>
      <c r="J158" s="23"/>
    </row>
    <row r="159" spans="1:10" s="47" customFormat="1" ht="78" customHeight="1" hidden="1">
      <c r="A159" s="58"/>
      <c r="B159" s="59"/>
      <c r="C159" s="59"/>
      <c r="D159" s="211"/>
      <c r="E159" s="60"/>
      <c r="F159" s="60"/>
      <c r="G159" s="61"/>
      <c r="H159" s="62"/>
      <c r="I159" s="49"/>
      <c r="J159" s="23"/>
    </row>
    <row r="160" spans="1:10" s="47" customFormat="1" ht="108" customHeight="1" hidden="1">
      <c r="A160" s="29"/>
      <c r="B160" s="29"/>
      <c r="C160" s="29"/>
      <c r="D160" s="204"/>
      <c r="E160" s="39"/>
      <c r="F160" s="39"/>
      <c r="G160" s="73"/>
      <c r="H160" s="40"/>
      <c r="I160" s="25"/>
      <c r="J160" s="23"/>
    </row>
    <row r="161" spans="1:12" s="19" customFormat="1" ht="102.75" customHeight="1">
      <c r="A161" s="112">
        <v>1516017</v>
      </c>
      <c r="B161" s="114" t="s">
        <v>217</v>
      </c>
      <c r="C161" s="114" t="s">
        <v>112</v>
      </c>
      <c r="D161" s="126" t="s">
        <v>303</v>
      </c>
      <c r="E161" s="119" t="s">
        <v>315</v>
      </c>
      <c r="F161" s="107" t="s">
        <v>399</v>
      </c>
      <c r="G161" s="116">
        <f>H161+I161</f>
        <v>67700000</v>
      </c>
      <c r="H161" s="120">
        <f>54700000+15000000+2000000-5000000</f>
        <v>66700000</v>
      </c>
      <c r="I161" s="110">
        <v>1000000</v>
      </c>
      <c r="J161" s="117">
        <f>I161</f>
        <v>1000000</v>
      </c>
      <c r="L161" s="84"/>
    </row>
    <row r="162" spans="1:10" s="48" customFormat="1" ht="111" customHeight="1" hidden="1">
      <c r="A162" s="46"/>
      <c r="B162" s="46"/>
      <c r="C162" s="85"/>
      <c r="D162" s="211"/>
      <c r="E162" s="86"/>
      <c r="F162" s="87"/>
      <c r="G162" s="61"/>
      <c r="H162" s="62"/>
      <c r="I162" s="62"/>
      <c r="J162" s="88"/>
    </row>
    <row r="163" spans="1:10" s="47" customFormat="1" ht="78" customHeight="1" hidden="1">
      <c r="A163" s="89"/>
      <c r="B163" s="89"/>
      <c r="C163" s="90"/>
      <c r="D163" s="211"/>
      <c r="E163" s="91"/>
      <c r="F163" s="92"/>
      <c r="G163" s="61"/>
      <c r="H163" s="49"/>
      <c r="I163" s="44"/>
      <c r="J163" s="23"/>
    </row>
    <row r="164" spans="1:10" s="47" customFormat="1" ht="93" customHeight="1" hidden="1">
      <c r="A164" s="28"/>
      <c r="B164" s="28"/>
      <c r="C164" s="29"/>
      <c r="D164" s="204"/>
      <c r="E164" s="54"/>
      <c r="F164" s="39"/>
      <c r="G164" s="73"/>
      <c r="H164" s="40"/>
      <c r="I164" s="23"/>
      <c r="J164" s="23"/>
    </row>
    <row r="165" spans="1:10" s="19" customFormat="1" ht="121.5" customHeight="1" hidden="1">
      <c r="A165" s="28"/>
      <c r="B165" s="28"/>
      <c r="C165" s="29"/>
      <c r="D165" s="204"/>
      <c r="E165" s="54"/>
      <c r="F165" s="39"/>
      <c r="G165" s="73"/>
      <c r="H165" s="40"/>
      <c r="I165" s="40"/>
      <c r="J165" s="23"/>
    </row>
    <row r="166" spans="1:10" s="19" customFormat="1" ht="102.75" customHeight="1" hidden="1">
      <c r="A166" s="28"/>
      <c r="B166" s="28"/>
      <c r="C166" s="29"/>
      <c r="D166" s="204"/>
      <c r="E166" s="54"/>
      <c r="F166" s="39"/>
      <c r="G166" s="73"/>
      <c r="H166" s="40"/>
      <c r="I166" s="40"/>
      <c r="J166" s="23"/>
    </row>
    <row r="167" spans="1:10" s="19" customFormat="1" ht="124.5" customHeight="1" hidden="1">
      <c r="A167" s="28"/>
      <c r="B167" s="28"/>
      <c r="C167" s="28"/>
      <c r="D167" s="204"/>
      <c r="E167" s="39"/>
      <c r="F167" s="39"/>
      <c r="G167" s="73"/>
      <c r="H167" s="40"/>
      <c r="I167" s="40"/>
      <c r="J167" s="23"/>
    </row>
    <row r="168" spans="1:10" s="19" customFormat="1" ht="100.5" customHeight="1">
      <c r="A168" s="112">
        <v>1516030</v>
      </c>
      <c r="B168" s="112">
        <v>6030</v>
      </c>
      <c r="C168" s="112" t="s">
        <v>112</v>
      </c>
      <c r="D168" s="126" t="s">
        <v>213</v>
      </c>
      <c r="E168" s="104" t="s">
        <v>314</v>
      </c>
      <c r="F168" s="107" t="s">
        <v>337</v>
      </c>
      <c r="G168" s="116">
        <f>H168+I168</f>
        <v>226415150</v>
      </c>
      <c r="H168" s="117">
        <f>222660100-49900+1000000-200000+400000-50000+1000000+3800000-117050-150000+450000-5000000+4000000+3822000+300000-3600000-2900000</f>
        <v>225365150</v>
      </c>
      <c r="I168" s="120">
        <f>5250000-200000-4000000</f>
        <v>1050000</v>
      </c>
      <c r="J168" s="121">
        <f>I168</f>
        <v>1050000</v>
      </c>
    </row>
    <row r="169" spans="1:10" s="19" customFormat="1" ht="98.25" customHeight="1" hidden="1">
      <c r="A169" s="112">
        <v>1516030</v>
      </c>
      <c r="B169" s="112">
        <v>6030</v>
      </c>
      <c r="C169" s="112" t="s">
        <v>112</v>
      </c>
      <c r="D169" s="126" t="s">
        <v>213</v>
      </c>
      <c r="E169" s="180" t="s">
        <v>371</v>
      </c>
      <c r="F169" s="106" t="s">
        <v>373</v>
      </c>
      <c r="G169" s="116">
        <f>H169+I169</f>
        <v>0</v>
      </c>
      <c r="H169" s="241">
        <v>0</v>
      </c>
      <c r="I169" s="242">
        <f>3000000-3000000</f>
        <v>0</v>
      </c>
      <c r="J169" s="243">
        <f>I169</f>
        <v>0</v>
      </c>
    </row>
    <row r="170" spans="1:10" s="83" customFormat="1" ht="95.25" customHeight="1" hidden="1">
      <c r="A170" s="244"/>
      <c r="B170" s="245"/>
      <c r="C170" s="245"/>
      <c r="D170" s="246"/>
      <c r="E170" s="212" t="s">
        <v>372</v>
      </c>
      <c r="F170" s="221"/>
      <c r="G170" s="247"/>
      <c r="H170" s="229"/>
      <c r="I170" s="228"/>
      <c r="J170" s="228"/>
    </row>
    <row r="171" spans="1:10" s="19" customFormat="1" ht="93" customHeight="1" hidden="1">
      <c r="A171" s="112"/>
      <c r="B171" s="112"/>
      <c r="C171" s="112"/>
      <c r="D171" s="126"/>
      <c r="E171" s="119"/>
      <c r="F171" s="140"/>
      <c r="G171" s="116"/>
      <c r="H171" s="118"/>
      <c r="I171" s="118"/>
      <c r="J171" s="117"/>
    </row>
    <row r="172" spans="1:10" s="19" customFormat="1" ht="87" customHeight="1" hidden="1">
      <c r="A172" s="112"/>
      <c r="B172" s="112"/>
      <c r="C172" s="112"/>
      <c r="D172" s="126"/>
      <c r="E172" s="248"/>
      <c r="F172" s="140"/>
      <c r="G172" s="116"/>
      <c r="H172" s="118"/>
      <c r="I172" s="118"/>
      <c r="J172" s="117"/>
    </row>
    <row r="173" spans="1:10" s="19" customFormat="1" ht="104.25" customHeight="1" hidden="1">
      <c r="A173" s="112"/>
      <c r="B173" s="112"/>
      <c r="C173" s="112"/>
      <c r="D173" s="126"/>
      <c r="E173" s="140"/>
      <c r="F173" s="119"/>
      <c r="G173" s="116"/>
      <c r="H173" s="118"/>
      <c r="I173" s="120"/>
      <c r="J173" s="117"/>
    </row>
    <row r="174" spans="1:10" s="19" customFormat="1" ht="73.5" customHeight="1">
      <c r="A174" s="105" t="s">
        <v>291</v>
      </c>
      <c r="B174" s="105" t="s">
        <v>283</v>
      </c>
      <c r="C174" s="104" t="s">
        <v>281</v>
      </c>
      <c r="D174" s="150" t="s">
        <v>292</v>
      </c>
      <c r="E174" s="140" t="s">
        <v>12</v>
      </c>
      <c r="F174" s="107" t="s">
        <v>354</v>
      </c>
      <c r="G174" s="116">
        <f aca="true" t="shared" si="6" ref="G174:G180">H174+I174</f>
        <v>2000000</v>
      </c>
      <c r="H174" s="118">
        <v>2000000</v>
      </c>
      <c r="I174" s="110">
        <v>0</v>
      </c>
      <c r="J174" s="117">
        <f aca="true" t="shared" si="7" ref="J174:J180">I174</f>
        <v>0</v>
      </c>
    </row>
    <row r="175" spans="1:10" s="19" customFormat="1" ht="73.5" customHeight="1">
      <c r="A175" s="104" t="s">
        <v>370</v>
      </c>
      <c r="B175" s="112">
        <v>7130</v>
      </c>
      <c r="C175" s="112" t="s">
        <v>131</v>
      </c>
      <c r="D175" s="126" t="s">
        <v>184</v>
      </c>
      <c r="E175" s="140" t="s">
        <v>314</v>
      </c>
      <c r="F175" s="107" t="s">
        <v>337</v>
      </c>
      <c r="G175" s="116">
        <f t="shared" si="6"/>
        <v>49900</v>
      </c>
      <c r="H175" s="118">
        <v>49900</v>
      </c>
      <c r="I175" s="110">
        <v>0</v>
      </c>
      <c r="J175" s="117">
        <f t="shared" si="7"/>
        <v>0</v>
      </c>
    </row>
    <row r="176" spans="1:10" s="19" customFormat="1" ht="146.25" customHeight="1" hidden="1">
      <c r="A176" s="105">
        <v>1517310</v>
      </c>
      <c r="B176" s="105">
        <v>7310</v>
      </c>
      <c r="C176" s="104" t="s">
        <v>134</v>
      </c>
      <c r="D176" s="150" t="s">
        <v>301</v>
      </c>
      <c r="E176" s="104" t="s">
        <v>329</v>
      </c>
      <c r="F176" s="107" t="s">
        <v>352</v>
      </c>
      <c r="G176" s="116">
        <f t="shared" si="6"/>
        <v>0</v>
      </c>
      <c r="H176" s="109">
        <v>0</v>
      </c>
      <c r="I176" s="110">
        <f>2000000-2000000</f>
        <v>0</v>
      </c>
      <c r="J176" s="117">
        <f t="shared" si="7"/>
        <v>0</v>
      </c>
    </row>
    <row r="177" spans="1:10" s="125" customFormat="1" ht="82.5" customHeight="1">
      <c r="A177" s="105">
        <v>1517310</v>
      </c>
      <c r="B177" s="105">
        <v>7310</v>
      </c>
      <c r="C177" s="104" t="s">
        <v>134</v>
      </c>
      <c r="D177" s="150" t="s">
        <v>239</v>
      </c>
      <c r="E177" s="107" t="s">
        <v>23</v>
      </c>
      <c r="F177" s="107" t="s">
        <v>397</v>
      </c>
      <c r="G177" s="116">
        <f t="shared" si="6"/>
        <v>99900</v>
      </c>
      <c r="H177" s="109">
        <v>0</v>
      </c>
      <c r="I177" s="110">
        <f>99900+100000-100000</f>
        <v>99900</v>
      </c>
      <c r="J177" s="117">
        <f t="shared" si="7"/>
        <v>99900</v>
      </c>
    </row>
    <row r="178" spans="1:10" s="19" customFormat="1" ht="72.75" customHeight="1">
      <c r="A178" s="105" t="s">
        <v>54</v>
      </c>
      <c r="B178" s="105" t="s">
        <v>55</v>
      </c>
      <c r="C178" s="104" t="s">
        <v>134</v>
      </c>
      <c r="D178" s="213" t="s">
        <v>237</v>
      </c>
      <c r="E178" s="107" t="s">
        <v>23</v>
      </c>
      <c r="F178" s="107" t="s">
        <v>397</v>
      </c>
      <c r="G178" s="116">
        <f t="shared" si="6"/>
        <v>3250000</v>
      </c>
      <c r="H178" s="109">
        <v>0</v>
      </c>
      <c r="I178" s="110">
        <v>3250000</v>
      </c>
      <c r="J178" s="117">
        <f t="shared" si="7"/>
        <v>3250000</v>
      </c>
    </row>
    <row r="179" spans="1:10" s="125" customFormat="1" ht="78.75" customHeight="1">
      <c r="A179" s="105" t="s">
        <v>289</v>
      </c>
      <c r="B179" s="105" t="s">
        <v>290</v>
      </c>
      <c r="C179" s="104" t="s">
        <v>134</v>
      </c>
      <c r="D179" s="213" t="s">
        <v>238</v>
      </c>
      <c r="E179" s="107" t="s">
        <v>23</v>
      </c>
      <c r="F179" s="107" t="s">
        <v>397</v>
      </c>
      <c r="G179" s="116">
        <f t="shared" si="6"/>
        <v>2650000</v>
      </c>
      <c r="H179" s="109">
        <v>0</v>
      </c>
      <c r="I179" s="110">
        <v>2650000</v>
      </c>
      <c r="J179" s="117">
        <f t="shared" si="7"/>
        <v>2650000</v>
      </c>
    </row>
    <row r="180" spans="1:10" s="125" customFormat="1" ht="81" customHeight="1">
      <c r="A180" s="105">
        <v>1517323</v>
      </c>
      <c r="B180" s="105">
        <v>7323</v>
      </c>
      <c r="C180" s="104" t="s">
        <v>134</v>
      </c>
      <c r="D180" s="150" t="s">
        <v>21</v>
      </c>
      <c r="E180" s="107" t="s">
        <v>23</v>
      </c>
      <c r="F180" s="107" t="s">
        <v>397</v>
      </c>
      <c r="G180" s="116">
        <f t="shared" si="6"/>
        <v>49900</v>
      </c>
      <c r="H180" s="109">
        <v>0</v>
      </c>
      <c r="I180" s="110">
        <v>49900</v>
      </c>
      <c r="J180" s="117">
        <f t="shared" si="7"/>
        <v>49900</v>
      </c>
    </row>
    <row r="181" spans="1:10" s="19" customFormat="1" ht="87" customHeight="1" hidden="1">
      <c r="A181" s="122"/>
      <c r="B181" s="122"/>
      <c r="C181" s="122"/>
      <c r="D181" s="145"/>
      <c r="E181" s="107"/>
      <c r="F181" s="115"/>
      <c r="G181" s="116"/>
      <c r="H181" s="109"/>
      <c r="I181" s="117"/>
      <c r="J181" s="117"/>
    </row>
    <row r="182" spans="1:10" s="83" customFormat="1" ht="95.25" customHeight="1" hidden="1">
      <c r="A182" s="249"/>
      <c r="B182" s="250"/>
      <c r="C182" s="250"/>
      <c r="D182" s="201"/>
      <c r="E182" s="222"/>
      <c r="F182" s="222"/>
      <c r="G182" s="251"/>
      <c r="H182" s="252"/>
      <c r="I182" s="234"/>
      <c r="J182" s="234"/>
    </row>
    <row r="183" spans="1:10" s="93" customFormat="1" ht="84" customHeight="1">
      <c r="A183" s="105">
        <v>1517325</v>
      </c>
      <c r="B183" s="105">
        <v>7325</v>
      </c>
      <c r="C183" s="104" t="s">
        <v>134</v>
      </c>
      <c r="D183" s="150" t="s">
        <v>21</v>
      </c>
      <c r="E183" s="107" t="s">
        <v>23</v>
      </c>
      <c r="F183" s="107" t="s">
        <v>397</v>
      </c>
      <c r="G183" s="116">
        <f>H183+I183</f>
        <v>50000</v>
      </c>
      <c r="H183" s="109">
        <v>0</v>
      </c>
      <c r="I183" s="110">
        <v>50000</v>
      </c>
      <c r="J183" s="117">
        <f>I183</f>
        <v>50000</v>
      </c>
    </row>
    <row r="184" spans="1:10" s="35" customFormat="1" ht="97.5" customHeight="1">
      <c r="A184" s="105" t="s">
        <v>302</v>
      </c>
      <c r="B184" s="104" t="s">
        <v>22</v>
      </c>
      <c r="C184" s="104" t="s">
        <v>134</v>
      </c>
      <c r="D184" s="150" t="s">
        <v>21</v>
      </c>
      <c r="E184" s="107" t="s">
        <v>23</v>
      </c>
      <c r="F184" s="107" t="s">
        <v>397</v>
      </c>
      <c r="G184" s="116">
        <f>H184+I184</f>
        <v>10769276</v>
      </c>
      <c r="H184" s="109">
        <v>0</v>
      </c>
      <c r="I184" s="110">
        <f>1812955+I185+117050</f>
        <v>10769276</v>
      </c>
      <c r="J184" s="110">
        <f>1812955+117050</f>
        <v>1930005</v>
      </c>
    </row>
    <row r="185" spans="1:10" s="230" customFormat="1" ht="102" customHeight="1">
      <c r="A185" s="226"/>
      <c r="B185" s="226"/>
      <c r="C185" s="226"/>
      <c r="D185" s="220" t="s">
        <v>392</v>
      </c>
      <c r="E185" s="221"/>
      <c r="F185" s="222"/>
      <c r="G185" s="227">
        <f>H185+I185</f>
        <v>8839271</v>
      </c>
      <c r="H185" s="228">
        <v>0</v>
      </c>
      <c r="I185" s="229">
        <v>8839271</v>
      </c>
      <c r="J185" s="229">
        <v>0</v>
      </c>
    </row>
    <row r="186" spans="1:10" s="53" customFormat="1" ht="96" customHeight="1" hidden="1">
      <c r="A186" s="105"/>
      <c r="B186" s="150"/>
      <c r="C186" s="200"/>
      <c r="D186" s="106"/>
      <c r="E186" s="143"/>
      <c r="F186" s="253"/>
      <c r="G186" s="148"/>
      <c r="H186" s="149"/>
      <c r="I186" s="149"/>
      <c r="J186" s="117"/>
    </row>
    <row r="187" spans="1:10" s="47" customFormat="1" ht="192.75" customHeight="1" hidden="1">
      <c r="A187" s="244"/>
      <c r="B187" s="245"/>
      <c r="C187" s="245"/>
      <c r="D187" s="246"/>
      <c r="E187" s="221"/>
      <c r="F187" s="222"/>
      <c r="G187" s="251"/>
      <c r="H187" s="252"/>
      <c r="I187" s="234"/>
      <c r="J187" s="117"/>
    </row>
    <row r="188" spans="1:10" s="19" customFormat="1" ht="97.5" customHeight="1">
      <c r="A188" s="105">
        <v>1517461</v>
      </c>
      <c r="B188" s="105">
        <v>7461</v>
      </c>
      <c r="C188" s="104" t="s">
        <v>132</v>
      </c>
      <c r="D188" s="106" t="s">
        <v>86</v>
      </c>
      <c r="E188" s="104" t="s">
        <v>314</v>
      </c>
      <c r="F188" s="107" t="s">
        <v>337</v>
      </c>
      <c r="G188" s="116">
        <f aca="true" t="shared" si="8" ref="G188:G198">H188+I188</f>
        <v>54600000</v>
      </c>
      <c r="H188" s="121">
        <f>45000000-1000000+5000000+5000000</f>
        <v>54000000</v>
      </c>
      <c r="I188" s="110">
        <v>600000</v>
      </c>
      <c r="J188" s="117">
        <v>600000</v>
      </c>
    </row>
    <row r="189" spans="1:10" s="19" customFormat="1" ht="126.75" customHeight="1">
      <c r="A189" s="168" t="s">
        <v>100</v>
      </c>
      <c r="B189" s="112" t="s">
        <v>101</v>
      </c>
      <c r="C189" s="114" t="s">
        <v>102</v>
      </c>
      <c r="D189" s="126" t="s">
        <v>103</v>
      </c>
      <c r="E189" s="119" t="s">
        <v>332</v>
      </c>
      <c r="F189" s="107" t="s">
        <v>357</v>
      </c>
      <c r="G189" s="116">
        <f t="shared" si="8"/>
        <v>8500000</v>
      </c>
      <c r="H189" s="118">
        <v>8500000</v>
      </c>
      <c r="I189" s="117">
        <v>0</v>
      </c>
      <c r="J189" s="117">
        <f>I189</f>
        <v>0</v>
      </c>
    </row>
    <row r="190" spans="1:10" s="19" customFormat="1" ht="42" customHeight="1" hidden="1">
      <c r="A190" s="112"/>
      <c r="B190" s="112"/>
      <c r="C190" s="114"/>
      <c r="D190" s="126"/>
      <c r="E190" s="320"/>
      <c r="F190" s="318"/>
      <c r="G190" s="116"/>
      <c r="H190" s="118"/>
      <c r="I190" s="117"/>
      <c r="J190" s="117"/>
    </row>
    <row r="191" spans="1:10" s="50" customFormat="1" ht="83.25" customHeight="1" hidden="1">
      <c r="A191" s="249"/>
      <c r="B191" s="250"/>
      <c r="C191" s="249"/>
      <c r="D191" s="254"/>
      <c r="E191" s="320"/>
      <c r="F191" s="318"/>
      <c r="G191" s="251"/>
      <c r="H191" s="252"/>
      <c r="I191" s="234"/>
      <c r="J191" s="234"/>
    </row>
    <row r="192" spans="1:10" s="27" customFormat="1" ht="111" customHeight="1" hidden="1">
      <c r="A192" s="122"/>
      <c r="B192" s="122"/>
      <c r="C192" s="122"/>
      <c r="D192" s="126"/>
      <c r="E192" s="119"/>
      <c r="F192" s="255"/>
      <c r="G192" s="116"/>
      <c r="H192" s="118"/>
      <c r="I192" s="117"/>
      <c r="J192" s="117"/>
    </row>
    <row r="193" spans="1:10" s="19" customFormat="1" ht="137.25" customHeight="1" hidden="1">
      <c r="A193" s="112"/>
      <c r="B193" s="112"/>
      <c r="C193" s="112"/>
      <c r="D193" s="126"/>
      <c r="E193" s="140"/>
      <c r="F193" s="119"/>
      <c r="G193" s="116"/>
      <c r="H193" s="118"/>
      <c r="I193" s="117"/>
      <c r="J193" s="117"/>
    </row>
    <row r="194" spans="1:10" s="19" customFormat="1" ht="132" customHeight="1">
      <c r="A194" s="112">
        <v>1517670</v>
      </c>
      <c r="B194" s="112">
        <v>7670</v>
      </c>
      <c r="C194" s="112" t="s">
        <v>123</v>
      </c>
      <c r="D194" s="126" t="s">
        <v>148</v>
      </c>
      <c r="E194" s="107" t="s">
        <v>10</v>
      </c>
      <c r="F194" s="107" t="s">
        <v>345</v>
      </c>
      <c r="G194" s="116">
        <f t="shared" si="8"/>
        <v>3178000</v>
      </c>
      <c r="H194" s="118">
        <v>0</v>
      </c>
      <c r="I194" s="117">
        <f>7000000-3822000</f>
        <v>3178000</v>
      </c>
      <c r="J194" s="117">
        <f aca="true" t="shared" si="9" ref="J194:J202">I194</f>
        <v>3178000</v>
      </c>
    </row>
    <row r="195" spans="1:10" s="19" customFormat="1" ht="121.5" customHeight="1" hidden="1">
      <c r="A195" s="112">
        <v>1517670</v>
      </c>
      <c r="B195" s="112">
        <v>7670</v>
      </c>
      <c r="C195" s="112" t="s">
        <v>123</v>
      </c>
      <c r="D195" s="126" t="s">
        <v>148</v>
      </c>
      <c r="E195" s="143" t="s">
        <v>2</v>
      </c>
      <c r="F195" s="107" t="s">
        <v>342</v>
      </c>
      <c r="G195" s="116">
        <f t="shared" si="8"/>
        <v>0</v>
      </c>
      <c r="H195" s="118">
        <v>0</v>
      </c>
      <c r="I195" s="117">
        <f>20000000-5000000-15000000</f>
        <v>0</v>
      </c>
      <c r="J195" s="117">
        <f t="shared" si="9"/>
        <v>0</v>
      </c>
    </row>
    <row r="196" spans="1:10" s="19" customFormat="1" ht="123.75" customHeight="1">
      <c r="A196" s="112">
        <v>1517670</v>
      </c>
      <c r="B196" s="112">
        <v>7670</v>
      </c>
      <c r="C196" s="112" t="s">
        <v>123</v>
      </c>
      <c r="D196" s="126" t="s">
        <v>148</v>
      </c>
      <c r="E196" s="140" t="s">
        <v>4</v>
      </c>
      <c r="F196" s="107" t="s">
        <v>401</v>
      </c>
      <c r="G196" s="116">
        <f>H196+I196</f>
        <v>65000000</v>
      </c>
      <c r="H196" s="118">
        <v>0</v>
      </c>
      <c r="I196" s="117">
        <f>25000000+5000000+15000000+15000000+5000000</f>
        <v>65000000</v>
      </c>
      <c r="J196" s="117">
        <f t="shared" si="9"/>
        <v>65000000</v>
      </c>
    </row>
    <row r="197" spans="1:10" s="19" customFormat="1" ht="165.75" customHeight="1">
      <c r="A197" s="112">
        <v>1517670</v>
      </c>
      <c r="B197" s="112">
        <v>7670</v>
      </c>
      <c r="C197" s="112" t="s">
        <v>123</v>
      </c>
      <c r="D197" s="126" t="s">
        <v>148</v>
      </c>
      <c r="E197" s="119" t="s">
        <v>5</v>
      </c>
      <c r="F197" s="107" t="s">
        <v>343</v>
      </c>
      <c r="G197" s="116">
        <f t="shared" si="8"/>
        <v>20000000</v>
      </c>
      <c r="H197" s="120">
        <v>0</v>
      </c>
      <c r="I197" s="121">
        <v>20000000</v>
      </c>
      <c r="J197" s="121">
        <f t="shared" si="9"/>
        <v>20000000</v>
      </c>
    </row>
    <row r="198" spans="1:10" s="19" customFormat="1" ht="140.25" customHeight="1">
      <c r="A198" s="112">
        <v>1517670</v>
      </c>
      <c r="B198" s="112">
        <v>7670</v>
      </c>
      <c r="C198" s="112" t="s">
        <v>123</v>
      </c>
      <c r="D198" s="126" t="s">
        <v>148</v>
      </c>
      <c r="E198" s="119" t="s">
        <v>404</v>
      </c>
      <c r="F198" s="107" t="s">
        <v>375</v>
      </c>
      <c r="G198" s="116">
        <f t="shared" si="8"/>
        <v>200000</v>
      </c>
      <c r="H198" s="118">
        <v>0</v>
      </c>
      <c r="I198" s="117">
        <f>50000+150000</f>
        <v>200000</v>
      </c>
      <c r="J198" s="121">
        <f t="shared" si="9"/>
        <v>200000</v>
      </c>
    </row>
    <row r="199" spans="1:10" s="19" customFormat="1" ht="141.75" customHeight="1">
      <c r="A199" s="112">
        <v>1517670</v>
      </c>
      <c r="B199" s="112">
        <v>7670</v>
      </c>
      <c r="C199" s="112" t="s">
        <v>123</v>
      </c>
      <c r="D199" s="126" t="s">
        <v>148</v>
      </c>
      <c r="E199" s="107" t="s">
        <v>405</v>
      </c>
      <c r="F199" s="107" t="s">
        <v>406</v>
      </c>
      <c r="G199" s="116">
        <f>H199+I199</f>
        <v>3600000</v>
      </c>
      <c r="H199" s="118">
        <v>0</v>
      </c>
      <c r="I199" s="117">
        <v>3600000</v>
      </c>
      <c r="J199" s="117">
        <f t="shared" si="9"/>
        <v>3600000</v>
      </c>
    </row>
    <row r="200" spans="1:10" s="19" customFormat="1" ht="103.5" customHeight="1">
      <c r="A200" s="112">
        <v>1517670</v>
      </c>
      <c r="B200" s="112">
        <v>7670</v>
      </c>
      <c r="C200" s="112" t="s">
        <v>123</v>
      </c>
      <c r="D200" s="126" t="s">
        <v>148</v>
      </c>
      <c r="E200" s="140" t="s">
        <v>3</v>
      </c>
      <c r="F200" s="107" t="s">
        <v>400</v>
      </c>
      <c r="G200" s="116">
        <f>H200+I200</f>
        <v>3000000</v>
      </c>
      <c r="H200" s="118">
        <v>0</v>
      </c>
      <c r="I200" s="117">
        <f>20000000-17000000</f>
        <v>3000000</v>
      </c>
      <c r="J200" s="117">
        <f t="shared" si="9"/>
        <v>3000000</v>
      </c>
    </row>
    <row r="201" spans="1:10" s="19" customFormat="1" ht="93.75" customHeight="1" hidden="1">
      <c r="A201" s="112">
        <v>1517670</v>
      </c>
      <c r="B201" s="112">
        <v>7670</v>
      </c>
      <c r="C201" s="112" t="s">
        <v>123</v>
      </c>
      <c r="D201" s="126" t="s">
        <v>148</v>
      </c>
      <c r="E201" s="140" t="s">
        <v>374</v>
      </c>
      <c r="F201" s="107" t="s">
        <v>344</v>
      </c>
      <c r="G201" s="116">
        <f>H201+I201</f>
        <v>0</v>
      </c>
      <c r="H201" s="118">
        <v>0</v>
      </c>
      <c r="I201" s="117">
        <f>3000000-3000000</f>
        <v>0</v>
      </c>
      <c r="J201" s="117">
        <f t="shared" si="9"/>
        <v>0</v>
      </c>
    </row>
    <row r="202" spans="1:10" s="19" customFormat="1" ht="100.5" customHeight="1">
      <c r="A202" s="113">
        <v>1518230</v>
      </c>
      <c r="B202" s="113" t="s">
        <v>383</v>
      </c>
      <c r="C202" s="112" t="s">
        <v>384</v>
      </c>
      <c r="D202" s="218" t="s">
        <v>385</v>
      </c>
      <c r="E202" s="180" t="s">
        <v>386</v>
      </c>
      <c r="F202" s="106" t="s">
        <v>373</v>
      </c>
      <c r="G202" s="116">
        <f>H202+I202</f>
        <v>2700000</v>
      </c>
      <c r="H202" s="118">
        <v>0</v>
      </c>
      <c r="I202" s="117">
        <f>3000000-300000</f>
        <v>2700000</v>
      </c>
      <c r="J202" s="117">
        <f t="shared" si="9"/>
        <v>2700000</v>
      </c>
    </row>
    <row r="203" spans="1:10" s="19" customFormat="1" ht="64.5" customHeight="1" hidden="1">
      <c r="A203" s="113"/>
      <c r="B203" s="113"/>
      <c r="C203" s="114"/>
      <c r="D203" s="126"/>
      <c r="E203" s="119"/>
      <c r="F203" s="248"/>
      <c r="G203" s="116"/>
      <c r="H203" s="149"/>
      <c r="I203" s="256"/>
      <c r="J203" s="117"/>
    </row>
    <row r="204" spans="1:10" s="19" customFormat="1" ht="64.5" customHeight="1" hidden="1">
      <c r="A204" s="113"/>
      <c r="B204" s="113"/>
      <c r="C204" s="114"/>
      <c r="D204" s="126"/>
      <c r="E204" s="140"/>
      <c r="F204" s="119"/>
      <c r="G204" s="116"/>
      <c r="H204" s="118"/>
      <c r="I204" s="117"/>
      <c r="J204" s="117"/>
    </row>
    <row r="205" spans="1:10" s="19" customFormat="1" ht="64.5" customHeight="1" hidden="1">
      <c r="A205" s="113"/>
      <c r="B205" s="113"/>
      <c r="C205" s="114"/>
      <c r="D205" s="126"/>
      <c r="E205" s="119"/>
      <c r="F205" s="143"/>
      <c r="G205" s="116"/>
      <c r="H205" s="149"/>
      <c r="I205" s="153"/>
      <c r="J205" s="117"/>
    </row>
    <row r="206" spans="1:10" s="19" customFormat="1" ht="64.5" customHeight="1" hidden="1">
      <c r="A206" s="113"/>
      <c r="B206" s="113"/>
      <c r="C206" s="114"/>
      <c r="D206" s="126"/>
      <c r="E206" s="104"/>
      <c r="F206" s="115"/>
      <c r="G206" s="116"/>
      <c r="H206" s="149"/>
      <c r="I206" s="153"/>
      <c r="J206" s="117"/>
    </row>
    <row r="207" spans="1:10" s="19" customFormat="1" ht="64.5" customHeight="1" hidden="1">
      <c r="A207" s="113"/>
      <c r="B207" s="113"/>
      <c r="C207" s="114"/>
      <c r="D207" s="126"/>
      <c r="E207" s="107"/>
      <c r="F207" s="106"/>
      <c r="G207" s="116"/>
      <c r="H207" s="149"/>
      <c r="I207" s="153"/>
      <c r="J207" s="117"/>
    </row>
    <row r="208" spans="1:10" s="93" customFormat="1" ht="64.5" customHeight="1" hidden="1">
      <c r="A208" s="257"/>
      <c r="B208" s="113"/>
      <c r="C208" s="114"/>
      <c r="D208" s="196"/>
      <c r="E208" s="119"/>
      <c r="F208" s="140"/>
      <c r="G208" s="116"/>
      <c r="H208" s="149"/>
      <c r="I208" s="153"/>
      <c r="J208" s="117"/>
    </row>
    <row r="209" spans="1:10" s="93" customFormat="1" ht="64.5" customHeight="1" hidden="1">
      <c r="A209" s="257"/>
      <c r="B209" s="113"/>
      <c r="C209" s="114"/>
      <c r="D209" s="126"/>
      <c r="E209" s="119"/>
      <c r="F209" s="119"/>
      <c r="G209" s="116"/>
      <c r="H209" s="149"/>
      <c r="I209" s="153"/>
      <c r="J209" s="117"/>
    </row>
    <row r="210" spans="1:10" s="93" customFormat="1" ht="64.5" customHeight="1" hidden="1">
      <c r="A210" s="257"/>
      <c r="B210" s="113"/>
      <c r="C210" s="114"/>
      <c r="D210" s="126"/>
      <c r="E210" s="107"/>
      <c r="F210" s="106"/>
      <c r="G210" s="116"/>
      <c r="H210" s="149"/>
      <c r="I210" s="153"/>
      <c r="J210" s="117"/>
    </row>
    <row r="211" spans="1:10" s="41" customFormat="1" ht="64.5" customHeight="1">
      <c r="A211" s="161">
        <v>1600000</v>
      </c>
      <c r="B211" s="194"/>
      <c r="C211" s="194"/>
      <c r="D211" s="284" t="s">
        <v>414</v>
      </c>
      <c r="E211" s="285"/>
      <c r="F211" s="162" t="s">
        <v>200</v>
      </c>
      <c r="G211" s="158">
        <f>G212</f>
        <v>1160000</v>
      </c>
      <c r="H211" s="158">
        <f>H212</f>
        <v>826850</v>
      </c>
      <c r="I211" s="158">
        <f>I212</f>
        <v>333150</v>
      </c>
      <c r="J211" s="158">
        <f>J212</f>
        <v>333150</v>
      </c>
    </row>
    <row r="212" spans="1:10" s="41" customFormat="1" ht="49.5" customHeight="1">
      <c r="A212" s="133">
        <v>1610000</v>
      </c>
      <c r="B212" s="132"/>
      <c r="C212" s="132"/>
      <c r="D212" s="311" t="s">
        <v>414</v>
      </c>
      <c r="E212" s="312"/>
      <c r="F212" s="134" t="s">
        <v>200</v>
      </c>
      <c r="G212" s="136">
        <f>H212+I212</f>
        <v>1160000</v>
      </c>
      <c r="H212" s="136">
        <f>H213+H214</f>
        <v>826850</v>
      </c>
      <c r="I212" s="136">
        <f>I213+I214</f>
        <v>333150</v>
      </c>
      <c r="J212" s="136">
        <f>J213+J214</f>
        <v>333150</v>
      </c>
    </row>
    <row r="213" spans="1:10" s="125" customFormat="1" ht="102" customHeight="1">
      <c r="A213" s="122" t="s">
        <v>266</v>
      </c>
      <c r="B213" s="122" t="s">
        <v>133</v>
      </c>
      <c r="C213" s="122" t="s">
        <v>109</v>
      </c>
      <c r="D213" s="126" t="s">
        <v>243</v>
      </c>
      <c r="E213" s="107" t="s">
        <v>41</v>
      </c>
      <c r="F213" s="107" t="s">
        <v>403</v>
      </c>
      <c r="G213" s="108">
        <f>SUM(H213+I213)</f>
        <v>98000</v>
      </c>
      <c r="H213" s="109">
        <v>98000</v>
      </c>
      <c r="I213" s="117">
        <v>0</v>
      </c>
      <c r="J213" s="117">
        <v>0</v>
      </c>
    </row>
    <row r="214" spans="1:10" s="19" customFormat="1" ht="103.5" customHeight="1">
      <c r="A214" s="122" t="s">
        <v>226</v>
      </c>
      <c r="B214" s="122" t="s">
        <v>101</v>
      </c>
      <c r="C214" s="122" t="s">
        <v>102</v>
      </c>
      <c r="D214" s="126" t="s">
        <v>103</v>
      </c>
      <c r="E214" s="107" t="s">
        <v>39</v>
      </c>
      <c r="F214" s="107" t="s">
        <v>353</v>
      </c>
      <c r="G214" s="108">
        <f>SUM(H214+I214)</f>
        <v>1062000</v>
      </c>
      <c r="H214" s="109">
        <f>728850</f>
        <v>728850</v>
      </c>
      <c r="I214" s="117">
        <f>333150</f>
        <v>333150</v>
      </c>
      <c r="J214" s="117">
        <f>I214</f>
        <v>333150</v>
      </c>
    </row>
    <row r="215" spans="1:10" s="197" customFormat="1" ht="60.75" customHeight="1">
      <c r="A215" s="194" t="s">
        <v>267</v>
      </c>
      <c r="B215" s="161"/>
      <c r="C215" s="161"/>
      <c r="D215" s="327" t="s">
        <v>415</v>
      </c>
      <c r="E215" s="328"/>
      <c r="F215" s="162" t="s">
        <v>200</v>
      </c>
      <c r="G215" s="131">
        <f>G216</f>
        <v>98000</v>
      </c>
      <c r="H215" s="131">
        <f>H216</f>
        <v>98000</v>
      </c>
      <c r="I215" s="131">
        <f>I216</f>
        <v>0</v>
      </c>
      <c r="J215" s="131">
        <f>J216</f>
        <v>0</v>
      </c>
    </row>
    <row r="216" spans="1:10" s="124" customFormat="1" ht="61.5" customHeight="1">
      <c r="A216" s="132" t="s">
        <v>268</v>
      </c>
      <c r="B216" s="133"/>
      <c r="C216" s="133"/>
      <c r="D216" s="313" t="s">
        <v>415</v>
      </c>
      <c r="E216" s="314"/>
      <c r="F216" s="134" t="s">
        <v>200</v>
      </c>
      <c r="G216" s="135">
        <f>H216+I216</f>
        <v>98000</v>
      </c>
      <c r="H216" s="135">
        <f>H217</f>
        <v>98000</v>
      </c>
      <c r="I216" s="135">
        <f>I217</f>
        <v>0</v>
      </c>
      <c r="J216" s="135">
        <f>J217</f>
        <v>0</v>
      </c>
    </row>
    <row r="217" spans="1:10" s="124" customFormat="1" ht="90.75">
      <c r="A217" s="114" t="s">
        <v>269</v>
      </c>
      <c r="B217" s="114" t="s">
        <v>133</v>
      </c>
      <c r="C217" s="114" t="s">
        <v>109</v>
      </c>
      <c r="D217" s="126" t="s">
        <v>243</v>
      </c>
      <c r="E217" s="107" t="s">
        <v>41</v>
      </c>
      <c r="F217" s="107" t="s">
        <v>403</v>
      </c>
      <c r="G217" s="108">
        <f>SUM(H217+I217)</f>
        <v>98000</v>
      </c>
      <c r="H217" s="109">
        <v>98000</v>
      </c>
      <c r="I217" s="110">
        <v>0</v>
      </c>
      <c r="J217" s="117">
        <v>0</v>
      </c>
    </row>
    <row r="218" spans="1:10" s="41" customFormat="1" ht="53.25" customHeight="1">
      <c r="A218" s="161" t="s">
        <v>182</v>
      </c>
      <c r="B218" s="194"/>
      <c r="C218" s="194"/>
      <c r="D218" s="284" t="s">
        <v>416</v>
      </c>
      <c r="E218" s="285"/>
      <c r="F218" s="162" t="s">
        <v>200</v>
      </c>
      <c r="G218" s="158">
        <f>G219</f>
        <v>90114850</v>
      </c>
      <c r="H218" s="158">
        <f>H219</f>
        <v>82869350</v>
      </c>
      <c r="I218" s="158">
        <f>I219</f>
        <v>7245500</v>
      </c>
      <c r="J218" s="158">
        <f>J219</f>
        <v>7240000</v>
      </c>
    </row>
    <row r="219" spans="1:10" s="19" customFormat="1" ht="51.75" customHeight="1">
      <c r="A219" s="133" t="s">
        <v>183</v>
      </c>
      <c r="B219" s="132"/>
      <c r="C219" s="132"/>
      <c r="D219" s="311" t="s">
        <v>416</v>
      </c>
      <c r="E219" s="312"/>
      <c r="F219" s="134" t="s">
        <v>200</v>
      </c>
      <c r="G219" s="136">
        <f>H219+I219</f>
        <v>90114850</v>
      </c>
      <c r="H219" s="136">
        <f>SUM(H220+H221+H224+H225+H226+H222)</f>
        <v>82869350</v>
      </c>
      <c r="I219" s="136">
        <f>SUM(I220+I221+I224+I225+I226+I222)</f>
        <v>7245500</v>
      </c>
      <c r="J219" s="136">
        <f>SUM(J220+J221+J224+J225+J226+J222)</f>
        <v>7240000</v>
      </c>
    </row>
    <row r="220" spans="1:10" s="125" customFormat="1" ht="100.5" customHeight="1">
      <c r="A220" s="122" t="s">
        <v>270</v>
      </c>
      <c r="B220" s="122" t="s">
        <v>133</v>
      </c>
      <c r="C220" s="122" t="s">
        <v>109</v>
      </c>
      <c r="D220" s="126" t="s">
        <v>243</v>
      </c>
      <c r="E220" s="107" t="s">
        <v>41</v>
      </c>
      <c r="F220" s="107" t="s">
        <v>403</v>
      </c>
      <c r="G220" s="108">
        <f>SUM(H220+I220)</f>
        <v>292000</v>
      </c>
      <c r="H220" s="109">
        <f>244000+48000</f>
        <v>292000</v>
      </c>
      <c r="I220" s="117">
        <v>0</v>
      </c>
      <c r="J220" s="117">
        <v>0</v>
      </c>
    </row>
    <row r="221" spans="1:10" s="19" customFormat="1" ht="100.5" customHeight="1">
      <c r="A221" s="112">
        <v>1917413</v>
      </c>
      <c r="B221" s="112">
        <v>7413</v>
      </c>
      <c r="C221" s="112" t="s">
        <v>138</v>
      </c>
      <c r="D221" s="126" t="s">
        <v>287</v>
      </c>
      <c r="E221" s="119" t="s">
        <v>14</v>
      </c>
      <c r="F221" s="107" t="s">
        <v>402</v>
      </c>
      <c r="G221" s="108">
        <f>SUM(H221+I221)</f>
        <v>2437500</v>
      </c>
      <c r="H221" s="118">
        <f>2100+189900</f>
        <v>192000</v>
      </c>
      <c r="I221" s="110">
        <f>5500+2240000</f>
        <v>2245500</v>
      </c>
      <c r="J221" s="110">
        <v>2240000</v>
      </c>
    </row>
    <row r="222" spans="1:10" s="19" customFormat="1" ht="90.75" customHeight="1" hidden="1">
      <c r="A222" s="127"/>
      <c r="B222" s="127"/>
      <c r="C222" s="127"/>
      <c r="D222" s="115"/>
      <c r="E222" s="107"/>
      <c r="F222" s="115"/>
      <c r="G222" s="108"/>
      <c r="H222" s="118"/>
      <c r="I222" s="117"/>
      <c r="J222" s="117"/>
    </row>
    <row r="223" spans="1:10" s="83" customFormat="1" ht="95.25" customHeight="1" hidden="1">
      <c r="A223" s="249"/>
      <c r="B223" s="250"/>
      <c r="C223" s="250"/>
      <c r="D223" s="201"/>
      <c r="E223" s="222"/>
      <c r="F223" s="222"/>
      <c r="G223" s="251"/>
      <c r="H223" s="252"/>
      <c r="I223" s="234"/>
      <c r="J223" s="234"/>
    </row>
    <row r="224" spans="1:10" s="19" customFormat="1" ht="102" customHeight="1">
      <c r="A224" s="112" t="s">
        <v>294</v>
      </c>
      <c r="B224" s="112" t="s">
        <v>295</v>
      </c>
      <c r="C224" s="112" t="s">
        <v>241</v>
      </c>
      <c r="D224" s="126" t="s">
        <v>137</v>
      </c>
      <c r="E224" s="119" t="s">
        <v>15</v>
      </c>
      <c r="F224" s="107" t="s">
        <v>347</v>
      </c>
      <c r="G224" s="108">
        <f>SUM(H224+I224)</f>
        <v>82385350</v>
      </c>
      <c r="H224" s="118">
        <v>82385350</v>
      </c>
      <c r="I224" s="110">
        <v>0</v>
      </c>
      <c r="J224" s="117">
        <f>I224</f>
        <v>0</v>
      </c>
    </row>
    <row r="225" spans="1:10" s="19" customFormat="1" ht="119.25" customHeight="1" hidden="1">
      <c r="A225" s="258"/>
      <c r="B225" s="258"/>
      <c r="C225" s="258"/>
      <c r="D225" s="259"/>
      <c r="E225" s="260"/>
      <c r="F225" s="260"/>
      <c r="G225" s="261"/>
      <c r="H225" s="118"/>
      <c r="I225" s="110"/>
      <c r="J225" s="117"/>
    </row>
    <row r="226" spans="1:10" s="19" customFormat="1" ht="132" customHeight="1">
      <c r="A226" s="112">
        <v>1917670</v>
      </c>
      <c r="B226" s="112">
        <v>7670</v>
      </c>
      <c r="C226" s="112" t="s">
        <v>123</v>
      </c>
      <c r="D226" s="126" t="s">
        <v>148</v>
      </c>
      <c r="E226" s="119" t="s">
        <v>8</v>
      </c>
      <c r="F226" s="107" t="s">
        <v>347</v>
      </c>
      <c r="G226" s="144">
        <f>SUM(H226+I226)</f>
        <v>5000000</v>
      </c>
      <c r="H226" s="118">
        <v>0</v>
      </c>
      <c r="I226" s="110">
        <v>5000000</v>
      </c>
      <c r="J226" s="110">
        <f>I226</f>
        <v>5000000</v>
      </c>
    </row>
    <row r="227" spans="1:10" s="41" customFormat="1" ht="45" customHeight="1">
      <c r="A227" s="161">
        <v>2700000</v>
      </c>
      <c r="B227" s="194"/>
      <c r="C227" s="194"/>
      <c r="D227" s="284" t="s">
        <v>417</v>
      </c>
      <c r="E227" s="285"/>
      <c r="F227" s="162" t="s">
        <v>200</v>
      </c>
      <c r="G227" s="158">
        <f>G228</f>
        <v>7396828</v>
      </c>
      <c r="H227" s="158">
        <f>H228</f>
        <v>7396828</v>
      </c>
      <c r="I227" s="158">
        <f>I228</f>
        <v>0</v>
      </c>
      <c r="J227" s="158">
        <f>J228</f>
        <v>0</v>
      </c>
    </row>
    <row r="228" spans="1:10" s="19" customFormat="1" ht="48" customHeight="1">
      <c r="A228" s="133">
        <v>2710000</v>
      </c>
      <c r="B228" s="132"/>
      <c r="C228" s="132"/>
      <c r="D228" s="311" t="s">
        <v>417</v>
      </c>
      <c r="E228" s="312"/>
      <c r="F228" s="134" t="s">
        <v>200</v>
      </c>
      <c r="G228" s="136">
        <f>H228+I228</f>
        <v>7396828</v>
      </c>
      <c r="H228" s="136">
        <f>SUM(H229+H230+H231+H232+H233)</f>
        <v>7396828</v>
      </c>
      <c r="I228" s="136">
        <f>SUM(I229+I230+I231+I232+I233)</f>
        <v>0</v>
      </c>
      <c r="J228" s="136">
        <f>SUM(J229+J230+J231+J232+J233)</f>
        <v>0</v>
      </c>
    </row>
    <row r="229" spans="1:10" s="125" customFormat="1" ht="90.75">
      <c r="A229" s="122" t="s">
        <v>271</v>
      </c>
      <c r="B229" s="122" t="s">
        <v>133</v>
      </c>
      <c r="C229" s="122" t="s">
        <v>109</v>
      </c>
      <c r="D229" s="126" t="s">
        <v>243</v>
      </c>
      <c r="E229" s="107" t="s">
        <v>41</v>
      </c>
      <c r="F229" s="107" t="s">
        <v>403</v>
      </c>
      <c r="G229" s="108">
        <f>SUM(H229+I229)</f>
        <v>297000</v>
      </c>
      <c r="H229" s="109">
        <v>297000</v>
      </c>
      <c r="I229" s="117">
        <v>0</v>
      </c>
      <c r="J229" s="117">
        <v>0</v>
      </c>
    </row>
    <row r="230" spans="1:10" s="19" customFormat="1" ht="102.75" customHeight="1" hidden="1">
      <c r="A230" s="112"/>
      <c r="B230" s="112"/>
      <c r="C230" s="114"/>
      <c r="D230" s="114"/>
      <c r="E230" s="119"/>
      <c r="F230" s="119"/>
      <c r="G230" s="108"/>
      <c r="H230" s="118"/>
      <c r="I230" s="110"/>
      <c r="J230" s="110"/>
    </row>
    <row r="231" spans="1:10" s="19" customFormat="1" ht="113.25" customHeight="1">
      <c r="A231" s="112" t="s">
        <v>296</v>
      </c>
      <c r="B231" s="112" t="s">
        <v>297</v>
      </c>
      <c r="C231" s="112" t="s">
        <v>139</v>
      </c>
      <c r="D231" s="126" t="s">
        <v>149</v>
      </c>
      <c r="E231" s="156" t="s">
        <v>35</v>
      </c>
      <c r="F231" s="107" t="s">
        <v>349</v>
      </c>
      <c r="G231" s="108">
        <f>SUM(H231+I231)</f>
        <v>51828</v>
      </c>
      <c r="H231" s="118">
        <f>51828</f>
        <v>51828</v>
      </c>
      <c r="I231" s="110">
        <v>0</v>
      </c>
      <c r="J231" s="110">
        <f>I231</f>
        <v>0</v>
      </c>
    </row>
    <row r="232" spans="1:10" s="18" customFormat="1" ht="108" customHeight="1">
      <c r="A232" s="127">
        <v>2717693</v>
      </c>
      <c r="B232" s="122" t="s">
        <v>285</v>
      </c>
      <c r="C232" s="122" t="s">
        <v>123</v>
      </c>
      <c r="D232" s="114" t="s">
        <v>286</v>
      </c>
      <c r="E232" s="262" t="s">
        <v>17</v>
      </c>
      <c r="F232" s="107" t="s">
        <v>348</v>
      </c>
      <c r="G232" s="108">
        <f>SUM(H232+I232)</f>
        <v>7000000</v>
      </c>
      <c r="H232" s="118">
        <v>7000000</v>
      </c>
      <c r="I232" s="110">
        <v>0</v>
      </c>
      <c r="J232" s="110">
        <f>I232</f>
        <v>0</v>
      </c>
    </row>
    <row r="233" spans="1:10" s="124" customFormat="1" ht="93" customHeight="1">
      <c r="A233" s="127">
        <v>2717693</v>
      </c>
      <c r="B233" s="122" t="s">
        <v>285</v>
      </c>
      <c r="C233" s="122" t="s">
        <v>123</v>
      </c>
      <c r="D233" s="114" t="s">
        <v>286</v>
      </c>
      <c r="E233" s="107" t="s">
        <v>23</v>
      </c>
      <c r="F233" s="107" t="s">
        <v>397</v>
      </c>
      <c r="G233" s="108">
        <f>SUM(H233+I233)</f>
        <v>48000</v>
      </c>
      <c r="H233" s="118">
        <v>48000</v>
      </c>
      <c r="I233" s="110">
        <v>0</v>
      </c>
      <c r="J233" s="110">
        <f>I233</f>
        <v>0</v>
      </c>
    </row>
    <row r="234" spans="1:10" s="94" customFormat="1" ht="45.75" customHeight="1">
      <c r="A234" s="161" t="s">
        <v>180</v>
      </c>
      <c r="B234" s="194"/>
      <c r="C234" s="194"/>
      <c r="D234" s="284" t="s">
        <v>418</v>
      </c>
      <c r="E234" s="285"/>
      <c r="F234" s="162" t="s">
        <v>200</v>
      </c>
      <c r="G234" s="158">
        <f>G235</f>
        <v>11795842.27</v>
      </c>
      <c r="H234" s="158">
        <f>H235</f>
        <v>397000</v>
      </c>
      <c r="I234" s="158">
        <f>I235</f>
        <v>11398842.27</v>
      </c>
      <c r="J234" s="158">
        <f>J235</f>
        <v>1152270</v>
      </c>
    </row>
    <row r="235" spans="1:10" s="18" customFormat="1" ht="51" customHeight="1">
      <c r="A235" s="133" t="s">
        <v>181</v>
      </c>
      <c r="B235" s="132"/>
      <c r="C235" s="132"/>
      <c r="D235" s="313" t="s">
        <v>418</v>
      </c>
      <c r="E235" s="314"/>
      <c r="F235" s="134" t="s">
        <v>200</v>
      </c>
      <c r="G235" s="136">
        <f>H235+I235</f>
        <v>11795842.27</v>
      </c>
      <c r="H235" s="136">
        <f>SUM(H236+H237+H238+H239)</f>
        <v>397000</v>
      </c>
      <c r="I235" s="136">
        <f>SUM(I236+I237+I238+I239)</f>
        <v>11398842.27</v>
      </c>
      <c r="J235" s="136">
        <f>SUM(J236+J237+J238+J239)</f>
        <v>1152270</v>
      </c>
    </row>
    <row r="236" spans="1:10" s="124" customFormat="1" ht="98.25" customHeight="1">
      <c r="A236" s="122" t="s">
        <v>272</v>
      </c>
      <c r="B236" s="122" t="s">
        <v>133</v>
      </c>
      <c r="C236" s="122" t="s">
        <v>109</v>
      </c>
      <c r="D236" s="126" t="s">
        <v>243</v>
      </c>
      <c r="E236" s="107" t="s">
        <v>41</v>
      </c>
      <c r="F236" s="107" t="s">
        <v>403</v>
      </c>
      <c r="G236" s="108">
        <f>SUM(H236+I236)</f>
        <v>397000</v>
      </c>
      <c r="H236" s="109">
        <v>397000</v>
      </c>
      <c r="I236" s="117">
        <v>0</v>
      </c>
      <c r="J236" s="117">
        <v>0</v>
      </c>
    </row>
    <row r="237" spans="1:10" s="18" customFormat="1" ht="105" customHeight="1">
      <c r="A237" s="122" t="s">
        <v>265</v>
      </c>
      <c r="B237" s="122" t="s">
        <v>264</v>
      </c>
      <c r="C237" s="112" t="s">
        <v>123</v>
      </c>
      <c r="D237" s="126" t="s">
        <v>148</v>
      </c>
      <c r="E237" s="180" t="s">
        <v>9</v>
      </c>
      <c r="F237" s="107" t="s">
        <v>341</v>
      </c>
      <c r="G237" s="108">
        <f>SUM(H237+I237)</f>
        <v>1152270</v>
      </c>
      <c r="H237" s="109">
        <v>0</v>
      </c>
      <c r="I237" s="117">
        <v>1152270</v>
      </c>
      <c r="J237" s="110">
        <f>I237</f>
        <v>1152270</v>
      </c>
    </row>
    <row r="238" spans="1:10" s="18" customFormat="1" ht="101.25" customHeight="1" hidden="1">
      <c r="A238" s="112"/>
      <c r="B238" s="112"/>
      <c r="C238" s="112"/>
      <c r="D238" s="106"/>
      <c r="E238" s="140"/>
      <c r="F238" s="107" t="s">
        <v>333</v>
      </c>
      <c r="G238" s="144"/>
      <c r="H238" s="120"/>
      <c r="I238" s="121"/>
      <c r="J238" s="121"/>
    </row>
    <row r="239" spans="1:10" s="18" customFormat="1" ht="84" customHeight="1">
      <c r="A239" s="112">
        <v>2818340</v>
      </c>
      <c r="B239" s="112">
        <v>8340</v>
      </c>
      <c r="C239" s="112" t="s">
        <v>136</v>
      </c>
      <c r="D239" s="106" t="s">
        <v>187</v>
      </c>
      <c r="E239" s="140" t="s">
        <v>391</v>
      </c>
      <c r="F239" s="107" t="s">
        <v>340</v>
      </c>
      <c r="G239" s="144">
        <f>SUM(H239+I239)</f>
        <v>10246572.27</v>
      </c>
      <c r="H239" s="120">
        <v>0</v>
      </c>
      <c r="I239" s="120">
        <f>8647500+1599073.08-0.81</f>
        <v>10246572.27</v>
      </c>
      <c r="J239" s="121">
        <v>0</v>
      </c>
    </row>
    <row r="240" spans="1:10" s="94" customFormat="1" ht="63.75" customHeight="1">
      <c r="A240" s="161" t="s">
        <v>273</v>
      </c>
      <c r="B240" s="194"/>
      <c r="C240" s="194"/>
      <c r="D240" s="284" t="s">
        <v>419</v>
      </c>
      <c r="E240" s="285"/>
      <c r="F240" s="162" t="s">
        <v>200</v>
      </c>
      <c r="G240" s="158">
        <f>G241</f>
        <v>4947000</v>
      </c>
      <c r="H240" s="158">
        <f>H241</f>
        <v>447000</v>
      </c>
      <c r="I240" s="158">
        <f>I241</f>
        <v>4500000</v>
      </c>
      <c r="J240" s="158">
        <f>J241</f>
        <v>4500000</v>
      </c>
    </row>
    <row r="241" spans="1:10" s="18" customFormat="1" ht="63" customHeight="1">
      <c r="A241" s="133">
        <v>2910000</v>
      </c>
      <c r="B241" s="132"/>
      <c r="C241" s="132"/>
      <c r="D241" s="311" t="s">
        <v>419</v>
      </c>
      <c r="E241" s="312"/>
      <c r="F241" s="134" t="s">
        <v>200</v>
      </c>
      <c r="G241" s="136">
        <f>H241+I241</f>
        <v>4947000</v>
      </c>
      <c r="H241" s="136">
        <f>SUM(H242+H243+H244+H245)</f>
        <v>447000</v>
      </c>
      <c r="I241" s="136">
        <f>SUM(I242+I243+I244+I245)</f>
        <v>4500000</v>
      </c>
      <c r="J241" s="136">
        <f>SUM(J242+J243+J244+J245)</f>
        <v>4500000</v>
      </c>
    </row>
    <row r="242" spans="1:10" s="124" customFormat="1" ht="99.75" customHeight="1">
      <c r="A242" s="122" t="s">
        <v>274</v>
      </c>
      <c r="B242" s="122" t="s">
        <v>133</v>
      </c>
      <c r="C242" s="122" t="s">
        <v>109</v>
      </c>
      <c r="D242" s="126" t="s">
        <v>243</v>
      </c>
      <c r="E242" s="107" t="s">
        <v>41</v>
      </c>
      <c r="F242" s="107" t="s">
        <v>403</v>
      </c>
      <c r="G242" s="108">
        <f>SUM(H242+I242)</f>
        <v>447000</v>
      </c>
      <c r="H242" s="109">
        <f>398000+49000</f>
        <v>447000</v>
      </c>
      <c r="I242" s="117">
        <v>0</v>
      </c>
      <c r="J242" s="117">
        <v>0</v>
      </c>
    </row>
    <row r="243" spans="1:10" s="18" customFormat="1" ht="120" customHeight="1" hidden="1">
      <c r="A243" s="122"/>
      <c r="B243" s="127"/>
      <c r="C243" s="127"/>
      <c r="D243" s="115"/>
      <c r="E243" s="107"/>
      <c r="F243" s="107"/>
      <c r="G243" s="108"/>
      <c r="H243" s="109"/>
      <c r="I243" s="117"/>
      <c r="J243" s="117"/>
    </row>
    <row r="244" spans="1:10" s="124" customFormat="1" ht="84" customHeight="1">
      <c r="A244" s="122" t="s">
        <v>224</v>
      </c>
      <c r="B244" s="114" t="s">
        <v>225</v>
      </c>
      <c r="C244" s="112" t="s">
        <v>134</v>
      </c>
      <c r="D244" s="126" t="s">
        <v>240</v>
      </c>
      <c r="E244" s="107" t="s">
        <v>23</v>
      </c>
      <c r="F244" s="107" t="s">
        <v>397</v>
      </c>
      <c r="G244" s="108">
        <f>SUM(H244+I244)</f>
        <v>500000</v>
      </c>
      <c r="H244" s="109">
        <v>0</v>
      </c>
      <c r="I244" s="117">
        <v>500000</v>
      </c>
      <c r="J244" s="117">
        <f>I244</f>
        <v>500000</v>
      </c>
    </row>
    <row r="245" spans="1:10" s="18" customFormat="1" ht="143.25" customHeight="1">
      <c r="A245" s="112" t="s">
        <v>25</v>
      </c>
      <c r="B245" s="113" t="s">
        <v>26</v>
      </c>
      <c r="C245" s="112" t="s">
        <v>27</v>
      </c>
      <c r="D245" s="152" t="s">
        <v>28</v>
      </c>
      <c r="E245" s="119" t="s">
        <v>29</v>
      </c>
      <c r="F245" s="107" t="s">
        <v>355</v>
      </c>
      <c r="G245" s="108">
        <f>SUM(H245+I245)</f>
        <v>4000000</v>
      </c>
      <c r="H245" s="118"/>
      <c r="I245" s="110">
        <v>4000000</v>
      </c>
      <c r="J245" s="110">
        <f>I245</f>
        <v>4000000</v>
      </c>
    </row>
    <row r="246" spans="1:10" s="47" customFormat="1" ht="114.75" customHeight="1" hidden="1">
      <c r="A246" s="226"/>
      <c r="B246" s="226"/>
      <c r="C246" s="263"/>
      <c r="D246" s="264"/>
      <c r="E246" s="240"/>
      <c r="F246" s="265"/>
      <c r="G246" s="251"/>
      <c r="H246" s="234"/>
      <c r="I246" s="103"/>
      <c r="J246" s="110"/>
    </row>
    <row r="247" spans="1:10" s="94" customFormat="1" ht="55.5" customHeight="1">
      <c r="A247" s="161" t="s">
        <v>129</v>
      </c>
      <c r="B247" s="194"/>
      <c r="C247" s="194"/>
      <c r="D247" s="284" t="s">
        <v>420</v>
      </c>
      <c r="E247" s="285"/>
      <c r="F247" s="162" t="s">
        <v>200</v>
      </c>
      <c r="G247" s="158">
        <f>G248</f>
        <v>2720530</v>
      </c>
      <c r="H247" s="158">
        <f>H248</f>
        <v>2170600</v>
      </c>
      <c r="I247" s="158">
        <f>I248</f>
        <v>549930</v>
      </c>
      <c r="J247" s="158">
        <f>J248</f>
        <v>549930</v>
      </c>
    </row>
    <row r="248" spans="1:10" s="18" customFormat="1" ht="60.75" customHeight="1">
      <c r="A248" s="133" t="s">
        <v>130</v>
      </c>
      <c r="B248" s="132"/>
      <c r="C248" s="132"/>
      <c r="D248" s="311" t="s">
        <v>420</v>
      </c>
      <c r="E248" s="312"/>
      <c r="F248" s="134" t="s">
        <v>200</v>
      </c>
      <c r="G248" s="136">
        <f>H248+I248</f>
        <v>2720530</v>
      </c>
      <c r="H248" s="136">
        <f>SUM(H249+H250+H251+H252+H253+H254+H255+H256+H257+H258+H259)</f>
        <v>2170600</v>
      </c>
      <c r="I248" s="136">
        <f>SUM(I249+I250+I251+I252+I253+I254+I255+I256+I257+I258+I259)</f>
        <v>549930</v>
      </c>
      <c r="J248" s="136">
        <f>SUM(J249+J250+J251+J252+J253+J254+J255+J256+J257+J258+J259)</f>
        <v>549930</v>
      </c>
    </row>
    <row r="249" spans="1:10" s="124" customFormat="1" ht="98.25" customHeight="1">
      <c r="A249" s="122" t="s">
        <v>275</v>
      </c>
      <c r="B249" s="122" t="s">
        <v>133</v>
      </c>
      <c r="C249" s="122" t="s">
        <v>109</v>
      </c>
      <c r="D249" s="126" t="s">
        <v>243</v>
      </c>
      <c r="E249" s="107" t="s">
        <v>41</v>
      </c>
      <c r="F249" s="107" t="s">
        <v>403</v>
      </c>
      <c r="G249" s="108">
        <f>SUM(H249+I249)</f>
        <v>123000</v>
      </c>
      <c r="H249" s="109">
        <v>123000</v>
      </c>
      <c r="I249" s="117">
        <v>0</v>
      </c>
      <c r="J249" s="117">
        <v>0</v>
      </c>
    </row>
    <row r="250" spans="1:10" s="18" customFormat="1" ht="212.25" customHeight="1" hidden="1">
      <c r="A250" s="122"/>
      <c r="B250" s="122"/>
      <c r="C250" s="122"/>
      <c r="D250" s="114"/>
      <c r="E250" s="196"/>
      <c r="F250" s="196"/>
      <c r="G250" s="108"/>
      <c r="H250" s="110"/>
      <c r="I250" s="117"/>
      <c r="J250" s="110"/>
    </row>
    <row r="251" spans="1:10" s="18" customFormat="1" ht="120.75" customHeight="1" hidden="1">
      <c r="A251" s="122"/>
      <c r="B251" s="122"/>
      <c r="C251" s="122"/>
      <c r="D251" s="114"/>
      <c r="E251" s="196"/>
      <c r="F251" s="196"/>
      <c r="G251" s="108"/>
      <c r="H251" s="110"/>
      <c r="I251" s="117"/>
      <c r="J251" s="110"/>
    </row>
    <row r="252" spans="1:10" s="34" customFormat="1" ht="210" customHeight="1" hidden="1">
      <c r="A252" s="104"/>
      <c r="B252" s="104"/>
      <c r="C252" s="104"/>
      <c r="D252" s="104"/>
      <c r="E252" s="150"/>
      <c r="F252" s="150"/>
      <c r="G252" s="144"/>
      <c r="H252" s="121"/>
      <c r="I252" s="121"/>
      <c r="J252" s="121"/>
    </row>
    <row r="253" spans="1:10" s="34" customFormat="1" ht="150" customHeight="1" hidden="1">
      <c r="A253" s="104"/>
      <c r="B253" s="104"/>
      <c r="C253" s="104"/>
      <c r="D253" s="150"/>
      <c r="E253" s="143"/>
      <c r="F253" s="143"/>
      <c r="G253" s="144"/>
      <c r="H253" s="111"/>
      <c r="I253" s="121"/>
      <c r="J253" s="121"/>
    </row>
    <row r="254" spans="1:10" s="34" customFormat="1" ht="150.75" customHeight="1">
      <c r="A254" s="169" t="s">
        <v>282</v>
      </c>
      <c r="B254" s="104" t="s">
        <v>283</v>
      </c>
      <c r="C254" s="104" t="s">
        <v>281</v>
      </c>
      <c r="D254" s="150" t="s">
        <v>284</v>
      </c>
      <c r="E254" s="150" t="s">
        <v>24</v>
      </c>
      <c r="F254" s="107" t="s">
        <v>350</v>
      </c>
      <c r="G254" s="144">
        <f>SUM(H254+I254)</f>
        <v>13600</v>
      </c>
      <c r="H254" s="111">
        <v>13600</v>
      </c>
      <c r="I254" s="121">
        <v>0</v>
      </c>
      <c r="J254" s="121">
        <f aca="true" t="shared" si="10" ref="J254:J259">I254</f>
        <v>0</v>
      </c>
    </row>
    <row r="255" spans="1:10" s="34" customFormat="1" ht="192" customHeight="1" hidden="1">
      <c r="A255" s="104"/>
      <c r="B255" s="104"/>
      <c r="C255" s="104"/>
      <c r="D255" s="150"/>
      <c r="E255" s="150"/>
      <c r="F255" s="150"/>
      <c r="G255" s="144"/>
      <c r="H255" s="121"/>
      <c r="I255" s="121"/>
      <c r="J255" s="121"/>
    </row>
    <row r="256" spans="1:10" s="18" customFormat="1" ht="101.25" customHeight="1">
      <c r="A256" s="112">
        <v>3117130</v>
      </c>
      <c r="B256" s="112">
        <v>7130</v>
      </c>
      <c r="C256" s="112" t="s">
        <v>131</v>
      </c>
      <c r="D256" s="126" t="s">
        <v>184</v>
      </c>
      <c r="E256" s="119" t="s">
        <v>7</v>
      </c>
      <c r="F256" s="107" t="s">
        <v>339</v>
      </c>
      <c r="G256" s="144">
        <f>SUM(H256+I256)</f>
        <v>2000000</v>
      </c>
      <c r="H256" s="118">
        <v>2000000</v>
      </c>
      <c r="I256" s="110">
        <v>0</v>
      </c>
      <c r="J256" s="110">
        <f t="shared" si="10"/>
        <v>0</v>
      </c>
    </row>
    <row r="257" spans="1:10" s="18" customFormat="1" ht="99.75" customHeight="1">
      <c r="A257" s="112">
        <v>3117650</v>
      </c>
      <c r="B257" s="112">
        <v>7650</v>
      </c>
      <c r="C257" s="112" t="s">
        <v>123</v>
      </c>
      <c r="D257" s="126" t="s">
        <v>83</v>
      </c>
      <c r="E257" s="119" t="s">
        <v>7</v>
      </c>
      <c r="F257" s="107" t="s">
        <v>339</v>
      </c>
      <c r="G257" s="108">
        <f>SUM(H257+I257)</f>
        <v>500000</v>
      </c>
      <c r="H257" s="118">
        <v>0</v>
      </c>
      <c r="I257" s="110">
        <f>950000-450000</f>
        <v>500000</v>
      </c>
      <c r="J257" s="110">
        <f t="shared" si="10"/>
        <v>500000</v>
      </c>
    </row>
    <row r="258" spans="1:10" s="18" customFormat="1" ht="150.75" customHeight="1">
      <c r="A258" s="112">
        <v>3117660</v>
      </c>
      <c r="B258" s="112">
        <v>7660</v>
      </c>
      <c r="C258" s="112" t="s">
        <v>123</v>
      </c>
      <c r="D258" s="126" t="s">
        <v>52</v>
      </c>
      <c r="E258" s="119" t="s">
        <v>7</v>
      </c>
      <c r="F258" s="107" t="s">
        <v>339</v>
      </c>
      <c r="G258" s="108">
        <f>SUM(H258+I258)</f>
        <v>49930</v>
      </c>
      <c r="H258" s="118">
        <v>0</v>
      </c>
      <c r="I258" s="110">
        <f>158230-108300</f>
        <v>49930</v>
      </c>
      <c r="J258" s="110">
        <f t="shared" si="10"/>
        <v>49930</v>
      </c>
    </row>
    <row r="259" spans="1:10" s="18" customFormat="1" ht="110.25" customHeight="1">
      <c r="A259" s="122" t="s">
        <v>298</v>
      </c>
      <c r="B259" s="122" t="s">
        <v>285</v>
      </c>
      <c r="C259" s="122" t="s">
        <v>123</v>
      </c>
      <c r="D259" s="114" t="s">
        <v>299</v>
      </c>
      <c r="E259" s="107" t="s">
        <v>16</v>
      </c>
      <c r="F259" s="107" t="s">
        <v>351</v>
      </c>
      <c r="G259" s="108">
        <f>SUM(H259+I259)</f>
        <v>34000</v>
      </c>
      <c r="H259" s="109">
        <v>34000</v>
      </c>
      <c r="I259" s="117">
        <v>0</v>
      </c>
      <c r="J259" s="110">
        <f t="shared" si="10"/>
        <v>0</v>
      </c>
    </row>
    <row r="260" spans="1:10" s="94" customFormat="1" ht="47.25" customHeight="1">
      <c r="A260" s="161" t="s">
        <v>276</v>
      </c>
      <c r="B260" s="194"/>
      <c r="C260" s="194"/>
      <c r="D260" s="284" t="s">
        <v>421</v>
      </c>
      <c r="E260" s="285"/>
      <c r="F260" s="162" t="s">
        <v>200</v>
      </c>
      <c r="G260" s="158">
        <f>G261</f>
        <v>4749000</v>
      </c>
      <c r="H260" s="158">
        <f>H261</f>
        <v>4749000</v>
      </c>
      <c r="I260" s="158">
        <f>I261</f>
        <v>0</v>
      </c>
      <c r="J260" s="158">
        <f>J261</f>
        <v>0</v>
      </c>
    </row>
    <row r="261" spans="1:10" s="124" customFormat="1" ht="48.75" customHeight="1">
      <c r="A261" s="133" t="s">
        <v>277</v>
      </c>
      <c r="B261" s="132"/>
      <c r="C261" s="132"/>
      <c r="D261" s="311" t="s">
        <v>421</v>
      </c>
      <c r="E261" s="312"/>
      <c r="F261" s="134" t="s">
        <v>200</v>
      </c>
      <c r="G261" s="136">
        <f>H261+I261</f>
        <v>4749000</v>
      </c>
      <c r="H261" s="136">
        <f>H262+H263</f>
        <v>4749000</v>
      </c>
      <c r="I261" s="136">
        <f>I262+I263</f>
        <v>0</v>
      </c>
      <c r="J261" s="136">
        <f>J262+J263</f>
        <v>0</v>
      </c>
    </row>
    <row r="262" spans="1:10" s="124" customFormat="1" ht="105" customHeight="1">
      <c r="A262" s="112" t="s">
        <v>278</v>
      </c>
      <c r="B262" s="122" t="s">
        <v>133</v>
      </c>
      <c r="C262" s="112" t="s">
        <v>109</v>
      </c>
      <c r="D262" s="126" t="s">
        <v>243</v>
      </c>
      <c r="E262" s="107" t="s">
        <v>41</v>
      </c>
      <c r="F262" s="107" t="s">
        <v>403</v>
      </c>
      <c r="G262" s="108">
        <f>SUM(H262+I262)</f>
        <v>4549000</v>
      </c>
      <c r="H262" s="109">
        <f>3049000+1000000+500000</f>
        <v>4549000</v>
      </c>
      <c r="I262" s="110">
        <v>0</v>
      </c>
      <c r="J262" s="110">
        <v>0</v>
      </c>
    </row>
    <row r="263" spans="1:10" s="18" customFormat="1" ht="87" customHeight="1">
      <c r="A263" s="112">
        <v>3216030</v>
      </c>
      <c r="B263" s="112">
        <v>6030</v>
      </c>
      <c r="C263" s="112" t="s">
        <v>112</v>
      </c>
      <c r="D263" s="126" t="s">
        <v>213</v>
      </c>
      <c r="E263" s="115" t="s">
        <v>13</v>
      </c>
      <c r="F263" s="107" t="s">
        <v>337</v>
      </c>
      <c r="G263" s="123">
        <f>H263+I263</f>
        <v>200000</v>
      </c>
      <c r="H263" s="117">
        <v>200000</v>
      </c>
      <c r="I263" s="110">
        <v>0</v>
      </c>
      <c r="J263" s="110">
        <f>I263</f>
        <v>0</v>
      </c>
    </row>
    <row r="264" spans="1:10" s="94" customFormat="1" ht="49.5" customHeight="1">
      <c r="A264" s="161" t="s">
        <v>185</v>
      </c>
      <c r="B264" s="194"/>
      <c r="C264" s="194"/>
      <c r="D264" s="284" t="s">
        <v>422</v>
      </c>
      <c r="E264" s="285"/>
      <c r="F264" s="162" t="s">
        <v>200</v>
      </c>
      <c r="G264" s="158">
        <f>G265</f>
        <v>8271000</v>
      </c>
      <c r="H264" s="158">
        <f>H265</f>
        <v>8271000</v>
      </c>
      <c r="I264" s="158">
        <f>I265</f>
        <v>0</v>
      </c>
      <c r="J264" s="158">
        <f>J265</f>
        <v>0</v>
      </c>
    </row>
    <row r="265" spans="1:10" s="18" customFormat="1" ht="57.75" customHeight="1">
      <c r="A265" s="133" t="s">
        <v>186</v>
      </c>
      <c r="B265" s="132"/>
      <c r="C265" s="132"/>
      <c r="D265" s="311" t="s">
        <v>422</v>
      </c>
      <c r="E265" s="312"/>
      <c r="F265" s="134" t="s">
        <v>200</v>
      </c>
      <c r="G265" s="136">
        <f>H265+I265</f>
        <v>8271000</v>
      </c>
      <c r="H265" s="136">
        <f>H266+H267+H268+H269</f>
        <v>8271000</v>
      </c>
      <c r="I265" s="136">
        <f>I266+I267+I268+I269</f>
        <v>0</v>
      </c>
      <c r="J265" s="136">
        <f>J266+J267+J268+J269</f>
        <v>0</v>
      </c>
    </row>
    <row r="266" spans="1:10" s="124" customFormat="1" ht="99.75" customHeight="1">
      <c r="A266" s="122" t="s">
        <v>279</v>
      </c>
      <c r="B266" s="122" t="s">
        <v>133</v>
      </c>
      <c r="C266" s="122" t="s">
        <v>109</v>
      </c>
      <c r="D266" s="126" t="s">
        <v>243</v>
      </c>
      <c r="E266" s="107" t="s">
        <v>40</v>
      </c>
      <c r="F266" s="107" t="s">
        <v>403</v>
      </c>
      <c r="G266" s="123">
        <f>H266+I266</f>
        <v>306000</v>
      </c>
      <c r="H266" s="109">
        <f>257000+49000</f>
        <v>306000</v>
      </c>
      <c r="I266" s="117">
        <v>0</v>
      </c>
      <c r="J266" s="117">
        <v>0</v>
      </c>
    </row>
    <row r="267" spans="1:10" s="18" customFormat="1" ht="165" customHeight="1" hidden="1">
      <c r="A267" s="122"/>
      <c r="B267" s="112"/>
      <c r="C267" s="112"/>
      <c r="D267" s="126"/>
      <c r="E267" s="119"/>
      <c r="F267" s="119"/>
      <c r="G267" s="123"/>
      <c r="H267" s="118"/>
      <c r="I267" s="117"/>
      <c r="J267" s="110"/>
    </row>
    <row r="268" spans="1:10" s="18" customFormat="1" ht="213" customHeight="1">
      <c r="A268" s="122" t="s">
        <v>146</v>
      </c>
      <c r="B268" s="112">
        <v>6020</v>
      </c>
      <c r="C268" s="112" t="s">
        <v>112</v>
      </c>
      <c r="D268" s="126" t="s">
        <v>194</v>
      </c>
      <c r="E268" s="119" t="s">
        <v>316</v>
      </c>
      <c r="F268" s="107" t="s">
        <v>338</v>
      </c>
      <c r="G268" s="123">
        <f>H268+I268</f>
        <v>7965000</v>
      </c>
      <c r="H268" s="118">
        <v>7965000</v>
      </c>
      <c r="I268" s="117">
        <v>0</v>
      </c>
      <c r="J268" s="110">
        <f>I268</f>
        <v>0</v>
      </c>
    </row>
    <row r="269" spans="1:10" s="18" customFormat="1" ht="129" customHeight="1" hidden="1">
      <c r="A269" s="112"/>
      <c r="B269" s="112"/>
      <c r="C269" s="112"/>
      <c r="D269" s="126"/>
      <c r="E269" s="119"/>
      <c r="F269" s="119"/>
      <c r="G269" s="123"/>
      <c r="H269" s="118"/>
      <c r="I269" s="110"/>
      <c r="J269" s="110"/>
    </row>
    <row r="270" spans="1:10" s="94" customFormat="1" ht="39" customHeight="1">
      <c r="A270" s="161">
        <v>3700000</v>
      </c>
      <c r="B270" s="194"/>
      <c r="C270" s="161"/>
      <c r="D270" s="327" t="s">
        <v>423</v>
      </c>
      <c r="E270" s="328"/>
      <c r="F270" s="215" t="s">
        <v>200</v>
      </c>
      <c r="G270" s="131">
        <f>G271</f>
        <v>6323000</v>
      </c>
      <c r="H270" s="131">
        <f>H271</f>
        <v>5674500</v>
      </c>
      <c r="I270" s="131">
        <f>I271</f>
        <v>648500</v>
      </c>
      <c r="J270" s="131">
        <f>J271</f>
        <v>648500</v>
      </c>
    </row>
    <row r="271" spans="1:10" s="94" customFormat="1" ht="36" customHeight="1">
      <c r="A271" s="133">
        <v>3710000</v>
      </c>
      <c r="B271" s="132"/>
      <c r="C271" s="133"/>
      <c r="D271" s="311" t="s">
        <v>423</v>
      </c>
      <c r="E271" s="312"/>
      <c r="F271" s="134" t="s">
        <v>200</v>
      </c>
      <c r="G271" s="136">
        <f>H271+I271</f>
        <v>6323000</v>
      </c>
      <c r="H271" s="136">
        <f>H272+H275+H276+H277</f>
        <v>5674500</v>
      </c>
      <c r="I271" s="136">
        <f>I272+I275+I276+I277</f>
        <v>648500</v>
      </c>
      <c r="J271" s="136">
        <f>J272+J275+J276+J277</f>
        <v>648500</v>
      </c>
    </row>
    <row r="272" spans="1:10" s="124" customFormat="1" ht="93" customHeight="1">
      <c r="A272" s="127">
        <v>3710180</v>
      </c>
      <c r="B272" s="122" t="s">
        <v>133</v>
      </c>
      <c r="C272" s="122" t="s">
        <v>109</v>
      </c>
      <c r="D272" s="126" t="s">
        <v>243</v>
      </c>
      <c r="E272" s="107" t="s">
        <v>41</v>
      </c>
      <c r="F272" s="107" t="s">
        <v>403</v>
      </c>
      <c r="G272" s="108">
        <f>SUM(H272+I272)</f>
        <v>123000</v>
      </c>
      <c r="H272" s="109">
        <v>123000</v>
      </c>
      <c r="I272" s="110">
        <v>0</v>
      </c>
      <c r="J272" s="110">
        <v>0</v>
      </c>
    </row>
    <row r="273" spans="1:10" s="18" customFormat="1" ht="59.25" customHeight="1" hidden="1">
      <c r="A273" s="112"/>
      <c r="B273" s="112"/>
      <c r="C273" s="112"/>
      <c r="D273" s="266"/>
      <c r="E273" s="332"/>
      <c r="F273" s="332"/>
      <c r="G273" s="108"/>
      <c r="H273" s="109"/>
      <c r="I273" s="110"/>
      <c r="J273" s="110"/>
    </row>
    <row r="274" spans="1:10" s="47" customFormat="1" ht="81" customHeight="1" hidden="1">
      <c r="A274" s="226"/>
      <c r="B274" s="226"/>
      <c r="C274" s="263"/>
      <c r="D274" s="223"/>
      <c r="E274" s="332"/>
      <c r="F274" s="332"/>
      <c r="G274" s="251"/>
      <c r="H274" s="234"/>
      <c r="I274" s="103"/>
      <c r="J274" s="110"/>
    </row>
    <row r="275" spans="1:10" s="18" customFormat="1" ht="134.25" customHeight="1">
      <c r="A275" s="127" t="s">
        <v>255</v>
      </c>
      <c r="B275" s="122">
        <v>9800</v>
      </c>
      <c r="C275" s="122" t="s">
        <v>133</v>
      </c>
      <c r="D275" s="219" t="s">
        <v>256</v>
      </c>
      <c r="E275" s="107" t="s">
        <v>389</v>
      </c>
      <c r="F275" s="107" t="s">
        <v>390</v>
      </c>
      <c r="G275" s="108">
        <f>SUM(H275+I275)</f>
        <v>2300000</v>
      </c>
      <c r="H275" s="109">
        <f>2481500-190000-280000-20000-200000-115000</f>
        <v>1676500</v>
      </c>
      <c r="I275" s="110">
        <f>2818500+190000-720000-1000000-580000-85000</f>
        <v>623500</v>
      </c>
      <c r="J275" s="110">
        <f>I275</f>
        <v>623500</v>
      </c>
    </row>
    <row r="276" spans="1:10" s="124" customFormat="1" ht="154.5" customHeight="1">
      <c r="A276" s="127" t="s">
        <v>255</v>
      </c>
      <c r="B276" s="122">
        <v>9800</v>
      </c>
      <c r="C276" s="122" t="s">
        <v>133</v>
      </c>
      <c r="D276" s="219" t="s">
        <v>256</v>
      </c>
      <c r="E276" s="107" t="s">
        <v>433</v>
      </c>
      <c r="F276" s="107" t="s">
        <v>434</v>
      </c>
      <c r="G276" s="108">
        <f>SUM(H276+I276)</f>
        <v>3400000</v>
      </c>
      <c r="H276" s="109">
        <f>375000+3000000</f>
        <v>3375000</v>
      </c>
      <c r="I276" s="110">
        <v>25000</v>
      </c>
      <c r="J276" s="110">
        <f>I276</f>
        <v>25000</v>
      </c>
    </row>
    <row r="277" spans="1:10" s="124" customFormat="1" ht="137.25" customHeight="1">
      <c r="A277" s="127" t="s">
        <v>255</v>
      </c>
      <c r="B277" s="122">
        <v>9800</v>
      </c>
      <c r="C277" s="122" t="s">
        <v>133</v>
      </c>
      <c r="D277" s="219" t="s">
        <v>256</v>
      </c>
      <c r="E277" s="143" t="s">
        <v>387</v>
      </c>
      <c r="F277" s="107" t="s">
        <v>388</v>
      </c>
      <c r="G277" s="108">
        <f>SUM(H277+I277)</f>
        <v>500000</v>
      </c>
      <c r="H277" s="109">
        <v>500000</v>
      </c>
      <c r="I277" s="110">
        <v>0</v>
      </c>
      <c r="J277" s="110">
        <f>I277</f>
        <v>0</v>
      </c>
    </row>
    <row r="278" spans="1:10" s="41" customFormat="1" ht="45.75" customHeight="1">
      <c r="A278" s="132" t="s">
        <v>81</v>
      </c>
      <c r="B278" s="132" t="s">
        <v>81</v>
      </c>
      <c r="C278" s="132" t="s">
        <v>81</v>
      </c>
      <c r="D278" s="179" t="s">
        <v>82</v>
      </c>
      <c r="E278" s="134" t="s">
        <v>81</v>
      </c>
      <c r="F278" s="134" t="s">
        <v>81</v>
      </c>
      <c r="G278" s="170">
        <f>H278+I278</f>
        <v>1119779580.27</v>
      </c>
      <c r="H278" s="170">
        <f>H17+H26+H49+H89+H113+H123+H138+H143+H211+H215+H218+H227+H234+H240+H247+H260+H264+H270</f>
        <v>887671693</v>
      </c>
      <c r="I278" s="170">
        <f>I17+I26+I49+I89+I113+I123+I138+I143+I211+I215+I218+I227+I234+I240+I247+I260+I264+I270</f>
        <v>232107887.27</v>
      </c>
      <c r="J278" s="170">
        <f>J17+J26+J49+J89+J113+J123+J138+J143+J211+J215+J218+J227+J234+J240+J247+J260+J264+J270</f>
        <v>211586204</v>
      </c>
    </row>
    <row r="279" spans="1:10" s="8" customFormat="1" ht="63" customHeight="1">
      <c r="A279" s="187"/>
      <c r="B279" s="188"/>
      <c r="C279" s="188"/>
      <c r="D279" s="189"/>
      <c r="E279" s="190"/>
      <c r="F279" s="190"/>
      <c r="G279" s="191"/>
      <c r="H279" s="191"/>
      <c r="I279" s="191"/>
      <c r="J279" s="191"/>
    </row>
    <row r="280" spans="1:10" s="95" customFormat="1" ht="84" customHeight="1">
      <c r="A280" s="337" t="s">
        <v>263</v>
      </c>
      <c r="B280" s="337"/>
      <c r="C280" s="337"/>
      <c r="D280" s="337"/>
      <c r="E280" s="337"/>
      <c r="F280" s="192"/>
      <c r="G280" s="193"/>
      <c r="H280" s="335" t="s">
        <v>42</v>
      </c>
      <c r="I280" s="336"/>
      <c r="J280" s="336"/>
    </row>
  </sheetData>
  <sheetProtection/>
  <mergeCells count="103">
    <mergeCell ref="B97:B98"/>
    <mergeCell ref="D102:D103"/>
    <mergeCell ref="B102:B103"/>
    <mergeCell ref="H280:J280"/>
    <mergeCell ref="D270:E270"/>
    <mergeCell ref="A280:E280"/>
    <mergeCell ref="D271:E271"/>
    <mergeCell ref="D143:E143"/>
    <mergeCell ref="D215:E215"/>
    <mergeCell ref="F130:F136"/>
    <mergeCell ref="D261:E261"/>
    <mergeCell ref="C102:C103"/>
    <mergeCell ref="E126:E127"/>
    <mergeCell ref="F126:F127"/>
    <mergeCell ref="F273:F274"/>
    <mergeCell ref="E273:E274"/>
    <mergeCell ref="D264:E264"/>
    <mergeCell ref="D218:E218"/>
    <mergeCell ref="D227:E227"/>
    <mergeCell ref="F190:F191"/>
    <mergeCell ref="D241:E241"/>
    <mergeCell ref="D124:E124"/>
    <mergeCell ref="D123:E123"/>
    <mergeCell ref="D260:E260"/>
    <mergeCell ref="D234:E234"/>
    <mergeCell ref="D247:E247"/>
    <mergeCell ref="D219:E219"/>
    <mergeCell ref="D216:E216"/>
    <mergeCell ref="E130:E136"/>
    <mergeCell ref="D139:E139"/>
    <mergeCell ref="D240:E240"/>
    <mergeCell ref="A9:J9"/>
    <mergeCell ref="I2:J2"/>
    <mergeCell ref="I3:J3"/>
    <mergeCell ref="I4:J4"/>
    <mergeCell ref="A10:J10"/>
    <mergeCell ref="D18:E18"/>
    <mergeCell ref="I6:J6"/>
    <mergeCell ref="D211:E211"/>
    <mergeCell ref="E116:E122"/>
    <mergeCell ref="F116:F122"/>
    <mergeCell ref="A19:A20"/>
    <mergeCell ref="B19:B20"/>
    <mergeCell ref="D265:E265"/>
    <mergeCell ref="D212:E212"/>
    <mergeCell ref="D138:E138"/>
    <mergeCell ref="E190:E191"/>
    <mergeCell ref="D144:E144"/>
    <mergeCell ref="D248:E248"/>
    <mergeCell ref="D114:E114"/>
    <mergeCell ref="D228:E228"/>
    <mergeCell ref="D235:E235"/>
    <mergeCell ref="I1:J1"/>
    <mergeCell ref="A8:J8"/>
    <mergeCell ref="A12:A15"/>
    <mergeCell ref="B12:B15"/>
    <mergeCell ref="C12:C15"/>
    <mergeCell ref="G12:G15"/>
    <mergeCell ref="H12:H15"/>
    <mergeCell ref="I5:J5"/>
    <mergeCell ref="F37:F40"/>
    <mergeCell ref="I12:J14"/>
    <mergeCell ref="D17:E17"/>
    <mergeCell ref="D19:D20"/>
    <mergeCell ref="D26:E26"/>
    <mergeCell ref="F29:F35"/>
    <mergeCell ref="F12:F15"/>
    <mergeCell ref="C19:C20"/>
    <mergeCell ref="E12:E15"/>
    <mergeCell ref="E37:E40"/>
    <mergeCell ref="D12:D15"/>
    <mergeCell ref="E29:E34"/>
    <mergeCell ref="D27:E27"/>
    <mergeCell ref="D90:E90"/>
    <mergeCell ref="F52:F62"/>
    <mergeCell ref="F42:F47"/>
    <mergeCell ref="E52:E63"/>
    <mergeCell ref="E64:E68"/>
    <mergeCell ref="F64:F68"/>
    <mergeCell ref="D89:E89"/>
    <mergeCell ref="E42:E47"/>
    <mergeCell ref="D50:E50"/>
    <mergeCell ref="D49:E49"/>
    <mergeCell ref="A108:A110"/>
    <mergeCell ref="D113:E113"/>
    <mergeCell ref="A97:A98"/>
    <mergeCell ref="B108:B110"/>
    <mergeCell ref="C108:C110"/>
    <mergeCell ref="D108:D110"/>
    <mergeCell ref="A102:A103"/>
    <mergeCell ref="B106:B107"/>
    <mergeCell ref="C106:C107"/>
    <mergeCell ref="D106:D107"/>
    <mergeCell ref="F92:F98"/>
    <mergeCell ref="E69:E70"/>
    <mergeCell ref="E71:E83"/>
    <mergeCell ref="A106:A107"/>
    <mergeCell ref="F69:F70"/>
    <mergeCell ref="F71:F83"/>
    <mergeCell ref="E92:E98"/>
    <mergeCell ref="F99:F100"/>
    <mergeCell ref="C97:C98"/>
    <mergeCell ref="E99:E100"/>
  </mergeCells>
  <printOptions horizontalCentered="1"/>
  <pageMargins left="0.5511811023622047" right="0.7874015748031497" top="0.4724409448818898" bottom="0.3937007874015748" header="0.2755905511811024" footer="0"/>
  <pageSetup fitToHeight="21" horizontalDpi="600" verticalDpi="600" orientation="landscape" paperSize="9" scale="41" r:id="rId1"/>
  <headerFooter differentFirst="1">
    <oddHeader>&amp;C&amp;"Times New Roman,обычный"&amp;12&amp;P&amp;R&amp;"Times New Roman,обычный"&amp;12Продовження додатка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2022-04-13T10:03:53Z</cp:lastPrinted>
  <dcterms:created xsi:type="dcterms:W3CDTF">2016-11-29T09:37:01Z</dcterms:created>
  <dcterms:modified xsi:type="dcterms:W3CDTF">2022-04-19T07:17:07Z</dcterms:modified>
  <cp:category/>
  <cp:version/>
  <cp:contentType/>
  <cp:contentStatus/>
</cp:coreProperties>
</file>