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90" yWindow="65521" windowWidth="11520" windowHeight="10470" activeTab="0"/>
  </bookViews>
  <sheets>
    <sheet name="Лист1" sheetId="1" r:id="rId1"/>
  </sheets>
  <externalReferences>
    <externalReference r:id="rId4"/>
  </externalReferences>
  <definedNames>
    <definedName name="_xlnm.Print_Area" localSheetId="0">'Лист1'!$A$1:$P$463</definedName>
  </definedNames>
  <calcPr fullCalcOnLoad="1"/>
</workbook>
</file>

<file path=xl/sharedStrings.xml><?xml version="1.0" encoding="utf-8"?>
<sst xmlns="http://schemas.openxmlformats.org/spreadsheetml/2006/main" count="1208" uniqueCount="584">
  <si>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</si>
  <si>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</si>
  <si>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</si>
  <si>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</si>
  <si>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</si>
  <si>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</si>
  <si>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</si>
  <si>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</si>
  <si>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</si>
  <si>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</si>
  <si>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</si>
  <si>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</si>
  <si>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</si>
  <si>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</si>
  <si>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</si>
  <si>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</si>
  <si>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</si>
  <si>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</si>
  <si>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</si>
  <si>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</si>
  <si>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</si>
  <si>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</si>
  <si>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</si>
  <si>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</si>
  <si>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</si>
  <si>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</si>
  <si>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</si>
  <si>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</si>
  <si>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</si>
  <si>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</si>
  <si>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</si>
  <si>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</si>
  <si>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</si>
  <si>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</si>
  <si>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</si>
  <si>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</si>
  <si>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</si>
  <si>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</si>
  <si>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</si>
  <si>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</si>
  <si>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</si>
  <si>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</si>
  <si>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</si>
  <si>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</si>
  <si>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</si>
  <si>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</si>
  <si>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</si>
  <si>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</si>
  <si>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</si>
  <si>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</si>
  <si>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</si>
  <si>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</si>
  <si>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</si>
  <si>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</si>
  <si>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</si>
  <si>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</si>
  <si>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</si>
  <si>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</si>
  <si>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</si>
  <si>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</si>
  <si>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</si>
  <si>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</si>
  <si>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</si>
  <si>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</si>
  <si>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</si>
  <si>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</si>
  <si>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</si>
  <si>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</si>
  <si>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</si>
  <si>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</si>
  <si>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</si>
  <si>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</si>
  <si>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</si>
  <si>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</si>
  <si>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</si>
  <si>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</si>
  <si>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</si>
  <si>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</si>
  <si>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</si>
  <si>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</si>
  <si>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</si>
  <si>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</si>
  <si>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</si>
  <si>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</si>
  <si>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</si>
  <si>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</si>
  <si>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</si>
  <si>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</si>
  <si>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</si>
  <si>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</si>
  <si>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</si>
  <si>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</si>
  <si>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</si>
  <si>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</si>
  <si>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</si>
  <si>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</si>
  <si>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</si>
  <si>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</si>
  <si>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</si>
  <si>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</si>
  <si>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</si>
  <si>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</si>
  <si>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</si>
  <si>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</si>
  <si>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</si>
  <si>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</si>
  <si>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</si>
  <si>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</si>
  <si>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</si>
  <si>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</si>
  <si>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</si>
  <si>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</si>
  <si>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</si>
  <si>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</si>
  <si>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</si>
  <si>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</si>
  <si>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</si>
  <si>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</si>
  <si>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</si>
  <si>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</si>
  <si>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</si>
  <si>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</si>
  <si>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</si>
  <si>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</si>
  <si>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</si>
  <si>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</si>
  <si>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</si>
  <si>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</si>
  <si>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</si>
  <si>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</si>
  <si>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</si>
  <si>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</si>
  <si>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</si>
  <si>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</si>
  <si>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</si>
  <si>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</si>
  <si>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</si>
  <si>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</si>
  <si>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</si>
  <si>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</si>
  <si>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</si>
  <si>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</si>
  <si>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</si>
  <si>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</si>
  <si>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</si>
  <si>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</si>
  <si>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</si>
  <si>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</si>
  <si>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</si>
  <si>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</si>
  <si>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</si>
  <si>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</si>
  <si>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</si>
  <si>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</si>
  <si>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</si>
  <si>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</si>
  <si>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</si>
  <si>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</si>
  <si>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</si>
  <si>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</si>
  <si>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</si>
  <si>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</si>
  <si>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</si>
  <si>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</si>
  <si>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</si>
  <si>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</si>
  <si>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</si>
  <si>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</si>
  <si>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</si>
  <si>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</si>
  <si>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</si>
  <si>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</si>
  <si>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</si>
  <si>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</si>
  <si>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</si>
  <si>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</si>
  <si>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</si>
  <si>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</si>
  <si>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</si>
  <si>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</si>
  <si>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</si>
  <si>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</si>
  <si>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</si>
  <si>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</si>
  <si>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</si>
  <si>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</si>
  <si>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</si>
  <si>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</si>
  <si>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</si>
  <si>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</si>
  <si>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</si>
  <si>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</si>
  <si>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</si>
  <si>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</si>
  <si>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</si>
  <si>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</si>
  <si>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</si>
  <si>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</si>
  <si>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</si>
  <si>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</si>
  <si>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</si>
  <si>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</si>
  <si>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</si>
  <si>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</si>
  <si>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</si>
  <si>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</si>
  <si>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</si>
  <si>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</si>
  <si>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</si>
  <si>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</si>
  <si>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</si>
  <si>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</si>
  <si>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</si>
  <si>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</si>
  <si>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</si>
  <si>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</si>
  <si>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</si>
  <si>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</si>
  <si>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</si>
  <si>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</si>
  <si>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</si>
  <si>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</si>
  <si>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</si>
  <si>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</si>
  <si>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</si>
  <si>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</si>
  <si>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</si>
  <si>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</si>
  <si>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</si>
  <si>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</si>
  <si>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</si>
  <si>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</si>
  <si>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</si>
  <si>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</si>
  <si>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</si>
  <si>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</si>
  <si>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</si>
  <si>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</si>
  <si>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</si>
  <si>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</si>
  <si>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</si>
  <si>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</si>
  <si>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</si>
  <si>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</si>
  <si>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</si>
  <si>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</si>
  <si>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</si>
  <si>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</si>
  <si>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</si>
  <si>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</si>
  <si>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</si>
  <si>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</si>
  <si>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</si>
  <si>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</si>
  <si>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</si>
  <si>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</si>
  <si>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</si>
  <si>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</si>
  <si>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</si>
  <si>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</si>
  <si>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</si>
  <si>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</si>
  <si>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</si>
  <si>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</si>
  <si>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</si>
  <si>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</si>
  <si>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</si>
  <si>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</si>
  <si>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</si>
  <si>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</si>
  <si>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</si>
  <si>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</si>
  <si>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</si>
  <si>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</si>
  <si>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</si>
  <si>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</si>
  <si>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</si>
  <si>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</si>
  <si>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</si>
  <si>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</si>
  <si>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</si>
  <si>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</si>
  <si>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</si>
  <si>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</si>
  <si>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</si>
  <si>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</si>
  <si>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</si>
  <si>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</si>
  <si>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</si>
  <si>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</si>
  <si>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</si>
  <si>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</si>
  <si>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</si>
  <si>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</si>
  <si>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</si>
  <si>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</si>
  <si>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</si>
  <si>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</si>
  <si>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</si>
  <si>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</si>
  <si>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</si>
  <si>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</si>
  <si>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</si>
  <si>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</si>
  <si>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</si>
  <si>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</si>
  <si>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</si>
  <si>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</si>
  <si>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</si>
  <si>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</si>
  <si>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</si>
  <si>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</si>
  <si>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</si>
  <si>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</si>
  <si>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</si>
  <si>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</si>
  <si>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</si>
  <si>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</si>
  <si>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</si>
  <si>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</si>
  <si>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</si>
  <si>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</si>
  <si>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</si>
  <si>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</si>
  <si>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</si>
  <si>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</si>
  <si>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</si>
  <si>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</si>
  <si>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</si>
  <si>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</si>
  <si>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</si>
  <si>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</si>
  <si>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</si>
  <si>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</si>
  <si>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</si>
  <si>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</si>
  <si>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</si>
  <si>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</si>
  <si>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</si>
  <si>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</si>
  <si>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</si>
  <si>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</si>
  <si>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</si>
  <si>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</si>
  <si>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</si>
  <si>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</si>
  <si>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</si>
  <si>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</si>
  <si>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</si>
  <si>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</si>
  <si>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</si>
  <si>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</si>
  <si>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</si>
  <si>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</si>
  <si>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</si>
  <si>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</si>
  <si>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</si>
  <si>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</si>
  <si>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</si>
  <si>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</si>
  <si>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</si>
  <si>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</si>
  <si>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</si>
  <si>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</si>
  <si>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</si>
  <si>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</si>
  <si>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</si>
  <si>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</si>
  <si>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</si>
  <si>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</si>
  <si>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</si>
  <si>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</si>
  <si>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</si>
  <si>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</si>
  <si>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</si>
  <si>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</si>
  <si>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</si>
  <si>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</si>
  <si>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</si>
  <si>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</si>
  <si>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</si>
  <si>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</si>
  <si>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</si>
  <si>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</si>
  <si>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</si>
  <si>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</si>
  <si>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</si>
  <si>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</si>
  <si>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</si>
  <si>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</si>
  <si>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</si>
  <si>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</si>
  <si>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</si>
  <si>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</si>
  <si>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</si>
  <si>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</si>
  <si>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</si>
  <si>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</si>
  <si>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</si>
  <si>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</si>
  <si>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</si>
  <si>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</si>
  <si>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</si>
  <si>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</si>
  <si>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</si>
  <si>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</si>
  <si>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</si>
  <si>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</si>
  <si>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</si>
  <si>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</si>
  <si>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</si>
  <si>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</si>
  <si>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</si>
  <si>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</si>
  <si>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</si>
  <si>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</si>
  <si>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</si>
  <si>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</si>
  <si>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</si>
  <si>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</si>
  <si>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</si>
  <si>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</si>
  <si>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</si>
  <si>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</si>
  <si>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</si>
  <si>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</si>
  <si>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</si>
  <si>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</si>
  <si>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</si>
  <si>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</si>
  <si>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</si>
  <si>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</si>
  <si>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</si>
  <si>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</si>
  <si>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</si>
  <si>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</si>
  <si>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</si>
  <si>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</si>
  <si>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</si>
  <si>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</si>
  <si>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</si>
  <si>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</si>
  <si>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</si>
  <si>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</si>
  <si>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</si>
  <si>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</si>
  <si>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</si>
  <si>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</si>
  <si>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</si>
  <si>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</si>
  <si>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</si>
  <si>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</si>
  <si>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</si>
  <si>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</si>
  <si>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</si>
  <si>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</si>
  <si>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</si>
  <si>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</si>
  <si>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</si>
  <si>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</si>
  <si>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</si>
  <si>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</si>
  <si>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</si>
  <si>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</si>
  <si>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</si>
  <si>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</si>
  <si>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</si>
  <si>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</si>
  <si>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</si>
  <si>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</si>
  <si>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</si>
  <si>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</si>
  <si>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</si>
  <si>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</si>
  <si>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</si>
  <si>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</si>
  <si>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</si>
  <si>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</si>
  <si>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</si>
  <si>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</si>
  <si>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</si>
  <si>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</si>
  <si>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</si>
  <si>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</si>
  <si>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</si>
  <si>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</si>
  <si>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</si>
  <si>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</si>
  <si>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у тому числі:</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</si>
  <si>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</si>
  <si>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</si>
  <si>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</si>
  <si>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</si>
  <si>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</si>
  <si>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</si>
  <si>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</si>
  <si>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</si>
  <si>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</si>
  <si>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</si>
  <si>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</si>
  <si>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</si>
  <si>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</si>
  <si>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</si>
  <si>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</si>
  <si>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</si>
  <si>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</si>
  <si>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</si>
  <si>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</si>
  <si>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</si>
  <si>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</si>
  <si>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</si>
  <si>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</si>
  <si>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</si>
  <si>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</si>
  <si>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</si>
  <si>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</si>
  <si>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</si>
  <si>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</si>
  <si>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</si>
  <si>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</si>
  <si>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</si>
  <si>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</si>
  <si>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</si>
  <si>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</si>
  <si>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</si>
  <si>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</si>
  <si>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</si>
  <si>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</si>
  <si>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</si>
  <si>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r>
      <t>від  16.12.2016  № 560-12/VII</t>
    </r>
    <r>
      <rPr>
        <u val="single"/>
        <sz val="16"/>
        <rFont val="Times New Roman"/>
        <family val="1"/>
      </rPr>
      <t xml:space="preserve">                     </t>
    </r>
    <r>
      <rPr>
        <sz val="16"/>
        <rFont val="Times New Roman"/>
        <family val="1"/>
      </rPr>
      <t xml:space="preserve"> </t>
    </r>
  </si>
  <si>
    <t>Здійснення підтримки териториальної виборчої комісії у міжвиборчий період</t>
  </si>
  <si>
    <t>6018600</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</si>
  <si>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</si>
  <si>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</si>
  <si>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</si>
  <si>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</si>
  <si>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10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</si>
  <si>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</si>
  <si>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</si>
  <si>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8070</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</si>
  <si>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</si>
  <si>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в тому числі за рахунок субвенції з державного бюджету місцевим бюджетам на відшкодування вартості лікарських засобів для лікувіання окремих захворювань</t>
  </si>
  <si>
    <t>видатків міського бюджету  на 2017 рік</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</si>
  <si>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</si>
  <si>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0316010</t>
  </si>
  <si>
    <t>'Забезпечення надійного та безперебійного функціонування житлово-експлуатаційного господарства</t>
  </si>
  <si>
    <t>1419110</t>
  </si>
  <si>
    <t>4719110</t>
  </si>
  <si>
    <t>3217470</t>
  </si>
  <si>
    <t>7318600</t>
  </si>
  <si>
    <t>3216310</t>
  </si>
  <si>
    <t>Здійснення заходів з  розвитку туристичної галузі міста Кам'янське</t>
  </si>
  <si>
    <t>на освіту</t>
  </si>
  <si>
    <t>4716330</t>
  </si>
  <si>
    <t>6330</t>
  </si>
  <si>
    <t>Проведення невідкладних відновлювальних робіт, будівництво та реконструкція загальноосвітніх навчальних закладів</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</si>
  <si>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</si>
  <si>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в тому числі субвенція з державного бюджету місцевим бюджетам на здійснення заходів щодо соціально-економічного розвитку окремих територій</t>
  </si>
  <si>
    <t>0316310</t>
  </si>
  <si>
    <t>1516320</t>
  </si>
  <si>
    <t>Надання допомоги у вирішенні житлових питань</t>
  </si>
  <si>
    <t>1516324</t>
  </si>
  <si>
    <t>Будівництво та придбання житла для окремих категорій населення</t>
  </si>
  <si>
    <t>7616150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</si>
  <si>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</si>
  <si>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</si>
  <si>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</si>
  <si>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3023</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</si>
  <si>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</si>
  <si>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</si>
  <si>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Управління соціальної політики міської ради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</si>
  <si>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t>
  </si>
  <si>
    <t>споруд та прибудинкових територій), вивезення побутового сміття та рідких нечистот) та компенсації за пільговий проїзд окремих категорій громадян</t>
  </si>
  <si>
    <t>7700</t>
  </si>
  <si>
    <t>Інші природоохоронні заходи</t>
  </si>
  <si>
    <t>в тому числі за рахунок залишку освітньої субвенції з державного бюджету місцевим бюджетам</t>
  </si>
  <si>
    <t>в тому числі за рахунок залишку медичної субвенції з державного бюджету місцевим бюджетам</t>
  </si>
  <si>
    <t>в тому числі за рахунок субвенції здержавного бюджету місцевим бюджетам на здійснення заходів щодо соціально-економічного розвитку окремих територій</t>
  </si>
  <si>
    <t>в тому числі  за рахунок залишку коштів освітньої субвенції з державного бюджету місцевим бюджетам, що утворився на початок бюджетного періоду, на підтримку інклюзивної освіти</t>
  </si>
  <si>
    <t>в тому числі  за рахунок залишку коштів освітньої субвенції з державного бюджету місцевим бюджетам, що утворився на початок бюджетного періоду створення ресурсних кімнат для дітей з особливими освітніми потребами, що потребують інклюзивної освіти</t>
  </si>
  <si>
    <t>в тому числі на виконання доручень виборців депутатами обласної ради у 2017 році</t>
  </si>
  <si>
    <t>в тому числі за рахунок субвенції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</si>
  <si>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</si>
  <si>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r>
      <t xml:space="preserve">від </t>
    </r>
    <r>
      <rPr>
        <u val="single"/>
        <sz val="16"/>
        <rFont val="Times New Roman"/>
        <family val="1"/>
      </rPr>
      <t xml:space="preserve">29.09.2017 </t>
    </r>
    <r>
      <rPr>
        <sz val="16"/>
        <rFont val="Times New Roman"/>
        <family val="1"/>
      </rPr>
      <t xml:space="preserve">№ </t>
    </r>
    <r>
      <rPr>
        <u val="single"/>
        <sz val="16"/>
        <rFont val="Times New Roman"/>
        <family val="1"/>
      </rPr>
      <t>824-19/VII</t>
    </r>
    <r>
      <rPr>
        <sz val="16"/>
        <rFont val="Times New Roman"/>
        <family val="1"/>
      </rPr>
      <t>)</t>
    </r>
  </si>
</sst>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41">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1"/>
      <color indexed="10"/>
      <name val="Times New Roman"/>
      <family val="1"/>
    </font>
    <font>
      <sz val="12"/>
      <color indexed="10"/>
      <name val="Times New Roman"/>
      <family val="1"/>
    </font>
    <font>
      <i/>
      <sz val="12"/>
      <name val="Times New Roman"/>
      <family val="1"/>
    </font>
    <font>
      <sz val="16"/>
      <color indexed="10"/>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i/>
      <sz val="10"/>
      <name val="Times New Roman"/>
      <family val="1"/>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0" fillId="0" borderId="0">
      <alignment vertical="top"/>
      <protection/>
    </xf>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 borderId="0" applyNumberFormat="0" applyBorder="0" applyAlignment="0" applyProtection="0"/>
  </cellStyleXfs>
  <cellXfs count="192">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22" borderId="10" xfId="0" applyFont="1" applyFill="1" applyBorder="1" applyAlignment="1" quotePrefix="1">
      <alignment horizontal="center" vertical="center" wrapText="1"/>
    </xf>
    <xf numFmtId="49" fontId="8" fillId="22" borderId="10" xfId="0" applyNumberFormat="1" applyFont="1" applyFill="1" applyBorder="1" applyAlignment="1">
      <alignment horizontal="center" vertical="center" wrapText="1"/>
    </xf>
    <xf numFmtId="2" fontId="8" fillId="22" borderId="10" xfId="0" applyNumberFormat="1" applyFont="1" applyFill="1" applyBorder="1" applyAlignment="1">
      <alignment horizontal="center" vertical="center" wrapText="1"/>
    </xf>
    <xf numFmtId="4" fontId="8" fillId="22" borderId="10" xfId="0" applyNumberFormat="1" applyFont="1" applyFill="1" applyBorder="1" applyAlignment="1">
      <alignment vertical="center" wrapText="1"/>
    </xf>
    <xf numFmtId="4" fontId="8" fillId="24"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24"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24" borderId="10" xfId="0" applyFont="1" applyFill="1" applyBorder="1" applyAlignment="1" quotePrefix="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22"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24" borderId="10" xfId="0" applyNumberFormat="1" applyFont="1" applyFill="1" applyBorder="1" applyAlignment="1">
      <alignment vertical="center" wrapText="1"/>
    </xf>
    <xf numFmtId="0" fontId="8" fillId="0" borderId="0" xfId="0" applyFont="1" applyAlignment="1">
      <alignment vertical="center" wrapText="1"/>
    </xf>
    <xf numFmtId="0" fontId="8" fillId="24" borderId="10" xfId="0" applyFont="1" applyFill="1" applyBorder="1" applyAlignment="1">
      <alignment horizontal="center" vertical="center" wrapText="1"/>
    </xf>
    <xf numFmtId="0" fontId="7" fillId="24"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22"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wrapText="1"/>
    </xf>
    <xf numFmtId="4" fontId="7" fillId="24" borderId="10"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11" fillId="24" borderId="10" xfId="0" applyNumberFormat="1" applyFont="1" applyFill="1" applyBorder="1" applyAlignment="1">
      <alignment horizontal="right" vertical="center" wrapText="1"/>
    </xf>
    <xf numFmtId="4" fontId="12" fillId="24"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22" borderId="10" xfId="0" applyNumberFormat="1" applyFont="1" applyFill="1" applyBorder="1" applyAlignment="1" quotePrefix="1">
      <alignment horizontal="center" vertical="center" wrapText="1"/>
    </xf>
    <xf numFmtId="2" fontId="8" fillId="22"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22"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22"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24"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22" borderId="10" xfId="0" applyFont="1" applyFill="1" applyBorder="1" applyAlignment="1">
      <alignment horizontal="justify" vertical="center" wrapText="1"/>
    </xf>
    <xf numFmtId="2" fontId="7" fillId="0" borderId="0" xfId="0" applyNumberFormat="1" applyFont="1" applyAlignment="1">
      <alignment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22" borderId="16" xfId="0" applyNumberFormat="1" applyFont="1" applyFill="1" applyBorder="1" applyAlignment="1" quotePrefix="1">
      <alignment vertical="center" wrapText="1"/>
    </xf>
    <xf numFmtId="0" fontId="8" fillId="22"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8" fillId="0" borderId="10" xfId="0" applyNumberFormat="1" applyFont="1" applyBorder="1" applyAlignment="1">
      <alignment vertical="center" wrapText="1"/>
    </xf>
    <xf numFmtId="2" fontId="8" fillId="24" borderId="10" xfId="0" applyNumberFormat="1" applyFont="1" applyFill="1" applyBorder="1" applyAlignment="1">
      <alignment vertical="center" wrapText="1"/>
    </xf>
    <xf numFmtId="0" fontId="7" fillId="4" borderId="0" xfId="0" applyFont="1" applyFill="1" applyAlignment="1">
      <alignment vertical="center" wrapText="1"/>
    </xf>
    <xf numFmtId="0" fontId="14" fillId="4" borderId="0" xfId="0" applyFont="1" applyFill="1" applyAlignment="1">
      <alignment vertical="center" wrapText="1"/>
    </xf>
    <xf numFmtId="0" fontId="7" fillId="24" borderId="0" xfId="0" applyFont="1" applyFill="1" applyAlignment="1">
      <alignment vertical="center" wrapText="1"/>
    </xf>
    <xf numFmtId="0" fontId="8" fillId="24"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 fontId="15" fillId="0" borderId="0" xfId="0" applyNumberFormat="1" applyFont="1" applyAlignment="1">
      <alignment vertical="center" wrapText="1"/>
    </xf>
    <xf numFmtId="49" fontId="9" fillId="0" borderId="0" xfId="0" applyNumberFormat="1" applyFont="1" applyAlignment="1">
      <alignment horizontal="right" vertical="center" wrapText="1"/>
    </xf>
    <xf numFmtId="4" fontId="9" fillId="0" borderId="0" xfId="0" applyNumberFormat="1" applyFont="1" applyAlignment="1">
      <alignment vertical="center" wrapText="1"/>
    </xf>
    <xf numFmtId="4" fontId="9" fillId="0" borderId="0" xfId="0" applyNumberFormat="1" applyFont="1" applyAlignment="1">
      <alignment horizontal="right" vertical="center" wrapText="1"/>
    </xf>
    <xf numFmtId="2" fontId="11" fillId="0" borderId="10" xfId="0" applyNumberFormat="1" applyFont="1" applyBorder="1" applyAlignment="1">
      <alignment vertical="center" wrapText="1"/>
    </xf>
    <xf numFmtId="0" fontId="18" fillId="0" borderId="0" xfId="0" applyFont="1" applyAlignment="1">
      <alignment vertical="center" wrapText="1"/>
    </xf>
    <xf numFmtId="4" fontId="18" fillId="0" borderId="0" xfId="0" applyNumberFormat="1" applyFont="1" applyAlignment="1">
      <alignment vertical="center" wrapText="1"/>
    </xf>
    <xf numFmtId="4" fontId="14" fillId="0" borderId="0" xfId="0" applyNumberFormat="1" applyFont="1" applyAlignment="1">
      <alignment vertical="center" wrapText="1"/>
    </xf>
    <xf numFmtId="4" fontId="7" fillId="4" borderId="0" xfId="0" applyNumberFormat="1" applyFont="1" applyFill="1" applyAlignment="1">
      <alignment vertical="center" wrapText="1"/>
    </xf>
    <xf numFmtId="4" fontId="14" fillId="4" borderId="0" xfId="0" applyNumberFormat="1" applyFont="1" applyFill="1" applyAlignment="1">
      <alignment vertical="center" wrapText="1"/>
    </xf>
    <xf numFmtId="4" fontId="8" fillId="0" borderId="0" xfId="0" applyNumberFormat="1" applyFont="1" applyAlignment="1">
      <alignment vertical="center" wrapText="1"/>
    </xf>
    <xf numFmtId="4" fontId="7" fillId="22" borderId="0" xfId="0" applyNumberFormat="1" applyFont="1" applyFill="1" applyAlignment="1">
      <alignment vertical="center" wrapText="1"/>
    </xf>
    <xf numFmtId="4" fontId="8" fillId="24" borderId="0" xfId="0" applyNumberFormat="1" applyFont="1" applyFill="1" applyAlignment="1">
      <alignment vertical="center" wrapText="1"/>
    </xf>
    <xf numFmtId="4" fontId="7" fillId="24" borderId="0" xfId="0" applyNumberFormat="1" applyFont="1" applyFill="1" applyAlignment="1">
      <alignment vertical="center" wrapText="1"/>
    </xf>
    <xf numFmtId="4" fontId="19" fillId="4" borderId="0" xfId="0" applyNumberFormat="1" applyFont="1" applyFill="1" applyAlignment="1">
      <alignment vertical="center" wrapText="1"/>
    </xf>
    <xf numFmtId="2" fontId="11" fillId="0" borderId="10" xfId="0" applyNumberFormat="1" applyFont="1" applyFill="1" applyBorder="1" applyAlignment="1" quotePrefix="1">
      <alignment horizontal="center" vertical="center" wrapText="1"/>
    </xf>
    <xf numFmtId="2" fontId="11" fillId="0" borderId="10" xfId="0" applyNumberFormat="1" applyFont="1" applyFill="1" applyBorder="1" applyAlignment="1">
      <alignment vertical="center" wrapText="1"/>
    </xf>
    <xf numFmtId="49" fontId="11" fillId="0" borderId="10" xfId="0" applyNumberFormat="1" applyFont="1" applyBorder="1" applyAlignment="1">
      <alignment horizontal="center" vertical="center" wrapText="1"/>
    </xf>
    <xf numFmtId="0" fontId="11" fillId="0" borderId="10" xfId="0" applyFont="1" applyFill="1" applyBorder="1" applyAlignment="1" quotePrefix="1">
      <alignment horizontal="center" vertical="center" wrapText="1"/>
    </xf>
    <xf numFmtId="49" fontId="11" fillId="0" borderId="10" xfId="0" applyNumberFormat="1" applyFont="1" applyFill="1" applyBorder="1" applyAlignment="1">
      <alignment horizontal="center" vertical="center" wrapText="1"/>
    </xf>
    <xf numFmtId="4" fontId="11" fillId="0" borderId="0" xfId="0" applyNumberFormat="1" applyFont="1" applyAlignment="1">
      <alignment vertical="center" wrapText="1"/>
    </xf>
    <xf numFmtId="3" fontId="11" fillId="0" borderId="10" xfId="0" applyNumberFormat="1" applyFont="1" applyBorder="1" applyAlignment="1">
      <alignment vertical="center" wrapText="1"/>
    </xf>
    <xf numFmtId="3" fontId="11" fillId="24" borderId="10" xfId="0" applyNumberFormat="1" applyFont="1" applyFill="1" applyBorder="1" applyAlignment="1">
      <alignment vertical="center" wrapText="1"/>
    </xf>
    <xf numFmtId="2" fontId="20" fillId="0" borderId="10" xfId="0" applyNumberFormat="1" applyFont="1" applyBorder="1" applyAlignment="1">
      <alignment vertical="center" wrapText="1"/>
    </xf>
    <xf numFmtId="4" fontId="8" fillId="22" borderId="0" xfId="0" applyNumberFormat="1" applyFont="1" applyFill="1" applyAlignment="1">
      <alignment vertical="center" wrapText="1"/>
    </xf>
    <xf numFmtId="0" fontId="8" fillId="22" borderId="0" xfId="0" applyFont="1" applyFill="1" applyAlignment="1">
      <alignment vertical="center" wrapText="1"/>
    </xf>
    <xf numFmtId="4" fontId="8" fillId="0" borderId="10" xfId="0" applyNumberFormat="1" applyFont="1" applyFill="1" applyBorder="1" applyAlignment="1">
      <alignment vertical="center" wrapText="1"/>
    </xf>
    <xf numFmtId="4" fontId="7" fillId="0" borderId="0" xfId="0" applyNumberFormat="1" applyFont="1" applyFill="1" applyAlignment="1">
      <alignment vertical="center" wrapText="1"/>
    </xf>
    <xf numFmtId="0" fontId="7" fillId="0" borderId="0" xfId="0" applyFont="1" applyFill="1" applyAlignment="1">
      <alignment vertical="center" wrapText="1"/>
    </xf>
    <xf numFmtId="2" fontId="8" fillId="4" borderId="10" xfId="0" applyNumberFormat="1" applyFont="1" applyFill="1" applyBorder="1" applyAlignment="1" quotePrefix="1">
      <alignment vertical="top" wrapText="1"/>
    </xf>
    <xf numFmtId="4" fontId="7" fillId="4" borderId="10" xfId="0" applyNumberFormat="1" applyFont="1" applyFill="1" applyBorder="1" applyAlignment="1">
      <alignment vertical="center" wrapText="1"/>
    </xf>
    <xf numFmtId="0" fontId="7" fillId="4" borderId="10" xfId="0" applyFont="1" applyFill="1" applyBorder="1" applyAlignment="1">
      <alignment vertical="center" wrapText="1"/>
    </xf>
    <xf numFmtId="0" fontId="8" fillId="0" borderId="10" xfId="0" applyFont="1" applyFill="1" applyBorder="1" applyAlignment="1" quotePrefix="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vertical="top" wrapText="1"/>
    </xf>
    <xf numFmtId="0" fontId="7" fillId="0" borderId="10" xfId="0" applyFont="1" applyBorder="1" applyAlignment="1">
      <alignment vertical="top" wrapText="1"/>
    </xf>
    <xf numFmtId="0" fontId="7" fillId="0" borderId="10" xfId="0" applyFont="1" applyBorder="1" applyAlignment="1">
      <alignment horizontal="justify"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vertical="top" wrapText="1"/>
    </xf>
    <xf numFmtId="0" fontId="8" fillId="22" borderId="10" xfId="0" applyFont="1" applyFill="1" applyBorder="1" applyAlignment="1">
      <alignment horizontal="center" vertical="top" wrapText="1"/>
    </xf>
    <xf numFmtId="0" fontId="8" fillId="22" borderId="10" xfId="0" applyFont="1" applyFill="1" applyBorder="1" applyAlignment="1">
      <alignment vertical="top" wrapText="1"/>
    </xf>
    <xf numFmtId="0" fontId="8" fillId="0" borderId="10" xfId="0" applyNumberFormat="1" applyFont="1" applyBorder="1" applyAlignment="1" quotePrefix="1">
      <alignment horizontal="center" vertical="center" wrapText="1"/>
    </xf>
    <xf numFmtId="4" fontId="11" fillId="25" borderId="10" xfId="0" applyNumberFormat="1" applyFont="1" applyFill="1" applyBorder="1" applyAlignment="1" applyProtection="1">
      <alignment horizontal="right" vertical="center" wrapText="1"/>
      <protection/>
    </xf>
    <xf numFmtId="0" fontId="8" fillId="24" borderId="10" xfId="0" applyFont="1" applyFill="1" applyBorder="1" applyAlignment="1">
      <alignment horizontal="center" vertical="top" wrapText="1"/>
    </xf>
    <xf numFmtId="0" fontId="8" fillId="24" borderId="10" xfId="0" applyFont="1" applyFill="1" applyBorder="1" applyAlignment="1">
      <alignment vertical="top" wrapText="1"/>
    </xf>
    <xf numFmtId="4" fontId="8" fillId="22" borderId="13" xfId="0" applyNumberFormat="1" applyFont="1" applyFill="1" applyBorder="1" applyAlignment="1">
      <alignment vertical="center" wrapText="1"/>
    </xf>
    <xf numFmtId="4" fontId="8" fillId="0" borderId="11" xfId="0" applyNumberFormat="1" applyFont="1" applyFill="1" applyBorder="1" applyAlignment="1">
      <alignment vertical="center" wrapText="1"/>
    </xf>
    <xf numFmtId="192" fontId="39" fillId="0" borderId="10" xfId="49" applyNumberFormat="1" applyFont="1" applyBorder="1" applyAlignment="1">
      <alignment vertical="center" wrapText="1"/>
      <protection/>
    </xf>
    <xf numFmtId="0" fontId="6" fillId="0" borderId="0" xfId="0" applyFont="1" applyAlignment="1">
      <alignment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right" vertical="center" wrapText="1"/>
    </xf>
    <xf numFmtId="0" fontId="6" fillId="0" borderId="0" xfId="0" applyFont="1" applyAlignment="1">
      <alignment horizontal="center" vertical="center" wrapText="1"/>
    </xf>
    <xf numFmtId="4" fontId="7" fillId="24" borderId="10" xfId="0" applyNumberFormat="1" applyFont="1" applyFill="1" applyBorder="1" applyAlignment="1">
      <alignment horizontal="center"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0" fontId="15" fillId="0" borderId="0" xfId="0" applyFont="1" applyAlignment="1">
      <alignment horizontal="center"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0" fontId="15" fillId="0" borderId="0" xfId="0" applyFont="1" applyAlignment="1">
      <alignment vertical="center" wrapText="1"/>
    </xf>
    <xf numFmtId="0" fontId="8" fillId="0" borderId="10" xfId="0" applyFont="1" applyBorder="1" applyAlignment="1">
      <alignment horizontal="center" vertical="top" wrapText="1"/>
    </xf>
    <xf numFmtId="0" fontId="7" fillId="24" borderId="10" xfId="0" applyFont="1" applyFill="1" applyBorder="1" applyAlignment="1">
      <alignment horizontal="center" vertical="center" wrapText="1"/>
    </xf>
    <xf numFmtId="0" fontId="7" fillId="0" borderId="10" xfId="0" applyFont="1" applyBorder="1" applyAlignment="1">
      <alignment horizontal="center" vertical="center" wrapText="1"/>
    </xf>
    <xf numFmtId="4" fontId="8" fillId="4" borderId="10" xfId="0" applyNumberFormat="1" applyFont="1" applyFill="1" applyBorder="1" applyAlignment="1">
      <alignment horizontal="center" vertical="center" wrapText="1"/>
    </xf>
    <xf numFmtId="0" fontId="7" fillId="24" borderId="10" xfId="0" applyFont="1" applyFill="1" applyBorder="1" applyAlignment="1">
      <alignment horizontal="right" vertical="center" wrapText="1"/>
    </xf>
    <xf numFmtId="0" fontId="7" fillId="0" borderId="10" xfId="0" applyFont="1" applyBorder="1" applyAlignment="1">
      <alignment horizontal="right" vertical="center" wrapText="1"/>
    </xf>
    <xf numFmtId="4" fontId="8" fillId="0" borderId="10" xfId="0" applyNumberFormat="1" applyFont="1" applyFill="1" applyBorder="1" applyAlignment="1">
      <alignment horizontal="center"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24" borderId="17"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0" fontId="15" fillId="0" borderId="0" xfId="0" applyFont="1" applyAlignment="1">
      <alignment horizontal="left" vertical="center" wrapText="1"/>
    </xf>
    <xf numFmtId="0" fontId="21" fillId="0" borderId="0" xfId="0" applyFont="1" applyAlignment="1">
      <alignment horizontal="left" vertical="center" wrapText="1"/>
    </xf>
    <xf numFmtId="4" fontId="8" fillId="0" borderId="11" xfId="0"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4" fontId="8" fillId="4" borderId="11" xfId="0" applyNumberFormat="1" applyFont="1" applyFill="1" applyBorder="1" applyAlignment="1">
      <alignment horizontal="center" vertical="center" wrapText="1"/>
    </xf>
    <xf numFmtId="4" fontId="8" fillId="4" borderId="13" xfId="0" applyNumberFormat="1" applyFont="1" applyFill="1" applyBorder="1" applyAlignment="1">
      <alignment horizontal="center" vertical="center" wrapText="1"/>
    </xf>
    <xf numFmtId="4" fontId="7" fillId="24" borderId="11" xfId="0" applyNumberFormat="1" applyFont="1" applyFill="1" applyBorder="1" applyAlignment="1">
      <alignment horizontal="center" vertical="center" wrapText="1"/>
    </xf>
    <xf numFmtId="4" fontId="7" fillId="24" borderId="13"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8.123\&#1082;&#1072;&#1085;&#1094;&#1077;&#1083;&#1103;&#1088;&#1080;&#1103;\&#1041;&#1070;&#1044;&#1046;&#1045;&#1058;%20&#1053;&#1054;&#1042;&#1040;&#1071;\&#1041;&#1070;&#1044;&#1046;&#1045;&#1058;%202017\&#1082;&#1074;&#1110;&#1090;&#1077;&#1085;&#1100;\&#1088;&#1110;&#1096;&#1077;&#1085;&#1085;&#1103;%20&#8470;710-16%20&#1074;&#1110;&#1076;%2021.04.2017\&#1076;&#1086;&#1076;&#1072;&#1090;&#1086;&#1082;3_&#1092;&#1086;&#1088;&#1084;&#1091;&#108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5">
          <cell r="P15">
            <v>15380066</v>
          </cell>
        </row>
        <row r="17">
          <cell r="P17">
            <v>14200766</v>
          </cell>
        </row>
        <row r="18">
          <cell r="P18">
            <v>850000</v>
          </cell>
        </row>
        <row r="21">
          <cell r="P21">
            <v>329300</v>
          </cell>
        </row>
        <row r="24">
          <cell r="P24">
            <v>23682578</v>
          </cell>
        </row>
        <row r="25">
          <cell r="P25">
            <v>7922757</v>
          </cell>
        </row>
        <row r="26">
          <cell r="P26">
            <v>4654404</v>
          </cell>
        </row>
        <row r="27">
          <cell r="P27">
            <v>60900</v>
          </cell>
        </row>
        <row r="28">
          <cell r="P28">
            <v>2380000</v>
          </cell>
        </row>
        <row r="29">
          <cell r="P29">
            <v>827453</v>
          </cell>
        </row>
        <row r="31">
          <cell r="P31">
            <v>8340633</v>
          </cell>
        </row>
        <row r="32">
          <cell r="P32">
            <v>5472819</v>
          </cell>
        </row>
        <row r="33">
          <cell r="P33">
            <v>40000</v>
          </cell>
        </row>
        <row r="34">
          <cell r="P34">
            <v>2195000</v>
          </cell>
        </row>
        <row r="35">
          <cell r="P35">
            <v>632814</v>
          </cell>
        </row>
        <row r="37">
          <cell r="P37">
            <v>7419188</v>
          </cell>
        </row>
        <row r="38">
          <cell r="P38">
            <v>4390899</v>
          </cell>
        </row>
        <row r="40">
          <cell r="P40">
            <v>2405000</v>
          </cell>
        </row>
        <row r="41">
          <cell r="P41">
            <v>523289</v>
          </cell>
        </row>
        <row r="43">
          <cell r="P43">
            <v>661990358.95</v>
          </cell>
        </row>
        <row r="45">
          <cell r="P45">
            <v>1608232</v>
          </cell>
        </row>
        <row r="46">
          <cell r="P46">
            <v>188304433</v>
          </cell>
        </row>
        <row r="52">
          <cell r="P52">
            <v>26344107</v>
          </cell>
        </row>
        <row r="55">
          <cell r="P55">
            <v>19439657</v>
          </cell>
        </row>
        <row r="57">
          <cell r="P57">
            <v>4328500</v>
          </cell>
        </row>
        <row r="58">
          <cell r="P58">
            <v>2034700</v>
          </cell>
        </row>
        <row r="59">
          <cell r="P59">
            <v>1760100</v>
          </cell>
        </row>
        <row r="60">
          <cell r="P60">
            <v>126700</v>
          </cell>
        </row>
        <row r="61">
          <cell r="P61">
            <v>59000</v>
          </cell>
        </row>
        <row r="63">
          <cell r="P63">
            <v>4202100</v>
          </cell>
        </row>
        <row r="64">
          <cell r="P64">
            <v>375900</v>
          </cell>
        </row>
        <row r="65">
          <cell r="P65">
            <v>20708500</v>
          </cell>
        </row>
        <row r="66">
          <cell r="P66">
            <v>1247200</v>
          </cell>
        </row>
        <row r="67">
          <cell r="P67">
            <v>5202560</v>
          </cell>
        </row>
        <row r="68">
          <cell r="P68">
            <v>3202870</v>
          </cell>
        </row>
        <row r="69">
          <cell r="P69">
            <v>22919470</v>
          </cell>
        </row>
        <row r="70">
          <cell r="P70">
            <v>531400</v>
          </cell>
        </row>
        <row r="73">
          <cell r="P73">
            <v>324800</v>
          </cell>
        </row>
        <row r="76">
          <cell r="P76">
            <v>15627600</v>
          </cell>
        </row>
        <row r="79">
          <cell r="P79">
            <v>6486700</v>
          </cell>
        </row>
        <row r="81">
          <cell r="P81">
            <v>99600</v>
          </cell>
        </row>
        <row r="83">
          <cell r="P83">
            <v>2280900</v>
          </cell>
        </row>
        <row r="86">
          <cell r="P86">
            <v>446876</v>
          </cell>
        </row>
        <row r="87">
          <cell r="P87">
            <v>860000</v>
          </cell>
        </row>
        <row r="88">
          <cell r="P88">
            <v>62100</v>
          </cell>
        </row>
        <row r="89">
          <cell r="P89">
            <v>408720657.4</v>
          </cell>
        </row>
        <row r="91">
          <cell r="P91">
            <v>2813057</v>
          </cell>
        </row>
        <row r="94">
          <cell r="P94">
            <v>33814659</v>
          </cell>
        </row>
        <row r="97">
          <cell r="P97">
            <v>6153346</v>
          </cell>
        </row>
        <row r="99">
          <cell r="P99">
            <v>17287873</v>
          </cell>
        </row>
        <row r="101">
          <cell r="P101">
            <v>102404995</v>
          </cell>
        </row>
        <row r="104">
          <cell r="P104">
            <v>2029546</v>
          </cell>
        </row>
        <row r="105">
          <cell r="P105">
            <v>31238693</v>
          </cell>
        </row>
        <row r="107">
          <cell r="P107">
            <v>58500</v>
          </cell>
        </row>
        <row r="108">
          <cell r="P108">
            <v>5100000</v>
          </cell>
        </row>
        <row r="113">
          <cell r="P113">
            <v>2099300</v>
          </cell>
        </row>
        <row r="117">
          <cell r="P117">
            <v>1000000</v>
          </cell>
        </row>
        <row r="118">
          <cell r="P118">
            <v>25000</v>
          </cell>
        </row>
        <row r="119">
          <cell r="P119">
            <v>380000</v>
          </cell>
        </row>
        <row r="122">
          <cell r="P122">
            <v>6536600</v>
          </cell>
        </row>
        <row r="125">
          <cell r="P125">
            <v>11367</v>
          </cell>
        </row>
        <row r="127">
          <cell r="P127">
            <v>599212643</v>
          </cell>
        </row>
        <row r="129">
          <cell r="P129">
            <v>7192700</v>
          </cell>
        </row>
        <row r="130">
          <cell r="P130">
            <v>4327356</v>
          </cell>
        </row>
        <row r="132">
          <cell r="P132">
            <v>101359185</v>
          </cell>
        </row>
        <row r="146">
          <cell r="P146">
            <v>126740</v>
          </cell>
        </row>
        <row r="153">
          <cell r="P153">
            <v>91193300</v>
          </cell>
        </row>
        <row r="174">
          <cell r="P174">
            <v>5515660</v>
          </cell>
        </row>
        <row r="176">
          <cell r="P176">
            <v>627300</v>
          </cell>
        </row>
        <row r="178">
          <cell r="P178">
            <v>601100</v>
          </cell>
        </row>
        <row r="179">
          <cell r="P179">
            <v>50000</v>
          </cell>
        </row>
        <row r="181">
          <cell r="P181">
            <v>21000</v>
          </cell>
        </row>
        <row r="184">
          <cell r="P184">
            <v>7592932</v>
          </cell>
        </row>
        <row r="185">
          <cell r="P185">
            <v>1756300</v>
          </cell>
        </row>
        <row r="187">
          <cell r="P187">
            <v>79203751.9</v>
          </cell>
        </row>
        <row r="199">
          <cell r="P199">
            <v>64260</v>
          </cell>
        </row>
        <row r="202">
          <cell r="P202">
            <v>91332400</v>
          </cell>
        </row>
        <row r="223">
          <cell r="P223">
            <v>5009400</v>
          </cell>
        </row>
        <row r="225">
          <cell r="P225">
            <v>365600</v>
          </cell>
        </row>
        <row r="227">
          <cell r="P227">
            <v>955500</v>
          </cell>
        </row>
        <row r="228">
          <cell r="P228">
            <v>55000</v>
          </cell>
        </row>
        <row r="230">
          <cell r="P230">
            <v>21000</v>
          </cell>
        </row>
        <row r="232">
          <cell r="P232">
            <v>7062195</v>
          </cell>
        </row>
        <row r="233">
          <cell r="P233">
            <v>1845400</v>
          </cell>
        </row>
        <row r="235">
          <cell r="P235">
            <v>91945663.1</v>
          </cell>
        </row>
        <row r="247">
          <cell r="P247">
            <v>80100</v>
          </cell>
        </row>
        <row r="254">
          <cell r="P254">
            <v>81460900</v>
          </cell>
        </row>
        <row r="275">
          <cell r="P275">
            <v>5833500</v>
          </cell>
        </row>
        <row r="277">
          <cell r="P277">
            <v>322700</v>
          </cell>
        </row>
        <row r="279">
          <cell r="P279">
            <v>609600</v>
          </cell>
        </row>
        <row r="280">
          <cell r="P280">
            <v>55000</v>
          </cell>
        </row>
        <row r="282">
          <cell r="P282">
            <v>15800</v>
          </cell>
        </row>
        <row r="283">
          <cell r="P283">
            <v>6743360</v>
          </cell>
        </row>
        <row r="285">
          <cell r="P285">
            <v>823560</v>
          </cell>
        </row>
        <row r="286">
          <cell r="P286">
            <v>3721900</v>
          </cell>
        </row>
        <row r="289">
          <cell r="P289">
            <v>45000</v>
          </cell>
        </row>
        <row r="290">
          <cell r="P290">
            <v>711979</v>
          </cell>
        </row>
        <row r="291">
          <cell r="P291">
            <v>693079</v>
          </cell>
        </row>
        <row r="292">
          <cell r="P292">
            <v>18900</v>
          </cell>
        </row>
        <row r="294">
          <cell r="P294">
            <v>729412</v>
          </cell>
        </row>
        <row r="295">
          <cell r="P295">
            <v>719412</v>
          </cell>
        </row>
        <row r="298">
          <cell r="P298">
            <v>711509</v>
          </cell>
        </row>
        <row r="299">
          <cell r="P299">
            <v>696509</v>
          </cell>
        </row>
        <row r="302">
          <cell r="P302">
            <v>1050631</v>
          </cell>
        </row>
        <row r="304">
          <cell r="P304">
            <v>1050631</v>
          </cell>
        </row>
        <row r="305">
          <cell r="P305">
            <v>484614</v>
          </cell>
        </row>
        <row r="307">
          <cell r="P307">
            <v>387698</v>
          </cell>
        </row>
        <row r="308">
          <cell r="P308">
            <v>96916</v>
          </cell>
        </row>
        <row r="310">
          <cell r="P310">
            <v>5068066</v>
          </cell>
        </row>
        <row r="311">
          <cell r="P311">
            <v>5068066</v>
          </cell>
        </row>
        <row r="312">
          <cell r="P312">
            <v>5058066</v>
          </cell>
        </row>
        <row r="313">
          <cell r="P313">
            <v>10000</v>
          </cell>
        </row>
        <row r="314">
          <cell r="P314">
            <v>6648002</v>
          </cell>
        </row>
        <row r="316">
          <cell r="P316">
            <v>4308002</v>
          </cell>
        </row>
        <row r="323">
          <cell r="P323">
            <v>309388259</v>
          </cell>
        </row>
        <row r="325">
          <cell r="P325">
            <v>5296679</v>
          </cell>
        </row>
        <row r="326">
          <cell r="P326">
            <v>400000</v>
          </cell>
        </row>
        <row r="327">
          <cell r="P327">
            <v>28550580</v>
          </cell>
        </row>
        <row r="328">
          <cell r="P328">
            <v>3385000</v>
          </cell>
        </row>
        <row r="330">
          <cell r="P330">
            <v>1000000</v>
          </cell>
        </row>
        <row r="332">
          <cell r="P332">
            <v>81800000</v>
          </cell>
        </row>
        <row r="333">
          <cell r="P333">
            <v>2000000</v>
          </cell>
        </row>
        <row r="334">
          <cell r="P334">
            <v>11210000</v>
          </cell>
        </row>
        <row r="335">
          <cell r="P335">
            <v>500000</v>
          </cell>
        </row>
        <row r="336">
          <cell r="P336">
            <v>1146000</v>
          </cell>
        </row>
        <row r="337">
          <cell r="P337">
            <v>0</v>
          </cell>
        </row>
        <row r="338">
          <cell r="P338">
            <v>38600000</v>
          </cell>
        </row>
        <row r="339">
          <cell r="P339">
            <v>72990000</v>
          </cell>
        </row>
        <row r="340">
          <cell r="P340">
            <v>2510000</v>
          </cell>
        </row>
        <row r="345">
          <cell r="P345">
            <v>60000000</v>
          </cell>
        </row>
        <row r="348">
          <cell r="P348">
            <v>4374137</v>
          </cell>
        </row>
        <row r="349">
          <cell r="P349">
            <v>3443792</v>
          </cell>
        </row>
        <row r="350">
          <cell r="P350">
            <v>2177792</v>
          </cell>
        </row>
        <row r="351">
          <cell r="P351">
            <v>266000</v>
          </cell>
        </row>
        <row r="352">
          <cell r="P352">
            <v>500000</v>
          </cell>
        </row>
        <row r="356">
          <cell r="P356">
            <v>930345</v>
          </cell>
        </row>
        <row r="357">
          <cell r="P357">
            <v>930345</v>
          </cell>
        </row>
        <row r="358">
          <cell r="P358">
            <v>10870049.8</v>
          </cell>
        </row>
        <row r="360">
          <cell r="P360">
            <v>1072199</v>
          </cell>
        </row>
        <row r="361">
          <cell r="P361">
            <v>200000</v>
          </cell>
        </row>
        <row r="362">
          <cell r="P362">
            <v>7533974.8</v>
          </cell>
        </row>
        <row r="363">
          <cell r="P363">
            <v>1504200</v>
          </cell>
        </row>
        <row r="364">
          <cell r="P364">
            <v>500000</v>
          </cell>
        </row>
        <row r="365">
          <cell r="P365">
            <v>27900</v>
          </cell>
        </row>
        <row r="366">
          <cell r="P366">
            <v>31776</v>
          </cell>
        </row>
        <row r="369">
          <cell r="P369">
            <v>50082962</v>
          </cell>
        </row>
        <row r="371">
          <cell r="P371">
            <v>867962</v>
          </cell>
        </row>
        <row r="376">
          <cell r="P376">
            <v>4126730</v>
          </cell>
        </row>
        <row r="378">
          <cell r="P378">
            <v>1556130</v>
          </cell>
        </row>
        <row r="379">
          <cell r="P379">
            <v>2370600</v>
          </cell>
        </row>
        <row r="381">
          <cell r="P381">
            <v>3107813</v>
          </cell>
        </row>
        <row r="383">
          <cell r="P383">
            <v>2822813</v>
          </cell>
        </row>
        <row r="385">
          <cell r="P385">
            <v>4737977</v>
          </cell>
        </row>
        <row r="387">
          <cell r="P387">
            <v>4737977</v>
          </cell>
        </row>
        <row r="388">
          <cell r="P388">
            <v>11825315.65</v>
          </cell>
        </row>
        <row r="390">
          <cell r="P390">
            <v>9000000</v>
          </cell>
        </row>
        <row r="391">
          <cell r="P391">
            <v>10125315.65</v>
          </cell>
        </row>
        <row r="392">
          <cell r="P392">
            <v>854000</v>
          </cell>
        </row>
        <row r="393">
          <cell r="P393">
            <v>0</v>
          </cell>
        </row>
        <row r="394">
          <cell r="P394">
            <v>1700000</v>
          </cell>
        </row>
        <row r="395">
          <cell r="P395">
            <v>2136494219.8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6"/>
  <sheetViews>
    <sheetView tabSelected="1" view="pageBreakPreview" zoomScale="70" zoomScaleNormal="65" zoomScaleSheetLayoutView="70" zoomScalePageLayoutView="0" workbookViewId="0" topLeftCell="A3">
      <pane xSplit="5" ySplit="12" topLeftCell="F117" activePane="bottomRight" state="frozen"/>
      <selection pane="topLeft" activeCell="A3" sqref="A3"/>
      <selection pane="topRight" activeCell="F3" sqref="F3"/>
      <selection pane="bottomLeft" activeCell="A15" sqref="A15"/>
      <selection pane="bottomRight" activeCell="N122" sqref="N122"/>
    </sheetView>
  </sheetViews>
  <sheetFormatPr defaultColWidth="9.00390625" defaultRowHeight="12.75"/>
  <cols>
    <col min="1" max="1" width="12.00390625" style="6" customWidth="1"/>
    <col min="2" max="2" width="7.75390625" style="6" customWidth="1"/>
    <col min="3" max="3" width="7.25390625" style="6" customWidth="1"/>
    <col min="4" max="4" width="40.75390625" style="6" customWidth="1"/>
    <col min="5" max="5" width="17.75390625" style="7" customWidth="1"/>
    <col min="6" max="6" width="18.00390625" style="6" customWidth="1"/>
    <col min="7" max="7" width="16.00390625" style="6" customWidth="1"/>
    <col min="8" max="8" width="14.75390625" style="6" customWidth="1"/>
    <col min="9" max="9" width="16.75390625" style="6" customWidth="1"/>
    <col min="10" max="10" width="16.625" style="7" customWidth="1"/>
    <col min="11" max="11" width="16.75390625" style="6" customWidth="1"/>
    <col min="12" max="12" width="13.375" style="6" customWidth="1"/>
    <col min="13" max="13" width="12.00390625" style="6" customWidth="1"/>
    <col min="14" max="14" width="17.125" style="6" customWidth="1"/>
    <col min="15" max="15" width="17.75390625" style="6" customWidth="1"/>
    <col min="16" max="16" width="22.125" style="6" customWidth="1"/>
    <col min="17" max="17" width="16.125" style="6" customWidth="1"/>
    <col min="18" max="18" width="15.75390625" style="6" bestFit="1" customWidth="1"/>
    <col min="19" max="19" width="10.75390625" style="6" bestFit="1" customWidth="1"/>
    <col min="20" max="16384" width="9.125" style="6" customWidth="1"/>
  </cols>
  <sheetData>
    <row r="1" spans="5:16" s="101" customFormat="1" ht="20.25">
      <c r="E1" s="102"/>
      <c r="J1" s="102"/>
      <c r="L1" s="184" t="s">
        <v>498</v>
      </c>
      <c r="M1" s="184"/>
      <c r="N1" s="184"/>
      <c r="O1" s="184"/>
      <c r="P1" s="184"/>
    </row>
    <row r="2" spans="5:16" s="101" customFormat="1" ht="20.25">
      <c r="E2" s="102"/>
      <c r="J2" s="102"/>
      <c r="L2" s="184" t="s">
        <v>499</v>
      </c>
      <c r="M2" s="184"/>
      <c r="N2" s="184"/>
      <c r="O2" s="184"/>
      <c r="P2" s="184"/>
    </row>
    <row r="3" spans="5:16" s="101" customFormat="1" ht="20.25">
      <c r="E3" s="102"/>
      <c r="J3" s="102"/>
      <c r="L3" s="184" t="s">
        <v>529</v>
      </c>
      <c r="M3" s="184"/>
      <c r="N3" s="184"/>
      <c r="O3" s="184"/>
      <c r="P3" s="184"/>
    </row>
    <row r="4" spans="4:16" s="101" customFormat="1" ht="20.25">
      <c r="D4" s="109"/>
      <c r="E4" s="102"/>
      <c r="J4" s="102"/>
      <c r="L4" s="184" t="s">
        <v>500</v>
      </c>
      <c r="M4" s="184"/>
      <c r="N4" s="184"/>
      <c r="O4" s="184"/>
      <c r="P4" s="184"/>
    </row>
    <row r="5" spans="5:16" s="101" customFormat="1" ht="20.25">
      <c r="E5" s="102"/>
      <c r="J5" s="102"/>
      <c r="L5" s="184" t="s">
        <v>583</v>
      </c>
      <c r="M5" s="185"/>
      <c r="N5" s="185"/>
      <c r="O5" s="185"/>
      <c r="P5" s="185"/>
    </row>
    <row r="6" spans="5:10" s="101" customFormat="1" ht="20.25">
      <c r="E6" s="102"/>
      <c r="J6" s="102"/>
    </row>
    <row r="7" spans="1:16" s="101" customFormat="1" ht="20.25">
      <c r="A7" s="169" t="s">
        <v>0</v>
      </c>
      <c r="B7" s="169"/>
      <c r="C7" s="169"/>
      <c r="D7" s="169"/>
      <c r="E7" s="169"/>
      <c r="F7" s="169"/>
      <c r="G7" s="169"/>
      <c r="H7" s="169"/>
      <c r="I7" s="169"/>
      <c r="J7" s="169"/>
      <c r="K7" s="169"/>
      <c r="L7" s="169"/>
      <c r="M7" s="169"/>
      <c r="N7" s="169"/>
      <c r="O7" s="169"/>
      <c r="P7" s="169"/>
    </row>
    <row r="8" spans="1:16" s="101" customFormat="1" ht="20.25">
      <c r="A8" s="169" t="s">
        <v>542</v>
      </c>
      <c r="B8" s="169"/>
      <c r="C8" s="169"/>
      <c r="D8" s="169"/>
      <c r="E8" s="169"/>
      <c r="F8" s="169"/>
      <c r="G8" s="169"/>
      <c r="H8" s="169"/>
      <c r="I8" s="169"/>
      <c r="J8" s="169"/>
      <c r="K8" s="169"/>
      <c r="L8" s="169"/>
      <c r="M8" s="169"/>
      <c r="N8" s="169"/>
      <c r="O8" s="169"/>
      <c r="P8" s="169"/>
    </row>
    <row r="9" ht="12.75">
      <c r="P9" s="7" t="s">
        <v>1</v>
      </c>
    </row>
    <row r="10" spans="1:16" s="11" customFormat="1" ht="18" customHeight="1">
      <c r="A10" s="175" t="s">
        <v>2</v>
      </c>
      <c r="B10" s="175" t="s">
        <v>3</v>
      </c>
      <c r="C10" s="175" t="s">
        <v>4</v>
      </c>
      <c r="D10" s="175" t="s">
        <v>5</v>
      </c>
      <c r="E10" s="175" t="s">
        <v>6</v>
      </c>
      <c r="F10" s="175"/>
      <c r="G10" s="175"/>
      <c r="H10" s="175"/>
      <c r="I10" s="175"/>
      <c r="J10" s="175" t="s">
        <v>13</v>
      </c>
      <c r="K10" s="175"/>
      <c r="L10" s="175"/>
      <c r="M10" s="175"/>
      <c r="N10" s="175"/>
      <c r="O10" s="175"/>
      <c r="P10" s="174" t="s">
        <v>15</v>
      </c>
    </row>
    <row r="11" spans="1:16" s="11" customFormat="1" ht="18.75" customHeight="1">
      <c r="A11" s="175"/>
      <c r="B11" s="175"/>
      <c r="C11" s="175"/>
      <c r="D11" s="175"/>
      <c r="E11" s="177" t="s">
        <v>7</v>
      </c>
      <c r="F11" s="175" t="s">
        <v>8</v>
      </c>
      <c r="G11" s="175" t="s">
        <v>9</v>
      </c>
      <c r="H11" s="175"/>
      <c r="I11" s="175" t="s">
        <v>12</v>
      </c>
      <c r="J11" s="177" t="s">
        <v>7</v>
      </c>
      <c r="K11" s="175" t="s">
        <v>8</v>
      </c>
      <c r="L11" s="175" t="s">
        <v>9</v>
      </c>
      <c r="M11" s="175"/>
      <c r="N11" s="175" t="s">
        <v>12</v>
      </c>
      <c r="O11" s="9" t="s">
        <v>9</v>
      </c>
      <c r="P11" s="175"/>
    </row>
    <row r="12" spans="1:16" s="11" customFormat="1" ht="25.5" customHeight="1">
      <c r="A12" s="175"/>
      <c r="B12" s="175"/>
      <c r="C12" s="175"/>
      <c r="D12" s="175"/>
      <c r="E12" s="178"/>
      <c r="F12" s="175"/>
      <c r="G12" s="175" t="s">
        <v>10</v>
      </c>
      <c r="H12" s="175" t="s">
        <v>11</v>
      </c>
      <c r="I12" s="175"/>
      <c r="J12" s="178"/>
      <c r="K12" s="175"/>
      <c r="L12" s="175" t="s">
        <v>10</v>
      </c>
      <c r="M12" s="175" t="s">
        <v>11</v>
      </c>
      <c r="N12" s="175"/>
      <c r="O12" s="175" t="s">
        <v>14</v>
      </c>
      <c r="P12" s="175"/>
    </row>
    <row r="13" spans="1:16" s="11" customFormat="1" ht="35.25" customHeight="1">
      <c r="A13" s="175"/>
      <c r="B13" s="175"/>
      <c r="C13" s="175"/>
      <c r="D13" s="175"/>
      <c r="E13" s="178"/>
      <c r="F13" s="175"/>
      <c r="G13" s="175"/>
      <c r="H13" s="175"/>
      <c r="I13" s="175"/>
      <c r="J13" s="178"/>
      <c r="K13" s="175"/>
      <c r="L13" s="175"/>
      <c r="M13" s="175"/>
      <c r="N13" s="175"/>
      <c r="O13" s="175"/>
      <c r="P13" s="175"/>
    </row>
    <row r="14" spans="1:16" s="11" customFormat="1" ht="15">
      <c r="A14" s="9">
        <v>1</v>
      </c>
      <c r="B14" s="9">
        <v>2</v>
      </c>
      <c r="C14" s="9">
        <v>3</v>
      </c>
      <c r="D14" s="9">
        <v>4</v>
      </c>
      <c r="E14" s="55">
        <v>5</v>
      </c>
      <c r="F14" s="9">
        <v>6</v>
      </c>
      <c r="G14" s="9">
        <v>7</v>
      </c>
      <c r="H14" s="9">
        <v>8</v>
      </c>
      <c r="I14" s="9">
        <v>9</v>
      </c>
      <c r="J14" s="55">
        <v>5</v>
      </c>
      <c r="K14" s="9">
        <v>11</v>
      </c>
      <c r="L14" s="9">
        <v>12</v>
      </c>
      <c r="M14" s="9">
        <v>13</v>
      </c>
      <c r="N14" s="9">
        <v>14</v>
      </c>
      <c r="O14" s="9">
        <v>15</v>
      </c>
      <c r="P14" s="10">
        <v>16</v>
      </c>
    </row>
    <row r="15" spans="1:17" s="71" customFormat="1" ht="15.75">
      <c r="A15" s="66" t="s">
        <v>16</v>
      </c>
      <c r="B15" s="67"/>
      <c r="C15" s="68"/>
      <c r="D15" s="72" t="s">
        <v>17</v>
      </c>
      <c r="E15" s="69">
        <f aca="true" t="shared" si="0" ref="E15:E20">F15+I15</f>
        <v>15573206</v>
      </c>
      <c r="F15" s="70">
        <f>F16</f>
        <v>15573206</v>
      </c>
      <c r="G15" s="70">
        <f>G16</f>
        <v>8658560</v>
      </c>
      <c r="H15" s="70">
        <f>H16</f>
        <v>1230706</v>
      </c>
      <c r="I15" s="70">
        <f>I16</f>
        <v>0</v>
      </c>
      <c r="J15" s="69">
        <f aca="true" t="shared" si="1" ref="J15:J20">K15+N15</f>
        <v>674260</v>
      </c>
      <c r="K15" s="70">
        <f>K16</f>
        <v>0</v>
      </c>
      <c r="L15" s="70">
        <f>L16</f>
        <v>0</v>
      </c>
      <c r="M15" s="70">
        <f>M16</f>
        <v>0</v>
      </c>
      <c r="N15" s="70">
        <f>N16</f>
        <v>674260</v>
      </c>
      <c r="O15" s="70">
        <f>O16</f>
        <v>674260</v>
      </c>
      <c r="P15" s="70">
        <f aca="true" t="shared" si="2" ref="P15:P105">E15+J15</f>
        <v>16247466</v>
      </c>
      <c r="Q15" s="116">
        <f>P15-'[1]Лист1'!$P$15</f>
        <v>867400</v>
      </c>
    </row>
    <row r="16" spans="1:16" s="99" customFormat="1" ht="15">
      <c r="A16" s="27" t="s">
        <v>18</v>
      </c>
      <c r="B16" s="28"/>
      <c r="C16" s="29"/>
      <c r="D16" s="78" t="s">
        <v>426</v>
      </c>
      <c r="E16" s="58">
        <f t="shared" si="0"/>
        <v>15573206</v>
      </c>
      <c r="F16" s="20">
        <f>F17+F18+F21</f>
        <v>15573206</v>
      </c>
      <c r="G16" s="20">
        <f>G17+G18+G21</f>
        <v>8658560</v>
      </c>
      <c r="H16" s="20">
        <f>H17+H18+H21</f>
        <v>1230706</v>
      </c>
      <c r="I16" s="20">
        <f>I17+I18+I21</f>
        <v>0</v>
      </c>
      <c r="J16" s="58">
        <f t="shared" si="1"/>
        <v>674260</v>
      </c>
      <c r="K16" s="20">
        <f>K17+K18+K21</f>
        <v>0</v>
      </c>
      <c r="L16" s="20">
        <f>L17+L18+L21</f>
        <v>0</v>
      </c>
      <c r="M16" s="20">
        <f>M17+M18+M21</f>
        <v>0</v>
      </c>
      <c r="N16" s="20">
        <f>N17+N18+N21</f>
        <v>674260</v>
      </c>
      <c r="O16" s="20">
        <f>O17+O18+O21</f>
        <v>674260</v>
      </c>
      <c r="P16" s="20">
        <f>E16+J16</f>
        <v>16247466</v>
      </c>
    </row>
    <row r="17" spans="1:17" s="11" customFormat="1" ht="84" customHeight="1">
      <c r="A17" s="3" t="s">
        <v>19</v>
      </c>
      <c r="B17" s="5" t="s">
        <v>21</v>
      </c>
      <c r="C17" s="4" t="s">
        <v>20</v>
      </c>
      <c r="D17" s="73" t="s">
        <v>537</v>
      </c>
      <c r="E17" s="58">
        <f t="shared" si="0"/>
        <v>14287368</v>
      </c>
      <c r="F17" s="21">
        <f>13650766-7680-12818-46000+703100</f>
        <v>14287368</v>
      </c>
      <c r="G17" s="21">
        <f>8082160+576400</f>
        <v>8658560</v>
      </c>
      <c r="H17" s="21">
        <v>1230706</v>
      </c>
      <c r="I17" s="21">
        <v>0</v>
      </c>
      <c r="J17" s="58">
        <f t="shared" si="1"/>
        <v>629260</v>
      </c>
      <c r="K17" s="21">
        <v>0</v>
      </c>
      <c r="L17" s="21">
        <v>0</v>
      </c>
      <c r="M17" s="21">
        <v>0</v>
      </c>
      <c r="N17" s="21">
        <f>200000+350000+33260+46000</f>
        <v>629260</v>
      </c>
      <c r="O17" s="21">
        <f>200000+350000+33260+46000</f>
        <v>629260</v>
      </c>
      <c r="P17" s="20">
        <f t="shared" si="2"/>
        <v>14916628</v>
      </c>
      <c r="Q17" s="108">
        <f>P17-'[1]Лист1'!$P$17</f>
        <v>715862</v>
      </c>
    </row>
    <row r="18" spans="1:17" s="11" customFormat="1" ht="15">
      <c r="A18" s="16" t="s">
        <v>22</v>
      </c>
      <c r="B18" s="17"/>
      <c r="C18" s="18"/>
      <c r="D18" s="74" t="s">
        <v>23</v>
      </c>
      <c r="E18" s="57">
        <f t="shared" si="0"/>
        <v>969300</v>
      </c>
      <c r="F18" s="19">
        <f>F19+F20</f>
        <v>969300</v>
      </c>
      <c r="G18" s="19">
        <f>G19+G20</f>
        <v>0</v>
      </c>
      <c r="H18" s="19">
        <f>H19+H20</f>
        <v>0</v>
      </c>
      <c r="I18" s="19">
        <f>I19+I20</f>
        <v>0</v>
      </c>
      <c r="J18" s="57">
        <f t="shared" si="1"/>
        <v>45000</v>
      </c>
      <c r="K18" s="19">
        <f>K19+K20</f>
        <v>0</v>
      </c>
      <c r="L18" s="19">
        <f>L19+L20</f>
        <v>0</v>
      </c>
      <c r="M18" s="19">
        <f>M19+M20</f>
        <v>0</v>
      </c>
      <c r="N18" s="19">
        <f>N19+N20</f>
        <v>45000</v>
      </c>
      <c r="O18" s="19">
        <f>O19+O20</f>
        <v>45000</v>
      </c>
      <c r="P18" s="19">
        <f t="shared" si="2"/>
        <v>1014300</v>
      </c>
      <c r="Q18" s="108">
        <f>P18-'[1]Лист1'!$P$18</f>
        <v>164300</v>
      </c>
    </row>
    <row r="19" spans="1:16" s="11" customFormat="1" ht="30">
      <c r="A19" s="22" t="s">
        <v>24</v>
      </c>
      <c r="B19" s="23" t="s">
        <v>26</v>
      </c>
      <c r="C19" s="24" t="s">
        <v>25</v>
      </c>
      <c r="D19" s="75" t="s">
        <v>27</v>
      </c>
      <c r="E19" s="59">
        <f t="shared" si="0"/>
        <v>469300</v>
      </c>
      <c r="F19" s="26">
        <f>450000+59300-40000</f>
        <v>469300</v>
      </c>
      <c r="G19" s="26">
        <v>0</v>
      </c>
      <c r="H19" s="26">
        <v>0</v>
      </c>
      <c r="I19" s="26">
        <v>0</v>
      </c>
      <c r="J19" s="59">
        <f t="shared" si="1"/>
        <v>45000</v>
      </c>
      <c r="K19" s="26">
        <v>0</v>
      </c>
      <c r="L19" s="26">
        <v>0</v>
      </c>
      <c r="M19" s="26">
        <v>0</v>
      </c>
      <c r="N19" s="26">
        <f>40000+5000</f>
        <v>45000</v>
      </c>
      <c r="O19" s="26">
        <f>40000+5000</f>
        <v>45000</v>
      </c>
      <c r="P19" s="25">
        <f t="shared" si="2"/>
        <v>514300</v>
      </c>
    </row>
    <row r="20" spans="1:16" s="11" customFormat="1" ht="30">
      <c r="A20" s="22" t="s">
        <v>28</v>
      </c>
      <c r="B20" s="23" t="s">
        <v>29</v>
      </c>
      <c r="C20" s="24" t="s">
        <v>25</v>
      </c>
      <c r="D20" s="75" t="s">
        <v>30</v>
      </c>
      <c r="E20" s="59">
        <f t="shared" si="0"/>
        <v>500000</v>
      </c>
      <c r="F20" s="26">
        <f>400000+100000</f>
        <v>500000</v>
      </c>
      <c r="G20" s="26">
        <v>0</v>
      </c>
      <c r="H20" s="26">
        <v>0</v>
      </c>
      <c r="I20" s="26">
        <v>0</v>
      </c>
      <c r="J20" s="59">
        <f t="shared" si="1"/>
        <v>0</v>
      </c>
      <c r="K20" s="26">
        <v>0</v>
      </c>
      <c r="L20" s="26">
        <v>0</v>
      </c>
      <c r="M20" s="26">
        <v>0</v>
      </c>
      <c r="N20" s="26">
        <v>0</v>
      </c>
      <c r="O20" s="26">
        <v>0</v>
      </c>
      <c r="P20" s="25">
        <f t="shared" si="2"/>
        <v>500000</v>
      </c>
    </row>
    <row r="21" spans="1:17" s="11" customFormat="1" ht="15">
      <c r="A21" s="17" t="s">
        <v>514</v>
      </c>
      <c r="B21" s="17" t="s">
        <v>32</v>
      </c>
      <c r="C21" s="17" t="s">
        <v>31</v>
      </c>
      <c r="D21" s="76" t="s">
        <v>511</v>
      </c>
      <c r="E21" s="59">
        <f>F21+I21</f>
        <v>316538</v>
      </c>
      <c r="F21" s="19">
        <f>SUM(F22+F23)</f>
        <v>316538</v>
      </c>
      <c r="G21" s="19">
        <f>G22</f>
        <v>0</v>
      </c>
      <c r="H21" s="19">
        <f>H22</f>
        <v>0</v>
      </c>
      <c r="I21" s="19">
        <f>I22</f>
        <v>0</v>
      </c>
      <c r="J21" s="57">
        <f>SUM(J22)</f>
        <v>0</v>
      </c>
      <c r="K21" s="19">
        <f>K22</f>
        <v>0</v>
      </c>
      <c r="L21" s="19">
        <f>L22</f>
        <v>0</v>
      </c>
      <c r="M21" s="19">
        <f>M22</f>
        <v>0</v>
      </c>
      <c r="N21" s="19">
        <f>N22</f>
        <v>0</v>
      </c>
      <c r="O21" s="19">
        <f>O22</f>
        <v>0</v>
      </c>
      <c r="P21" s="19">
        <f>E21+J21</f>
        <v>316538</v>
      </c>
      <c r="Q21" s="108">
        <f>P21-'[1]Лист1'!$P$21</f>
        <v>-12762</v>
      </c>
    </row>
    <row r="22" spans="1:16" s="47" customFormat="1" ht="30">
      <c r="A22" s="42"/>
      <c r="B22" s="43"/>
      <c r="C22" s="44"/>
      <c r="D22" s="113" t="s">
        <v>495</v>
      </c>
      <c r="E22" s="61">
        <f>F22+I22</f>
        <v>196538</v>
      </c>
      <c r="F22" s="46">
        <f>209300-25580+12818</f>
        <v>196538</v>
      </c>
      <c r="G22" s="46">
        <v>0</v>
      </c>
      <c r="H22" s="46">
        <v>0</v>
      </c>
      <c r="I22" s="46">
        <v>0</v>
      </c>
      <c r="J22" s="61">
        <f>K22+N22</f>
        <v>0</v>
      </c>
      <c r="K22" s="46">
        <v>0</v>
      </c>
      <c r="L22" s="46">
        <v>0</v>
      </c>
      <c r="M22" s="46">
        <v>0</v>
      </c>
      <c r="N22" s="46">
        <v>0</v>
      </c>
      <c r="O22" s="46">
        <v>0</v>
      </c>
      <c r="P22" s="45">
        <f t="shared" si="2"/>
        <v>196538</v>
      </c>
    </row>
    <row r="23" spans="1:16" s="47" customFormat="1" ht="60" customHeight="1">
      <c r="A23" s="126"/>
      <c r="B23" s="126"/>
      <c r="C23" s="126"/>
      <c r="D23" s="132" t="s">
        <v>530</v>
      </c>
      <c r="E23" s="61">
        <f>F23+I23</f>
        <v>120000</v>
      </c>
      <c r="F23" s="46">
        <v>120000</v>
      </c>
      <c r="G23" s="46"/>
      <c r="H23" s="46"/>
      <c r="I23" s="46"/>
      <c r="J23" s="61"/>
      <c r="K23" s="46"/>
      <c r="L23" s="46"/>
      <c r="M23" s="46"/>
      <c r="N23" s="46"/>
      <c r="O23" s="46"/>
      <c r="P23" s="45">
        <f t="shared" si="2"/>
        <v>120000</v>
      </c>
    </row>
    <row r="24" spans="1:17" s="71" customFormat="1" ht="145.5" customHeight="1">
      <c r="A24" s="66" t="s">
        <v>34</v>
      </c>
      <c r="B24" s="67"/>
      <c r="C24" s="68"/>
      <c r="D24" s="72" t="s">
        <v>497</v>
      </c>
      <c r="E24" s="56">
        <f>F24+I24</f>
        <v>23111206.990000002</v>
      </c>
      <c r="F24" s="70">
        <f>F25+F33+F41</f>
        <v>23111206.990000002</v>
      </c>
      <c r="G24" s="70">
        <f>G25+G33+G41</f>
        <v>8977898</v>
      </c>
      <c r="H24" s="70">
        <f>H25+H33+H41</f>
        <v>2317329</v>
      </c>
      <c r="I24" s="70">
        <f>I25+I33+I41</f>
        <v>0</v>
      </c>
      <c r="J24" s="56">
        <f>K24+N24</f>
        <v>958098</v>
      </c>
      <c r="K24" s="70">
        <f>K25+K33+K41</f>
        <v>410014</v>
      </c>
      <c r="L24" s="70">
        <f>L25+L33+L41</f>
        <v>0</v>
      </c>
      <c r="M24" s="70">
        <f>M25+M33+M41</f>
        <v>351514</v>
      </c>
      <c r="N24" s="70">
        <f>N25+N33+N41</f>
        <v>548084</v>
      </c>
      <c r="O24" s="70">
        <f>O25+O33+O41</f>
        <v>548084</v>
      </c>
      <c r="P24" s="70">
        <f t="shared" si="2"/>
        <v>24069304.990000002</v>
      </c>
      <c r="Q24" s="116">
        <f>P24-'[1]Лист1'!$P$24</f>
        <v>386726.9900000021</v>
      </c>
    </row>
    <row r="25" spans="1:17" s="11" customFormat="1" ht="28.5">
      <c r="A25" s="27" t="s">
        <v>427</v>
      </c>
      <c r="B25" s="28"/>
      <c r="C25" s="29"/>
      <c r="D25" s="78" t="s">
        <v>429</v>
      </c>
      <c r="E25" s="58">
        <f aca="true" t="shared" si="3" ref="E25:E82">F25+I25</f>
        <v>8063357</v>
      </c>
      <c r="F25" s="20">
        <f>F26+F27+F29+F30+F31</f>
        <v>8063357</v>
      </c>
      <c r="G25" s="20">
        <f>G26+G27+G29+G30+G31</f>
        <v>2983811</v>
      </c>
      <c r="H25" s="20">
        <f>H26+H27+H29+H30+H31</f>
        <v>685207</v>
      </c>
      <c r="I25" s="20">
        <f>I26+I27+I29+I30+I31</f>
        <v>0</v>
      </c>
      <c r="J25" s="58">
        <f aca="true" t="shared" si="4" ref="J25:J82">K25+N25</f>
        <v>360550</v>
      </c>
      <c r="K25" s="20">
        <f>K26+K27+K28+K29+K30+K31</f>
        <v>0</v>
      </c>
      <c r="L25" s="20">
        <f>L26+L27+L28+L29+L30+L31</f>
        <v>0</v>
      </c>
      <c r="M25" s="20">
        <f>M26+M27+M28+M29+M30+M31</f>
        <v>0</v>
      </c>
      <c r="N25" s="20">
        <f>N26+N27+N28+N29+N30+N31</f>
        <v>360550</v>
      </c>
      <c r="O25" s="20">
        <f>O26+O27+O28+O29+O30+O31</f>
        <v>360550</v>
      </c>
      <c r="P25" s="20">
        <f t="shared" si="2"/>
        <v>8423907</v>
      </c>
      <c r="Q25" s="108">
        <f>P25-'[1]Лист1'!$P$25</f>
        <v>501150</v>
      </c>
    </row>
    <row r="26" spans="1:17" s="11" customFormat="1" ht="42.75">
      <c r="A26" s="3" t="s">
        <v>428</v>
      </c>
      <c r="B26" s="5" t="s">
        <v>35</v>
      </c>
      <c r="C26" s="4" t="s">
        <v>20</v>
      </c>
      <c r="D26" s="73" t="s">
        <v>538</v>
      </c>
      <c r="E26" s="58">
        <f t="shared" si="3"/>
        <v>4795004</v>
      </c>
      <c r="F26" s="21">
        <f>4634404+20000-20000+160600</f>
        <v>4795004</v>
      </c>
      <c r="G26" s="21">
        <f>2802293+131600</f>
        <v>2933893</v>
      </c>
      <c r="H26" s="21">
        <v>685207</v>
      </c>
      <c r="I26" s="21">
        <v>0</v>
      </c>
      <c r="J26" s="58">
        <f t="shared" si="4"/>
        <v>20000</v>
      </c>
      <c r="K26" s="21">
        <v>0</v>
      </c>
      <c r="L26" s="21">
        <v>0</v>
      </c>
      <c r="M26" s="21">
        <v>0</v>
      </c>
      <c r="N26" s="21">
        <v>20000</v>
      </c>
      <c r="O26" s="21">
        <v>20000</v>
      </c>
      <c r="P26" s="20">
        <f t="shared" si="2"/>
        <v>4815004</v>
      </c>
      <c r="Q26" s="108">
        <f>P26-'[1]Лист1'!$P$26</f>
        <v>160600</v>
      </c>
    </row>
    <row r="27" spans="1:17" s="11" customFormat="1" ht="28.5">
      <c r="A27" s="3" t="s">
        <v>430</v>
      </c>
      <c r="B27" s="5" t="s">
        <v>37</v>
      </c>
      <c r="C27" s="4" t="s">
        <v>36</v>
      </c>
      <c r="D27" s="73" t="s">
        <v>38</v>
      </c>
      <c r="E27" s="58">
        <f t="shared" si="3"/>
        <v>60900</v>
      </c>
      <c r="F27" s="21">
        <v>60900</v>
      </c>
      <c r="G27" s="21">
        <v>49918</v>
      </c>
      <c r="H27" s="21">
        <v>0</v>
      </c>
      <c r="I27" s="21">
        <v>0</v>
      </c>
      <c r="J27" s="58">
        <f t="shared" si="4"/>
        <v>0</v>
      </c>
      <c r="K27" s="21">
        <v>0</v>
      </c>
      <c r="L27" s="21">
        <v>0</v>
      </c>
      <c r="M27" s="21">
        <v>0</v>
      </c>
      <c r="N27" s="21">
        <v>0</v>
      </c>
      <c r="O27" s="21">
        <v>0</v>
      </c>
      <c r="P27" s="20">
        <f>E27+J27</f>
        <v>60900</v>
      </c>
      <c r="Q27" s="108">
        <f>P27-'[1]Лист1'!$P$27</f>
        <v>0</v>
      </c>
    </row>
    <row r="28" spans="1:17" s="11" customFormat="1" ht="57">
      <c r="A28" s="30" t="s">
        <v>544</v>
      </c>
      <c r="B28" s="30" t="s">
        <v>317</v>
      </c>
      <c r="C28" s="30" t="s">
        <v>316</v>
      </c>
      <c r="D28" s="73" t="s">
        <v>545</v>
      </c>
      <c r="E28" s="58">
        <f t="shared" si="3"/>
        <v>0</v>
      </c>
      <c r="F28" s="21">
        <v>0</v>
      </c>
      <c r="G28" s="21">
        <v>0</v>
      </c>
      <c r="H28" s="21">
        <v>0</v>
      </c>
      <c r="I28" s="21">
        <v>0</v>
      </c>
      <c r="J28" s="58">
        <f t="shared" si="4"/>
        <v>30550</v>
      </c>
      <c r="K28" s="21">
        <v>0</v>
      </c>
      <c r="L28" s="21">
        <v>0</v>
      </c>
      <c r="M28" s="21">
        <v>0</v>
      </c>
      <c r="N28" s="21">
        <v>30550</v>
      </c>
      <c r="O28" s="21">
        <v>30550</v>
      </c>
      <c r="P28" s="20">
        <f>E28+J28</f>
        <v>30550</v>
      </c>
      <c r="Q28" s="108">
        <f>P28</f>
        <v>30550</v>
      </c>
    </row>
    <row r="29" spans="1:17" s="11" customFormat="1" ht="17.25" customHeight="1">
      <c r="A29" s="3" t="s">
        <v>431</v>
      </c>
      <c r="B29" s="5" t="s">
        <v>40</v>
      </c>
      <c r="C29" s="4" t="s">
        <v>39</v>
      </c>
      <c r="D29" s="73" t="s">
        <v>41</v>
      </c>
      <c r="E29" s="58">
        <f t="shared" si="3"/>
        <v>2380000</v>
      </c>
      <c r="F29" s="21">
        <f>2400000-20000</f>
        <v>2380000</v>
      </c>
      <c r="G29" s="21">
        <v>0</v>
      </c>
      <c r="H29" s="21">
        <v>0</v>
      </c>
      <c r="I29" s="21">
        <v>0</v>
      </c>
      <c r="J29" s="58">
        <f t="shared" si="4"/>
        <v>0</v>
      </c>
      <c r="K29" s="21">
        <v>0</v>
      </c>
      <c r="L29" s="21">
        <v>0</v>
      </c>
      <c r="M29" s="21">
        <v>0</v>
      </c>
      <c r="N29" s="21">
        <f>30550-30550</f>
        <v>0</v>
      </c>
      <c r="O29" s="21">
        <f>30550-30550</f>
        <v>0</v>
      </c>
      <c r="P29" s="20">
        <f t="shared" si="2"/>
        <v>2380000</v>
      </c>
      <c r="Q29" s="108">
        <f>P29-'[1]Лист1'!$P$28</f>
        <v>0</v>
      </c>
    </row>
    <row r="30" spans="1:16" s="11" customFormat="1" ht="28.5">
      <c r="A30" s="3" t="s">
        <v>558</v>
      </c>
      <c r="B30" s="5" t="s">
        <v>222</v>
      </c>
      <c r="C30" s="4" t="s">
        <v>147</v>
      </c>
      <c r="D30" s="73" t="s">
        <v>223</v>
      </c>
      <c r="E30" s="58">
        <f t="shared" si="3"/>
        <v>0</v>
      </c>
      <c r="F30" s="21">
        <v>0</v>
      </c>
      <c r="G30" s="21">
        <v>0</v>
      </c>
      <c r="H30" s="21">
        <v>0</v>
      </c>
      <c r="I30" s="21">
        <v>0</v>
      </c>
      <c r="J30" s="58">
        <f t="shared" si="4"/>
        <v>310000</v>
      </c>
      <c r="K30" s="21">
        <v>0</v>
      </c>
      <c r="L30" s="21">
        <v>0</v>
      </c>
      <c r="M30" s="21">
        <v>0</v>
      </c>
      <c r="N30" s="21">
        <v>310000</v>
      </c>
      <c r="O30" s="21">
        <v>310000</v>
      </c>
      <c r="P30" s="20">
        <f>E30+J30</f>
        <v>310000</v>
      </c>
    </row>
    <row r="31" spans="1:17" s="11" customFormat="1" ht="15">
      <c r="A31" s="17" t="s">
        <v>512</v>
      </c>
      <c r="B31" s="17" t="s">
        <v>32</v>
      </c>
      <c r="C31" s="17" t="s">
        <v>31</v>
      </c>
      <c r="D31" s="76" t="s">
        <v>511</v>
      </c>
      <c r="E31" s="57">
        <f t="shared" si="3"/>
        <v>827453</v>
      </c>
      <c r="F31" s="19">
        <f>F32</f>
        <v>827453</v>
      </c>
      <c r="G31" s="19">
        <f>G32</f>
        <v>0</v>
      </c>
      <c r="H31" s="19">
        <f>H32</f>
        <v>0</v>
      </c>
      <c r="I31" s="19">
        <f>I32</f>
        <v>0</v>
      </c>
      <c r="J31" s="57">
        <f t="shared" si="4"/>
        <v>0</v>
      </c>
      <c r="K31" s="19">
        <f>K32</f>
        <v>0</v>
      </c>
      <c r="L31" s="19">
        <f>L32</f>
        <v>0</v>
      </c>
      <c r="M31" s="19">
        <f>M32</f>
        <v>0</v>
      </c>
      <c r="N31" s="19">
        <f>N32</f>
        <v>0</v>
      </c>
      <c r="O31" s="19">
        <f>O32</f>
        <v>0</v>
      </c>
      <c r="P31" s="19">
        <f>E31+J31</f>
        <v>827453</v>
      </c>
      <c r="Q31" s="108">
        <f>P31-'[1]Лист1'!$P$29</f>
        <v>0</v>
      </c>
    </row>
    <row r="32" spans="1:16" s="47" customFormat="1" ht="45">
      <c r="A32" s="42"/>
      <c r="B32" s="43"/>
      <c r="C32" s="44"/>
      <c r="D32" s="113" t="s">
        <v>496</v>
      </c>
      <c r="E32" s="61">
        <f t="shared" si="3"/>
        <v>827453</v>
      </c>
      <c r="F32" s="46">
        <v>827453</v>
      </c>
      <c r="G32" s="46">
        <v>0</v>
      </c>
      <c r="H32" s="46">
        <v>0</v>
      </c>
      <c r="I32" s="46">
        <v>0</v>
      </c>
      <c r="J32" s="61">
        <f t="shared" si="4"/>
        <v>0</v>
      </c>
      <c r="K32" s="46">
        <v>0</v>
      </c>
      <c r="L32" s="46">
        <v>0</v>
      </c>
      <c r="M32" s="46">
        <v>0</v>
      </c>
      <c r="N32" s="46">
        <v>0</v>
      </c>
      <c r="O32" s="46">
        <v>0</v>
      </c>
      <c r="P32" s="45">
        <f t="shared" si="2"/>
        <v>827453</v>
      </c>
    </row>
    <row r="33" spans="1:17" s="11" customFormat="1" ht="28.5">
      <c r="A33" s="27" t="s">
        <v>427</v>
      </c>
      <c r="B33" s="28"/>
      <c r="C33" s="29"/>
      <c r="D33" s="78" t="s">
        <v>432</v>
      </c>
      <c r="E33" s="58">
        <f t="shared" si="3"/>
        <v>7968061.99</v>
      </c>
      <c r="F33" s="20">
        <f>F34+F36+F37+F38+F39</f>
        <v>7968061.99</v>
      </c>
      <c r="G33" s="20">
        <f>G34+G36+G37+G38+G39</f>
        <v>2956386</v>
      </c>
      <c r="H33" s="20">
        <f>H34+H36+H37+H38+H39</f>
        <v>1120966</v>
      </c>
      <c r="I33" s="20">
        <f>I34+I36+I37+I38+I39</f>
        <v>0</v>
      </c>
      <c r="J33" s="58">
        <f t="shared" si="4"/>
        <v>597548</v>
      </c>
      <c r="K33" s="20">
        <f>K34+K36+K37+K38+K39</f>
        <v>410014</v>
      </c>
      <c r="L33" s="20">
        <f>L34+L36+L37+L38+L39</f>
        <v>0</v>
      </c>
      <c r="M33" s="20">
        <f>M34+M36+M37+M38+M39</f>
        <v>351514</v>
      </c>
      <c r="N33" s="20">
        <f>N34+N36+N37+N38+N39</f>
        <v>187534</v>
      </c>
      <c r="O33" s="20">
        <f>O34+O36+O37+O38+O39</f>
        <v>187534</v>
      </c>
      <c r="P33" s="20">
        <f t="shared" si="2"/>
        <v>8565609.99</v>
      </c>
      <c r="Q33" s="108">
        <f>P33-'[1]Лист1'!$P$31</f>
        <v>224976.99000000022</v>
      </c>
    </row>
    <row r="34" spans="1:17" s="11" customFormat="1" ht="42.75">
      <c r="A34" s="3" t="s">
        <v>428</v>
      </c>
      <c r="B34" s="30" t="s">
        <v>35</v>
      </c>
      <c r="C34" s="30" t="s">
        <v>20</v>
      </c>
      <c r="D34" s="73" t="s">
        <v>538</v>
      </c>
      <c r="E34" s="58">
        <f t="shared" si="3"/>
        <v>5220405</v>
      </c>
      <c r="F34" s="21">
        <f>5062805-3000+160600</f>
        <v>5220405</v>
      </c>
      <c r="G34" s="21">
        <f>2791999+131600</f>
        <v>2923599</v>
      </c>
      <c r="H34" s="21">
        <v>1120966</v>
      </c>
      <c r="I34" s="21">
        <v>0</v>
      </c>
      <c r="J34" s="58">
        <f t="shared" si="4"/>
        <v>424064</v>
      </c>
      <c r="K34" s="21">
        <v>410014</v>
      </c>
      <c r="L34" s="21">
        <v>0</v>
      </c>
      <c r="M34" s="21">
        <v>351514</v>
      </c>
      <c r="N34" s="21">
        <v>14050</v>
      </c>
      <c r="O34" s="21">
        <v>14050</v>
      </c>
      <c r="P34" s="20">
        <f t="shared" si="2"/>
        <v>5644469</v>
      </c>
      <c r="Q34" s="108">
        <f>P34-'[1]Лист1'!$P$32</f>
        <v>171650</v>
      </c>
    </row>
    <row r="35" spans="1:17" s="11" customFormat="1" ht="57" customHeight="1">
      <c r="A35" s="3"/>
      <c r="B35" s="30"/>
      <c r="C35" s="30"/>
      <c r="D35" s="159" t="s">
        <v>580</v>
      </c>
      <c r="E35" s="58">
        <f t="shared" si="3"/>
        <v>14050</v>
      </c>
      <c r="F35" s="21">
        <v>14050</v>
      </c>
      <c r="G35" s="21"/>
      <c r="H35" s="21"/>
      <c r="I35" s="21"/>
      <c r="J35" s="58"/>
      <c r="K35" s="21"/>
      <c r="L35" s="21"/>
      <c r="M35" s="21"/>
      <c r="N35" s="21"/>
      <c r="O35" s="21"/>
      <c r="P35" s="20">
        <f t="shared" si="2"/>
        <v>14050</v>
      </c>
      <c r="Q35" s="108"/>
    </row>
    <row r="36" spans="1:17" s="11" customFormat="1" ht="28.5">
      <c r="A36" s="3" t="s">
        <v>430</v>
      </c>
      <c r="B36" s="5" t="s">
        <v>37</v>
      </c>
      <c r="C36" s="4" t="s">
        <v>36</v>
      </c>
      <c r="D36" s="73" t="s">
        <v>42</v>
      </c>
      <c r="E36" s="58">
        <f t="shared" si="3"/>
        <v>40000</v>
      </c>
      <c r="F36" s="21">
        <v>40000</v>
      </c>
      <c r="G36" s="21">
        <v>32787</v>
      </c>
      <c r="H36" s="21">
        <v>0</v>
      </c>
      <c r="I36" s="21">
        <v>0</v>
      </c>
      <c r="J36" s="58">
        <f t="shared" si="4"/>
        <v>0</v>
      </c>
      <c r="K36" s="21">
        <v>0</v>
      </c>
      <c r="L36" s="21">
        <v>0</v>
      </c>
      <c r="M36" s="21">
        <v>0</v>
      </c>
      <c r="N36" s="21">
        <v>0</v>
      </c>
      <c r="O36" s="21">
        <v>0</v>
      </c>
      <c r="P36" s="20">
        <f>E36+J36</f>
        <v>40000</v>
      </c>
      <c r="Q36" s="108">
        <f>P36-'[1]Лист1'!$P$33</f>
        <v>0</v>
      </c>
    </row>
    <row r="37" spans="1:17" s="11" customFormat="1" ht="45" customHeight="1">
      <c r="A37" s="3" t="s">
        <v>544</v>
      </c>
      <c r="B37" s="30" t="s">
        <v>317</v>
      </c>
      <c r="C37" s="4" t="s">
        <v>316</v>
      </c>
      <c r="D37" s="73" t="s">
        <v>545</v>
      </c>
      <c r="E37" s="58">
        <f t="shared" si="3"/>
        <v>152283.99</v>
      </c>
      <c r="F37" s="21">
        <v>152283.99</v>
      </c>
      <c r="G37" s="21">
        <v>0</v>
      </c>
      <c r="H37" s="21">
        <v>0</v>
      </c>
      <c r="I37" s="21">
        <v>0</v>
      </c>
      <c r="J37" s="58">
        <f t="shared" si="4"/>
        <v>99685</v>
      </c>
      <c r="K37" s="21">
        <v>0</v>
      </c>
      <c r="L37" s="21">
        <v>0</v>
      </c>
      <c r="M37" s="21">
        <v>0</v>
      </c>
      <c r="N37" s="21">
        <v>99685</v>
      </c>
      <c r="O37" s="21">
        <v>99685</v>
      </c>
      <c r="P37" s="20">
        <f>E37+J37</f>
        <v>251968.99</v>
      </c>
      <c r="Q37" s="108"/>
    </row>
    <row r="38" spans="1:17" s="11" customFormat="1" ht="21.75" customHeight="1">
      <c r="A38" s="3" t="s">
        <v>431</v>
      </c>
      <c r="B38" s="5" t="s">
        <v>40</v>
      </c>
      <c r="C38" s="4" t="s">
        <v>39</v>
      </c>
      <c r="D38" s="73" t="s">
        <v>41</v>
      </c>
      <c r="E38" s="58">
        <f t="shared" si="3"/>
        <v>1922559</v>
      </c>
      <c r="F38" s="21">
        <f>2035000+121958-12000+35000-9000+3600-150000-56999-45000</f>
        <v>1922559</v>
      </c>
      <c r="G38" s="21">
        <v>0</v>
      </c>
      <c r="H38" s="21">
        <v>0</v>
      </c>
      <c r="I38" s="21">
        <v>0</v>
      </c>
      <c r="J38" s="58">
        <f t="shared" si="4"/>
        <v>73799</v>
      </c>
      <c r="K38" s="21">
        <v>0</v>
      </c>
      <c r="L38" s="21">
        <v>0</v>
      </c>
      <c r="M38" s="21">
        <v>0</v>
      </c>
      <c r="N38" s="21">
        <f>160000+12000+54800-153001</f>
        <v>73799</v>
      </c>
      <c r="O38" s="21">
        <f>160000+12000+54800-153001</f>
        <v>73799</v>
      </c>
      <c r="P38" s="20">
        <f t="shared" si="2"/>
        <v>1996358</v>
      </c>
      <c r="Q38" s="115">
        <f>P38-'[1]Лист1'!$P$34</f>
        <v>-198642</v>
      </c>
    </row>
    <row r="39" spans="1:17" s="11" customFormat="1" ht="15">
      <c r="A39" s="17" t="s">
        <v>512</v>
      </c>
      <c r="B39" s="17" t="s">
        <v>32</v>
      </c>
      <c r="C39" s="17" t="s">
        <v>31</v>
      </c>
      <c r="D39" s="76" t="s">
        <v>511</v>
      </c>
      <c r="E39" s="57">
        <f t="shared" si="3"/>
        <v>632814</v>
      </c>
      <c r="F39" s="19">
        <f>SUM(F40)</f>
        <v>632814</v>
      </c>
      <c r="G39" s="19">
        <f aca="true" t="shared" si="5" ref="G39:O39">SUM(G40)</f>
        <v>0</v>
      </c>
      <c r="H39" s="19">
        <f t="shared" si="5"/>
        <v>0</v>
      </c>
      <c r="I39" s="19">
        <f t="shared" si="5"/>
        <v>0</v>
      </c>
      <c r="J39" s="57">
        <f t="shared" si="4"/>
        <v>0</v>
      </c>
      <c r="K39" s="19">
        <f t="shared" si="5"/>
        <v>0</v>
      </c>
      <c r="L39" s="19">
        <f t="shared" si="5"/>
        <v>0</v>
      </c>
      <c r="M39" s="19">
        <f t="shared" si="5"/>
        <v>0</v>
      </c>
      <c r="N39" s="19">
        <f t="shared" si="5"/>
        <v>0</v>
      </c>
      <c r="O39" s="19">
        <f t="shared" si="5"/>
        <v>0</v>
      </c>
      <c r="P39" s="19">
        <f>E39+J39</f>
        <v>632814</v>
      </c>
      <c r="Q39" s="108">
        <f>P39-'[1]Лист1'!$P$35</f>
        <v>0</v>
      </c>
    </row>
    <row r="40" spans="1:16" s="47" customFormat="1" ht="48.75" customHeight="1">
      <c r="A40" s="42"/>
      <c r="B40" s="43"/>
      <c r="C40" s="44"/>
      <c r="D40" s="113" t="s">
        <v>496</v>
      </c>
      <c r="E40" s="61">
        <f t="shared" si="3"/>
        <v>632814</v>
      </c>
      <c r="F40" s="46">
        <v>632814</v>
      </c>
      <c r="G40" s="46">
        <v>0</v>
      </c>
      <c r="H40" s="46">
        <v>0</v>
      </c>
      <c r="I40" s="46">
        <v>0</v>
      </c>
      <c r="J40" s="61">
        <f t="shared" si="4"/>
        <v>0</v>
      </c>
      <c r="K40" s="46">
        <v>0</v>
      </c>
      <c r="L40" s="46">
        <v>0</v>
      </c>
      <c r="M40" s="46">
        <v>0</v>
      </c>
      <c r="N40" s="46">
        <v>0</v>
      </c>
      <c r="O40" s="46">
        <v>0</v>
      </c>
      <c r="P40" s="45">
        <f t="shared" si="2"/>
        <v>632814</v>
      </c>
    </row>
    <row r="41" spans="1:17" s="11" customFormat="1" ht="28.5">
      <c r="A41" s="27" t="s">
        <v>427</v>
      </c>
      <c r="B41" s="28"/>
      <c r="C41" s="29"/>
      <c r="D41" s="78" t="s">
        <v>433</v>
      </c>
      <c r="E41" s="58">
        <f t="shared" si="3"/>
        <v>7079788</v>
      </c>
      <c r="F41" s="20">
        <f>F42+F43+F44+F45</f>
        <v>7079788</v>
      </c>
      <c r="G41" s="20">
        <f>G42+G43+G44+G45</f>
        <v>3037701</v>
      </c>
      <c r="H41" s="20">
        <f>H42+H43+H44+H45</f>
        <v>511156</v>
      </c>
      <c r="I41" s="20">
        <f>I42+I43+I44+I45</f>
        <v>0</v>
      </c>
      <c r="J41" s="58">
        <f t="shared" si="4"/>
        <v>0</v>
      </c>
      <c r="K41" s="20">
        <f>K42+K43+K44+K45</f>
        <v>0</v>
      </c>
      <c r="L41" s="20">
        <f>L42+L43+L44+L45</f>
        <v>0</v>
      </c>
      <c r="M41" s="20">
        <f>M42+M43+M44+M45</f>
        <v>0</v>
      </c>
      <c r="N41" s="20">
        <f>N42+N43+N44+N45</f>
        <v>0</v>
      </c>
      <c r="O41" s="20">
        <f>O42+O43+O44+O45</f>
        <v>0</v>
      </c>
      <c r="P41" s="20">
        <f t="shared" si="2"/>
        <v>7079788</v>
      </c>
      <c r="Q41" s="108">
        <f>P41-'[1]Лист1'!$P$37</f>
        <v>-339400</v>
      </c>
    </row>
    <row r="42" spans="1:17" s="11" customFormat="1" ht="42.75">
      <c r="A42" s="3" t="s">
        <v>428</v>
      </c>
      <c r="B42" s="30" t="s">
        <v>35</v>
      </c>
      <c r="C42" s="30" t="s">
        <v>20</v>
      </c>
      <c r="D42" s="73" t="s">
        <v>538</v>
      </c>
      <c r="E42" s="58">
        <f t="shared" si="3"/>
        <v>4551499</v>
      </c>
      <c r="F42" s="21">
        <f>4390899+160600</f>
        <v>4551499</v>
      </c>
      <c r="G42" s="21">
        <f>2824134+131600</f>
        <v>2955734</v>
      </c>
      <c r="H42" s="21">
        <v>511156</v>
      </c>
      <c r="I42" s="21">
        <v>0</v>
      </c>
      <c r="J42" s="58">
        <f t="shared" si="4"/>
        <v>0</v>
      </c>
      <c r="K42" s="21">
        <v>0</v>
      </c>
      <c r="L42" s="21">
        <v>0</v>
      </c>
      <c r="M42" s="21">
        <v>0</v>
      </c>
      <c r="N42" s="21">
        <v>0</v>
      </c>
      <c r="O42" s="21">
        <v>0</v>
      </c>
      <c r="P42" s="20">
        <f t="shared" si="2"/>
        <v>4551499</v>
      </c>
      <c r="Q42" s="108">
        <f>P42-'[1]Лист1'!$P$38</f>
        <v>160600</v>
      </c>
    </row>
    <row r="43" spans="1:17" s="11" customFormat="1" ht="28.5">
      <c r="A43" s="3" t="s">
        <v>430</v>
      </c>
      <c r="B43" s="5" t="s">
        <v>37</v>
      </c>
      <c r="C43" s="4" t="s">
        <v>36</v>
      </c>
      <c r="D43" s="73" t="s">
        <v>42</v>
      </c>
      <c r="E43" s="58">
        <f t="shared" si="3"/>
        <v>100000</v>
      </c>
      <c r="F43" s="21">
        <v>100000</v>
      </c>
      <c r="G43" s="21">
        <v>81967</v>
      </c>
      <c r="H43" s="21">
        <v>0</v>
      </c>
      <c r="I43" s="21">
        <v>0</v>
      </c>
      <c r="J43" s="58">
        <f t="shared" si="4"/>
        <v>0</v>
      </c>
      <c r="K43" s="21">
        <v>0</v>
      </c>
      <c r="L43" s="21">
        <v>0</v>
      </c>
      <c r="M43" s="21">
        <v>0</v>
      </c>
      <c r="N43" s="21">
        <v>0</v>
      </c>
      <c r="O43" s="21">
        <v>0</v>
      </c>
      <c r="P43" s="20">
        <f>E43+J43</f>
        <v>100000</v>
      </c>
      <c r="Q43" s="81">
        <v>0</v>
      </c>
    </row>
    <row r="44" spans="1:17" s="11" customFormat="1" ht="24.75" customHeight="1">
      <c r="A44" s="3" t="s">
        <v>431</v>
      </c>
      <c r="B44" s="5" t="s">
        <v>40</v>
      </c>
      <c r="C44" s="4" t="s">
        <v>39</v>
      </c>
      <c r="D44" s="73" t="s">
        <v>41</v>
      </c>
      <c r="E44" s="58">
        <f t="shared" si="3"/>
        <v>1905000</v>
      </c>
      <c r="F44" s="21">
        <f>2405000-500000</f>
        <v>1905000</v>
      </c>
      <c r="G44" s="21">
        <v>0</v>
      </c>
      <c r="H44" s="21">
        <v>0</v>
      </c>
      <c r="I44" s="21">
        <v>0</v>
      </c>
      <c r="J44" s="58">
        <f t="shared" si="4"/>
        <v>0</v>
      </c>
      <c r="K44" s="21">
        <v>0</v>
      </c>
      <c r="L44" s="21">
        <v>0</v>
      </c>
      <c r="M44" s="21">
        <v>0</v>
      </c>
      <c r="N44" s="21">
        <v>0</v>
      </c>
      <c r="O44" s="21">
        <v>0</v>
      </c>
      <c r="P44" s="20">
        <f t="shared" si="2"/>
        <v>1905000</v>
      </c>
      <c r="Q44" s="108">
        <f>P44-'[1]Лист1'!$P$40</f>
        <v>-500000</v>
      </c>
    </row>
    <row r="45" spans="1:17" s="11" customFormat="1" ht="15">
      <c r="A45" s="17" t="s">
        <v>512</v>
      </c>
      <c r="B45" s="17" t="s">
        <v>32</v>
      </c>
      <c r="C45" s="17" t="s">
        <v>31</v>
      </c>
      <c r="D45" s="76" t="s">
        <v>511</v>
      </c>
      <c r="E45" s="57">
        <f t="shared" si="3"/>
        <v>523289</v>
      </c>
      <c r="F45" s="19">
        <f>F46</f>
        <v>523289</v>
      </c>
      <c r="G45" s="19">
        <f>G46</f>
        <v>0</v>
      </c>
      <c r="H45" s="19">
        <f>H46</f>
        <v>0</v>
      </c>
      <c r="I45" s="19">
        <f>I46</f>
        <v>0</v>
      </c>
      <c r="J45" s="57">
        <f t="shared" si="4"/>
        <v>0</v>
      </c>
      <c r="K45" s="19">
        <f>K46</f>
        <v>0</v>
      </c>
      <c r="L45" s="19">
        <f>L46</f>
        <v>0</v>
      </c>
      <c r="M45" s="19">
        <f>M46</f>
        <v>0</v>
      </c>
      <c r="N45" s="19">
        <f>N46</f>
        <v>0</v>
      </c>
      <c r="O45" s="19">
        <f>O46</f>
        <v>0</v>
      </c>
      <c r="P45" s="19">
        <f>E45+J45</f>
        <v>523289</v>
      </c>
      <c r="Q45" s="108">
        <f>P45-'[1]Лист1'!$P$41</f>
        <v>0</v>
      </c>
    </row>
    <row r="46" spans="1:16" s="47" customFormat="1" ht="47.25" customHeight="1">
      <c r="A46" s="42"/>
      <c r="B46" s="43"/>
      <c r="C46" s="44"/>
      <c r="D46" s="113" t="s">
        <v>496</v>
      </c>
      <c r="E46" s="61">
        <f t="shared" si="3"/>
        <v>523289</v>
      </c>
      <c r="F46" s="46">
        <v>523289</v>
      </c>
      <c r="G46" s="46">
        <v>0</v>
      </c>
      <c r="H46" s="46">
        <v>0</v>
      </c>
      <c r="I46" s="46">
        <v>0</v>
      </c>
      <c r="J46" s="61">
        <f t="shared" si="4"/>
        <v>0</v>
      </c>
      <c r="K46" s="46">
        <v>0</v>
      </c>
      <c r="L46" s="46">
        <v>0</v>
      </c>
      <c r="M46" s="46">
        <v>0</v>
      </c>
      <c r="N46" s="46">
        <v>0</v>
      </c>
      <c r="O46" s="46">
        <v>0</v>
      </c>
      <c r="P46" s="45">
        <f t="shared" si="2"/>
        <v>523289</v>
      </c>
    </row>
    <row r="47" spans="1:17" s="11" customFormat="1" ht="30.75" customHeight="1">
      <c r="A47" s="12" t="s">
        <v>43</v>
      </c>
      <c r="B47" s="13"/>
      <c r="C47" s="14"/>
      <c r="D47" s="79" t="s">
        <v>526</v>
      </c>
      <c r="E47" s="56">
        <f t="shared" si="3"/>
        <v>632260805.54</v>
      </c>
      <c r="F47" s="15">
        <f>F48</f>
        <v>632260805.54</v>
      </c>
      <c r="G47" s="15">
        <f>G48</f>
        <v>373798577</v>
      </c>
      <c r="H47" s="15">
        <f>H48</f>
        <v>80038900</v>
      </c>
      <c r="I47" s="15">
        <f>I48</f>
        <v>0</v>
      </c>
      <c r="J47" s="56">
        <f t="shared" si="4"/>
        <v>56880965</v>
      </c>
      <c r="K47" s="15">
        <f>K48</f>
        <v>29019800</v>
      </c>
      <c r="L47" s="15">
        <f>L48</f>
        <v>690200</v>
      </c>
      <c r="M47" s="15">
        <f>M48</f>
        <v>145200</v>
      </c>
      <c r="N47" s="15">
        <f>N48</f>
        <v>27861165</v>
      </c>
      <c r="O47" s="15">
        <f>O48</f>
        <v>27524865</v>
      </c>
      <c r="P47" s="15">
        <f>E47+J47</f>
        <v>689141770.54</v>
      </c>
      <c r="Q47" s="108">
        <f>P47-'[1]Лист1'!$P$43</f>
        <v>27151411.589999914</v>
      </c>
    </row>
    <row r="48" spans="1:16" s="11" customFormat="1" ht="28.5">
      <c r="A48" s="27" t="s">
        <v>45</v>
      </c>
      <c r="B48" s="28"/>
      <c r="C48" s="29"/>
      <c r="D48" s="78" t="s">
        <v>44</v>
      </c>
      <c r="E48" s="58">
        <f t="shared" si="3"/>
        <v>632260805.54</v>
      </c>
      <c r="F48" s="20">
        <f>F49+F50+F53+F61+F66+F68+F69+F70+F71+F72+F74+F75+F76+F79+F80+F81+F82+F83+F86+F89+F92+F94+F96+F99+F101+F102</f>
        <v>632260805.54</v>
      </c>
      <c r="G48" s="20">
        <f>G49+G50+G53+G61+G66+G68+G69+G70+G71+G72+G74+G75+G76+G79+G80+G81+G82+G83+G86+G89+G92+G94+G96+G99+G101+G102</f>
        <v>373798577</v>
      </c>
      <c r="H48" s="20">
        <f>H49+H50+H53+H61+H66+H68+H69+H70+H71+H72+H74+H75+H76+H79+H80+H81+H82+H83+H86+H89+H92+H94+H96+H99+H101+H102</f>
        <v>80038900</v>
      </c>
      <c r="I48" s="20">
        <f>I49+I50+I53+I61+I66+I68+I69+I70+I71+I72+I74+I75+I76+I79+I80+I81+I82+I83+I86+I89+I92+I94+I96+I99+I101+I102</f>
        <v>0</v>
      </c>
      <c r="J48" s="58">
        <f t="shared" si="4"/>
        <v>56880965</v>
      </c>
      <c r="K48" s="20">
        <f>K49+K50+K53+K61+K66+K68+K69+K70+K71+K72+K74+K75+K76+K79+K80+K81+K82+K83+K86+K89+K92+K94+K96+K99+K101+K102</f>
        <v>29019800</v>
      </c>
      <c r="L48" s="20">
        <f>L49+L50+L53+L61+L66+L68+L69+L70+L71+L72+L74+L75+L76+L79+L80+L81+L82+L83+L86+L89+L92+L94+L96+L99+L101+L102</f>
        <v>690200</v>
      </c>
      <c r="M48" s="20">
        <f>M49+M50+M53+M61+M66+M68+M69+M70+M71+M72+M74+M75+M76+M79+M80+M81+M82+M83+M86+M89+M92+M94+M96+M99+M101+M102</f>
        <v>145200</v>
      </c>
      <c r="N48" s="20">
        <f>N49+N50+N53+N61+N66+N68+N69+N70+N71+N72+N74+N75+N76+N79+N80+N81+N82+N83+N86+N89+N92+N94+N96+N99+N101+N102</f>
        <v>27861165</v>
      </c>
      <c r="O48" s="20">
        <f>O49+O50+O53+O61+O66+O68+O69+O70+O71+O72+O74+O75+O76+O79+O80+O81+O82+O83+O86+O89+O92+O94+O96+O99+O101+O102</f>
        <v>27524865</v>
      </c>
      <c r="P48" s="20">
        <f>E48+J48</f>
        <v>689141770.54</v>
      </c>
    </row>
    <row r="49" spans="1:17" s="11" customFormat="1" ht="42.75">
      <c r="A49" s="3" t="s">
        <v>46</v>
      </c>
      <c r="B49" s="30" t="s">
        <v>35</v>
      </c>
      <c r="C49" s="30" t="s">
        <v>20</v>
      </c>
      <c r="D49" s="73" t="s">
        <v>538</v>
      </c>
      <c r="E49" s="58">
        <f t="shared" si="3"/>
        <v>1731332</v>
      </c>
      <c r="F49" s="21">
        <f>1592232+139100</f>
        <v>1731332</v>
      </c>
      <c r="G49" s="21">
        <f>1118387+114000</f>
        <v>1232387</v>
      </c>
      <c r="H49" s="21">
        <v>75000</v>
      </c>
      <c r="I49" s="21">
        <v>0</v>
      </c>
      <c r="J49" s="58">
        <f t="shared" si="4"/>
        <v>16000</v>
      </c>
      <c r="K49" s="21">
        <v>16000</v>
      </c>
      <c r="L49" s="21">
        <v>0</v>
      </c>
      <c r="M49" s="21">
        <v>0</v>
      </c>
      <c r="N49" s="21">
        <v>0</v>
      </c>
      <c r="O49" s="21">
        <v>0</v>
      </c>
      <c r="P49" s="20">
        <f t="shared" si="2"/>
        <v>1747332</v>
      </c>
      <c r="Q49" s="108">
        <f>P49-'[1]Лист1'!$P$45</f>
        <v>139100</v>
      </c>
    </row>
    <row r="50" spans="1:18" s="11" customFormat="1" ht="15">
      <c r="A50" s="3" t="s">
        <v>47</v>
      </c>
      <c r="B50" s="5" t="s">
        <v>49</v>
      </c>
      <c r="C50" s="4" t="s">
        <v>48</v>
      </c>
      <c r="D50" s="73" t="s">
        <v>50</v>
      </c>
      <c r="E50" s="58">
        <f t="shared" si="3"/>
        <v>159412290</v>
      </c>
      <c r="F50" s="21">
        <f>168693700+142377+40356+107692+8375+8150+20000+19000-14549600+199600+66740+8000-1315000+75000+5887900</f>
        <v>159412290</v>
      </c>
      <c r="G50" s="21">
        <f>96109100-11846600+4520400</f>
        <v>88782900</v>
      </c>
      <c r="H50" s="21">
        <v>27220100</v>
      </c>
      <c r="I50" s="21">
        <v>0</v>
      </c>
      <c r="J50" s="58">
        <f t="shared" si="4"/>
        <v>20008519</v>
      </c>
      <c r="K50" s="21">
        <v>13878000</v>
      </c>
      <c r="L50" s="21">
        <v>0</v>
      </c>
      <c r="M50" s="21">
        <v>0</v>
      </c>
      <c r="N50" s="21">
        <f>5550000+7000+21799+20200+800000+46000+26000+28450+14070-383000</f>
        <v>6130519</v>
      </c>
      <c r="O50" s="21">
        <f>5550000+7000+21799+20200+800000+46000+26000+28450+14070-383000</f>
        <v>6130519</v>
      </c>
      <c r="P50" s="20">
        <f t="shared" si="2"/>
        <v>179420809</v>
      </c>
      <c r="Q50" s="108">
        <f>P50-'[1]Лист1'!$P$46</f>
        <v>-8883624</v>
      </c>
      <c r="R50" s="108">
        <f>Q53+Q50</f>
        <v>-8866624</v>
      </c>
    </row>
    <row r="51" spans="1:16" s="47" customFormat="1" ht="36" customHeight="1">
      <c r="A51" s="48"/>
      <c r="B51" s="49"/>
      <c r="C51" s="50"/>
      <c r="D51" s="113" t="s">
        <v>507</v>
      </c>
      <c r="E51" s="62">
        <f t="shared" si="3"/>
        <v>5917100</v>
      </c>
      <c r="F51" s="130">
        <v>5917100</v>
      </c>
      <c r="G51" s="130">
        <v>4850100</v>
      </c>
      <c r="H51" s="130"/>
      <c r="I51" s="130"/>
      <c r="J51" s="62">
        <f t="shared" si="4"/>
        <v>0</v>
      </c>
      <c r="K51" s="130"/>
      <c r="L51" s="130"/>
      <c r="M51" s="130"/>
      <c r="N51" s="130"/>
      <c r="O51" s="130"/>
      <c r="P51" s="45">
        <f t="shared" si="2"/>
        <v>5917100</v>
      </c>
    </row>
    <row r="52" spans="1:16" s="47" customFormat="1" ht="59.25" customHeight="1">
      <c r="A52" s="48"/>
      <c r="B52" s="49"/>
      <c r="C52" s="50"/>
      <c r="D52" s="159" t="s">
        <v>580</v>
      </c>
      <c r="E52" s="62"/>
      <c r="F52" s="130"/>
      <c r="G52" s="130"/>
      <c r="H52" s="130"/>
      <c r="I52" s="130"/>
      <c r="J52" s="62">
        <f t="shared" si="4"/>
        <v>50249</v>
      </c>
      <c r="K52" s="130"/>
      <c r="L52" s="130"/>
      <c r="M52" s="130"/>
      <c r="N52" s="46">
        <f>21799+28450</f>
        <v>50249</v>
      </c>
      <c r="O52" s="46">
        <f>21799+28450</f>
        <v>50249</v>
      </c>
      <c r="P52" s="45">
        <f t="shared" si="2"/>
        <v>50249</v>
      </c>
    </row>
    <row r="53" spans="1:19" s="11" customFormat="1" ht="85.5">
      <c r="A53" s="3" t="s">
        <v>51</v>
      </c>
      <c r="B53" s="5" t="s">
        <v>53</v>
      </c>
      <c r="C53" s="4" t="s">
        <v>52</v>
      </c>
      <c r="D53" s="73" t="s">
        <v>54</v>
      </c>
      <c r="E53" s="58">
        <f t="shared" si="3"/>
        <v>334967968.76000005</v>
      </c>
      <c r="F53" s="21">
        <f>306731300+52000+425000+536490.95+886859+576921+389900+93600-50000+100000+173079+188174.2+5000+42500+60603+14863.21+90165.62+222719.22+375000+96729.8+216425.57+590000+22402+13452100-991000-40000+200000+2000+18000+399700-200000+185323.68+74200+4527200-607000+342419+968008-35700+144847.35+100000+188204.16+27434+4220500+152000</f>
        <v>334967968.76000005</v>
      </c>
      <c r="G53" s="21">
        <f>199244800+693330+389900+10948700+3710800+755660+3453100</f>
        <v>219196290</v>
      </c>
      <c r="H53" s="21">
        <v>42388800</v>
      </c>
      <c r="I53" s="21">
        <v>0</v>
      </c>
      <c r="J53" s="58">
        <f t="shared" si="4"/>
        <v>28726399</v>
      </c>
      <c r="K53" s="21">
        <v>12598000</v>
      </c>
      <c r="L53" s="21">
        <v>85600</v>
      </c>
      <c r="M53" s="21">
        <v>96600</v>
      </c>
      <c r="N53" s="21">
        <f>8917000+125000+1529200+17497+170462+307124+19800+11500+30000+20200+42960-22402+87021+21800+991000+40000+4410000+70677+12000-199800+1300-1990000+500000+50000+11000+184360+172700+598000</f>
        <v>16128399</v>
      </c>
      <c r="O53" s="21">
        <f>8900000+125000+1529200+17497+170462+307124+19800+11500+30000+20200-22402+21800+991000+40000+4410000+70677+12000-199800+1300-1990000+500000+50000+11000+184360+172700+598000+129981</f>
        <v>16111399</v>
      </c>
      <c r="P53" s="20">
        <f t="shared" si="2"/>
        <v>363694367.76000005</v>
      </c>
      <c r="Q53" s="115">
        <f>N53-O53</f>
        <v>17000</v>
      </c>
      <c r="R53" s="114">
        <v>17000</v>
      </c>
      <c r="S53" s="108">
        <f>Q53-R53</f>
        <v>0</v>
      </c>
    </row>
    <row r="54" spans="1:16" s="47" customFormat="1" ht="45">
      <c r="A54" s="42"/>
      <c r="B54" s="43"/>
      <c r="C54" s="44"/>
      <c r="D54" s="113" t="s">
        <v>508</v>
      </c>
      <c r="E54" s="61">
        <f t="shared" si="3"/>
        <v>212545700</v>
      </c>
      <c r="F54" s="130">
        <f>212545700</f>
        <v>212545700</v>
      </c>
      <c r="G54" s="130">
        <v>174217800</v>
      </c>
      <c r="H54" s="130"/>
      <c r="I54" s="130"/>
      <c r="J54" s="61">
        <f t="shared" si="4"/>
        <v>0</v>
      </c>
      <c r="K54" s="130"/>
      <c r="L54" s="130"/>
      <c r="M54" s="130"/>
      <c r="N54" s="130"/>
      <c r="O54" s="130"/>
      <c r="P54" s="131">
        <f t="shared" si="2"/>
        <v>212545700</v>
      </c>
    </row>
    <row r="55" spans="1:16" s="47" customFormat="1" ht="45">
      <c r="A55" s="42"/>
      <c r="B55" s="43"/>
      <c r="C55" s="44"/>
      <c r="D55" s="113" t="s">
        <v>575</v>
      </c>
      <c r="E55" s="61">
        <f t="shared" si="3"/>
        <v>425000</v>
      </c>
      <c r="F55" s="130">
        <v>425000</v>
      </c>
      <c r="G55" s="130"/>
      <c r="H55" s="130"/>
      <c r="I55" s="130"/>
      <c r="J55" s="61">
        <f t="shared" si="4"/>
        <v>1616221</v>
      </c>
      <c r="K55" s="130"/>
      <c r="L55" s="130"/>
      <c r="M55" s="130"/>
      <c r="N55" s="130">
        <f>1529200+87021</f>
        <v>1616221</v>
      </c>
      <c r="O55" s="130">
        <f>1529200+87021</f>
        <v>1616221</v>
      </c>
      <c r="P55" s="131">
        <f t="shared" si="2"/>
        <v>2041221</v>
      </c>
    </row>
    <row r="56" spans="1:18" s="47" customFormat="1" ht="75">
      <c r="A56" s="42"/>
      <c r="B56" s="43"/>
      <c r="C56" s="44"/>
      <c r="D56" s="113" t="s">
        <v>534</v>
      </c>
      <c r="E56" s="61">
        <f t="shared" si="3"/>
        <v>1854867</v>
      </c>
      <c r="F56" s="130">
        <f>886859+968008</f>
        <v>1854867</v>
      </c>
      <c r="G56" s="130">
        <f>693330+755660</f>
        <v>1448990</v>
      </c>
      <c r="H56" s="130"/>
      <c r="I56" s="130"/>
      <c r="J56" s="61">
        <f t="shared" si="4"/>
        <v>354822</v>
      </c>
      <c r="K56" s="130"/>
      <c r="L56" s="130"/>
      <c r="M56" s="130"/>
      <c r="N56" s="130">
        <f>170462+184360</f>
        <v>354822</v>
      </c>
      <c r="O56" s="130">
        <f>170462+184360</f>
        <v>354822</v>
      </c>
      <c r="P56" s="131">
        <f t="shared" si="2"/>
        <v>2209689</v>
      </c>
      <c r="R56" s="129"/>
    </row>
    <row r="57" spans="1:16" s="47" customFormat="1" ht="78" customHeight="1">
      <c r="A57" s="42"/>
      <c r="B57" s="43"/>
      <c r="C57" s="44"/>
      <c r="D57" s="113" t="s">
        <v>578</v>
      </c>
      <c r="E57" s="61">
        <f t="shared" si="3"/>
        <v>134000</v>
      </c>
      <c r="F57" s="130">
        <f>576921+173079+375000-991000</f>
        <v>134000</v>
      </c>
      <c r="G57" s="130"/>
      <c r="H57" s="130"/>
      <c r="I57" s="130"/>
      <c r="J57" s="61">
        <f t="shared" si="4"/>
        <v>991000</v>
      </c>
      <c r="K57" s="130"/>
      <c r="L57" s="130"/>
      <c r="M57" s="130"/>
      <c r="N57" s="130">
        <v>991000</v>
      </c>
      <c r="O57" s="130">
        <v>991000</v>
      </c>
      <c r="P57" s="131">
        <f t="shared" si="2"/>
        <v>1125000</v>
      </c>
    </row>
    <row r="58" spans="1:16" s="47" customFormat="1" ht="104.25" customHeight="1">
      <c r="A58" s="42"/>
      <c r="B58" s="43"/>
      <c r="C58" s="44"/>
      <c r="D58" s="113" t="s">
        <v>579</v>
      </c>
      <c r="E58" s="61">
        <f t="shared" si="3"/>
        <v>152000</v>
      </c>
      <c r="F58" s="130">
        <v>152000</v>
      </c>
      <c r="G58" s="130"/>
      <c r="H58" s="130"/>
      <c r="I58" s="130"/>
      <c r="J58" s="61">
        <f t="shared" si="4"/>
        <v>598000</v>
      </c>
      <c r="K58" s="130"/>
      <c r="L58" s="130"/>
      <c r="M58" s="130"/>
      <c r="N58" s="154">
        <v>598000</v>
      </c>
      <c r="O58" s="154">
        <v>598000</v>
      </c>
      <c r="P58" s="131">
        <f t="shared" si="2"/>
        <v>750000</v>
      </c>
    </row>
    <row r="59" spans="1:16" s="47" customFormat="1" ht="52.5" customHeight="1">
      <c r="A59" s="42"/>
      <c r="B59" s="43"/>
      <c r="C59" s="44"/>
      <c r="D59" s="159" t="s">
        <v>580</v>
      </c>
      <c r="E59" s="61">
        <f t="shared" si="3"/>
        <v>102000</v>
      </c>
      <c r="F59" s="130">
        <f>2000+100000</f>
        <v>102000</v>
      </c>
      <c r="G59" s="130"/>
      <c r="H59" s="130"/>
      <c r="I59" s="130"/>
      <c r="J59" s="61">
        <f t="shared" si="4"/>
        <v>12000</v>
      </c>
      <c r="K59" s="130"/>
      <c r="L59" s="130"/>
      <c r="M59" s="130"/>
      <c r="N59" s="130">
        <v>12000</v>
      </c>
      <c r="O59" s="130">
        <v>12000</v>
      </c>
      <c r="P59" s="131">
        <f t="shared" si="2"/>
        <v>114000</v>
      </c>
    </row>
    <row r="60" spans="1:16" s="47" customFormat="1" ht="77.25" customHeight="1">
      <c r="A60" s="42"/>
      <c r="B60" s="43"/>
      <c r="C60" s="44"/>
      <c r="D60" s="113" t="s">
        <v>556</v>
      </c>
      <c r="E60" s="61"/>
      <c r="F60" s="130"/>
      <c r="G60" s="130"/>
      <c r="H60" s="130"/>
      <c r="I60" s="130"/>
      <c r="J60" s="61">
        <f t="shared" si="4"/>
        <v>4757000</v>
      </c>
      <c r="K60" s="130"/>
      <c r="L60" s="130"/>
      <c r="M60" s="130"/>
      <c r="N60" s="130">
        <f>4100000+500000+157000</f>
        <v>4757000</v>
      </c>
      <c r="O60" s="130">
        <f>4100000+500000+157000</f>
        <v>4757000</v>
      </c>
      <c r="P60" s="131">
        <f t="shared" si="2"/>
        <v>4757000</v>
      </c>
    </row>
    <row r="61" spans="1:17" s="11" customFormat="1" ht="63" customHeight="1">
      <c r="A61" s="3" t="s">
        <v>55</v>
      </c>
      <c r="B61" s="5" t="s">
        <v>57</v>
      </c>
      <c r="C61" s="4" t="s">
        <v>56</v>
      </c>
      <c r="D61" s="73" t="s">
        <v>58</v>
      </c>
      <c r="E61" s="58">
        <f t="shared" si="3"/>
        <v>28070800</v>
      </c>
      <c r="F61" s="21">
        <f>25756200+12900+192307+152600+33100+182693+190000+1097500-375000+199800+472800-7000+162900</f>
        <v>28070800</v>
      </c>
      <c r="G61" s="21">
        <f>14199900+11600+152600+897900+387500+133500</f>
        <v>15783000</v>
      </c>
      <c r="H61" s="21">
        <v>3041200</v>
      </c>
      <c r="I61" s="21">
        <v>0</v>
      </c>
      <c r="J61" s="58">
        <f t="shared" si="4"/>
        <v>173179</v>
      </c>
      <c r="K61" s="21">
        <v>7000</v>
      </c>
      <c r="L61" s="21">
        <v>0</v>
      </c>
      <c r="M61" s="21">
        <v>0</v>
      </c>
      <c r="N61" s="21">
        <f>190000+63200-87021</f>
        <v>166179</v>
      </c>
      <c r="O61" s="21">
        <f>190000+63200-87021</f>
        <v>166179</v>
      </c>
      <c r="P61" s="20">
        <f t="shared" si="2"/>
        <v>28243979</v>
      </c>
      <c r="Q61" s="108">
        <f>P61-'[1]Лист1'!$P$52</f>
        <v>1899872</v>
      </c>
    </row>
    <row r="62" spans="1:16" s="47" customFormat="1" ht="45">
      <c r="A62" s="42"/>
      <c r="B62" s="43"/>
      <c r="C62" s="44"/>
      <c r="D62" s="113" t="s">
        <v>508</v>
      </c>
      <c r="E62" s="61">
        <f t="shared" si="3"/>
        <v>14688900</v>
      </c>
      <c r="F62" s="130">
        <f>14676000+12900</f>
        <v>14688900</v>
      </c>
      <c r="G62" s="130">
        <f>12029500+10600</f>
        <v>12040100</v>
      </c>
      <c r="H62" s="130"/>
      <c r="I62" s="130"/>
      <c r="J62" s="61">
        <f t="shared" si="4"/>
        <v>0</v>
      </c>
      <c r="K62" s="130"/>
      <c r="L62" s="130"/>
      <c r="M62" s="130"/>
      <c r="N62" s="130"/>
      <c r="O62" s="130"/>
      <c r="P62" s="131">
        <f t="shared" si="2"/>
        <v>14688900</v>
      </c>
    </row>
    <row r="63" spans="1:16" s="47" customFormat="1" ht="45">
      <c r="A63" s="42"/>
      <c r="B63" s="43"/>
      <c r="C63" s="44"/>
      <c r="D63" s="113" t="s">
        <v>575</v>
      </c>
      <c r="E63" s="61">
        <f t="shared" si="3"/>
        <v>0</v>
      </c>
      <c r="F63" s="130"/>
      <c r="G63" s="130"/>
      <c r="H63" s="130"/>
      <c r="I63" s="130"/>
      <c r="J63" s="61">
        <f t="shared" si="4"/>
        <v>102979</v>
      </c>
      <c r="K63" s="130"/>
      <c r="L63" s="130"/>
      <c r="M63" s="130"/>
      <c r="N63" s="130">
        <f>190000-87021</f>
        <v>102979</v>
      </c>
      <c r="O63" s="130">
        <f>190000-87021</f>
        <v>102979</v>
      </c>
      <c r="P63" s="131">
        <f t="shared" si="2"/>
        <v>102979</v>
      </c>
    </row>
    <row r="64" spans="1:16" s="47" customFormat="1" ht="90" hidden="1">
      <c r="A64" s="42"/>
      <c r="B64" s="43"/>
      <c r="C64" s="44"/>
      <c r="D64" s="113" t="s">
        <v>535</v>
      </c>
      <c r="E64" s="61">
        <f t="shared" si="3"/>
        <v>0</v>
      </c>
      <c r="F64" s="130">
        <f>192307+182693-375000</f>
        <v>0</v>
      </c>
      <c r="G64" s="130"/>
      <c r="H64" s="130"/>
      <c r="I64" s="130"/>
      <c r="J64" s="61">
        <f t="shared" si="4"/>
        <v>0</v>
      </c>
      <c r="K64" s="130"/>
      <c r="L64" s="130"/>
      <c r="M64" s="130"/>
      <c r="N64" s="130"/>
      <c r="O64" s="130"/>
      <c r="P64" s="131">
        <f t="shared" si="2"/>
        <v>0</v>
      </c>
    </row>
    <row r="65" spans="1:16" s="47" customFormat="1" ht="15" hidden="1">
      <c r="A65" s="42"/>
      <c r="B65" s="43"/>
      <c r="C65" s="44"/>
      <c r="D65" s="113"/>
      <c r="E65" s="61"/>
      <c r="F65" s="130"/>
      <c r="G65" s="130"/>
      <c r="H65" s="130"/>
      <c r="I65" s="130"/>
      <c r="J65" s="61"/>
      <c r="K65" s="130"/>
      <c r="L65" s="130"/>
      <c r="M65" s="130"/>
      <c r="N65" s="130"/>
      <c r="O65" s="130"/>
      <c r="P65" s="131"/>
    </row>
    <row r="66" spans="1:17" s="11" customFormat="1" ht="57.75" customHeight="1">
      <c r="A66" s="3" t="s">
        <v>59</v>
      </c>
      <c r="B66" s="5" t="s">
        <v>61</v>
      </c>
      <c r="C66" s="4" t="s">
        <v>60</v>
      </c>
      <c r="D66" s="73" t="s">
        <v>62</v>
      </c>
      <c r="E66" s="58">
        <f t="shared" si="3"/>
        <v>19203657</v>
      </c>
      <c r="F66" s="21">
        <f>19083100+34000+112557+3000-49000+20000</f>
        <v>19203657</v>
      </c>
      <c r="G66" s="21">
        <v>13373700</v>
      </c>
      <c r="H66" s="21">
        <v>2364000</v>
      </c>
      <c r="I66" s="21">
        <v>0</v>
      </c>
      <c r="J66" s="58">
        <f t="shared" si="4"/>
        <v>250000</v>
      </c>
      <c r="K66" s="21">
        <v>44000</v>
      </c>
      <c r="L66" s="21">
        <v>0</v>
      </c>
      <c r="M66" s="21">
        <v>2000</v>
      </c>
      <c r="N66" s="21">
        <f>66000+100000+40000</f>
        <v>206000</v>
      </c>
      <c r="O66" s="21">
        <f>66000+100000+40000</f>
        <v>206000</v>
      </c>
      <c r="P66" s="20">
        <f t="shared" si="2"/>
        <v>19453657</v>
      </c>
      <c r="Q66" s="108">
        <f>P66-'[1]Лист1'!$P$55</f>
        <v>14000</v>
      </c>
    </row>
    <row r="67" spans="1:16" s="47" customFormat="1" ht="36.75" customHeight="1">
      <c r="A67" s="42"/>
      <c r="B67" s="43"/>
      <c r="C67" s="44"/>
      <c r="D67" s="113" t="s">
        <v>507</v>
      </c>
      <c r="E67" s="61">
        <f t="shared" si="3"/>
        <v>924300</v>
      </c>
      <c r="F67" s="130">
        <v>924300</v>
      </c>
      <c r="G67" s="130">
        <v>757600</v>
      </c>
      <c r="H67" s="130"/>
      <c r="I67" s="130"/>
      <c r="J67" s="61">
        <f t="shared" si="4"/>
        <v>0</v>
      </c>
      <c r="K67" s="130"/>
      <c r="L67" s="130"/>
      <c r="M67" s="130"/>
      <c r="N67" s="130"/>
      <c r="O67" s="130"/>
      <c r="P67" s="131">
        <f t="shared" si="2"/>
        <v>924300</v>
      </c>
    </row>
    <row r="68" spans="1:17" s="11" customFormat="1" ht="42.75">
      <c r="A68" s="3" t="s">
        <v>63</v>
      </c>
      <c r="B68" s="5" t="s">
        <v>65</v>
      </c>
      <c r="C68" s="4" t="s">
        <v>64</v>
      </c>
      <c r="D68" s="73" t="s">
        <v>66</v>
      </c>
      <c r="E68" s="58">
        <f t="shared" si="3"/>
        <v>3977500</v>
      </c>
      <c r="F68" s="21">
        <f>4846700-548100-121100-200000</f>
        <v>3977500</v>
      </c>
      <c r="G68" s="21">
        <f>3246100-548100</f>
        <v>2698000</v>
      </c>
      <c r="H68" s="21">
        <v>237000</v>
      </c>
      <c r="I68" s="21">
        <v>0</v>
      </c>
      <c r="J68" s="58">
        <f t="shared" si="4"/>
        <v>151000</v>
      </c>
      <c r="K68" s="21">
        <v>106000</v>
      </c>
      <c r="L68" s="21">
        <v>3600</v>
      </c>
      <c r="M68" s="21">
        <v>12000</v>
      </c>
      <c r="N68" s="21">
        <v>45000</v>
      </c>
      <c r="O68" s="21">
        <v>0</v>
      </c>
      <c r="P68" s="20">
        <f t="shared" si="2"/>
        <v>4128500</v>
      </c>
      <c r="Q68" s="108">
        <f>P68-'[1]Лист1'!$P$57</f>
        <v>-200000</v>
      </c>
    </row>
    <row r="69" spans="1:17" s="11" customFormat="1" ht="35.25" customHeight="1">
      <c r="A69" s="3" t="s">
        <v>67</v>
      </c>
      <c r="B69" s="5" t="s">
        <v>68</v>
      </c>
      <c r="C69" s="4" t="s">
        <v>64</v>
      </c>
      <c r="D69" s="73" t="s">
        <v>69</v>
      </c>
      <c r="E69" s="58">
        <f t="shared" si="3"/>
        <v>1884700</v>
      </c>
      <c r="F69" s="21">
        <f>2034700-150000</f>
        <v>1884700</v>
      </c>
      <c r="G69" s="21">
        <f>1344000-7400</f>
        <v>1336600</v>
      </c>
      <c r="H69" s="21">
        <v>90900</v>
      </c>
      <c r="I69" s="21">
        <v>0</v>
      </c>
      <c r="J69" s="58">
        <f t="shared" si="4"/>
        <v>0</v>
      </c>
      <c r="K69" s="21">
        <v>0</v>
      </c>
      <c r="L69" s="21">
        <v>0</v>
      </c>
      <c r="M69" s="21">
        <v>0</v>
      </c>
      <c r="N69" s="21">
        <v>0</v>
      </c>
      <c r="O69" s="21">
        <v>0</v>
      </c>
      <c r="P69" s="20">
        <f t="shared" si="2"/>
        <v>1884700</v>
      </c>
      <c r="Q69" s="108">
        <f>P69-'[1]Лист1'!$P$58</f>
        <v>-150000</v>
      </c>
    </row>
    <row r="70" spans="1:17" s="11" customFormat="1" ht="33.75" customHeight="1">
      <c r="A70" s="3" t="s">
        <v>70</v>
      </c>
      <c r="B70" s="5" t="s">
        <v>71</v>
      </c>
      <c r="C70" s="4" t="s">
        <v>64</v>
      </c>
      <c r="D70" s="73" t="s">
        <v>72</v>
      </c>
      <c r="E70" s="58">
        <f t="shared" si="3"/>
        <v>1710100</v>
      </c>
      <c r="F70" s="21">
        <f>1760100-50000</f>
        <v>1710100</v>
      </c>
      <c r="G70" s="21">
        <f>938700-3100</f>
        <v>935600</v>
      </c>
      <c r="H70" s="21">
        <v>142700</v>
      </c>
      <c r="I70" s="21">
        <v>0</v>
      </c>
      <c r="J70" s="58">
        <f t="shared" si="4"/>
        <v>0</v>
      </c>
      <c r="K70" s="21">
        <v>0</v>
      </c>
      <c r="L70" s="21">
        <v>0</v>
      </c>
      <c r="M70" s="21">
        <v>0</v>
      </c>
      <c r="N70" s="21">
        <v>0</v>
      </c>
      <c r="O70" s="21">
        <v>0</v>
      </c>
      <c r="P70" s="20">
        <f t="shared" si="2"/>
        <v>1710100</v>
      </c>
      <c r="Q70" s="108">
        <f>P70-'[1]Лист1'!$P$59</f>
        <v>-50000</v>
      </c>
    </row>
    <row r="71" spans="1:17" s="11" customFormat="1" ht="57">
      <c r="A71" s="3" t="s">
        <v>73</v>
      </c>
      <c r="B71" s="5" t="s">
        <v>74</v>
      </c>
      <c r="C71" s="4" t="s">
        <v>64</v>
      </c>
      <c r="D71" s="73" t="s">
        <v>75</v>
      </c>
      <c r="E71" s="58">
        <f t="shared" si="3"/>
        <v>126700</v>
      </c>
      <c r="F71" s="21">
        <v>126700</v>
      </c>
      <c r="G71" s="21">
        <v>0</v>
      </c>
      <c r="H71" s="21">
        <v>0</v>
      </c>
      <c r="I71" s="21">
        <v>0</v>
      </c>
      <c r="J71" s="58">
        <f t="shared" si="4"/>
        <v>0</v>
      </c>
      <c r="K71" s="21">
        <v>0</v>
      </c>
      <c r="L71" s="21">
        <v>0</v>
      </c>
      <c r="M71" s="21">
        <v>0</v>
      </c>
      <c r="N71" s="21">
        <v>0</v>
      </c>
      <c r="O71" s="21">
        <v>0</v>
      </c>
      <c r="P71" s="20">
        <f t="shared" si="2"/>
        <v>126700</v>
      </c>
      <c r="Q71" s="108">
        <f>P71-'[1]Лист1'!$P$60</f>
        <v>0</v>
      </c>
    </row>
    <row r="72" spans="1:17" s="11" customFormat="1" ht="35.25" customHeight="1">
      <c r="A72" s="16" t="s">
        <v>76</v>
      </c>
      <c r="B72" s="17"/>
      <c r="C72" s="18"/>
      <c r="D72" s="74" t="s">
        <v>516</v>
      </c>
      <c r="E72" s="57">
        <f>F72+I72</f>
        <v>77300</v>
      </c>
      <c r="F72" s="19">
        <f>F73</f>
        <v>77300</v>
      </c>
      <c r="G72" s="19">
        <f>G73</f>
        <v>35900</v>
      </c>
      <c r="H72" s="19">
        <f>H73</f>
        <v>0</v>
      </c>
      <c r="I72" s="19">
        <f>I73</f>
        <v>0</v>
      </c>
      <c r="J72" s="57">
        <f>K72+N72</f>
        <v>0</v>
      </c>
      <c r="K72" s="19">
        <f>K73</f>
        <v>0</v>
      </c>
      <c r="L72" s="19">
        <f>L73</f>
        <v>0</v>
      </c>
      <c r="M72" s="19">
        <f>M73</f>
        <v>0</v>
      </c>
      <c r="N72" s="19">
        <f>N73</f>
        <v>0</v>
      </c>
      <c r="O72" s="19">
        <f>O73</f>
        <v>0</v>
      </c>
      <c r="P72" s="19">
        <f t="shared" si="2"/>
        <v>77300</v>
      </c>
      <c r="Q72" s="108">
        <f>P72-'[1]Лист1'!$P$61</f>
        <v>18300</v>
      </c>
    </row>
    <row r="73" spans="1:16" s="11" customFormat="1" ht="48.75" customHeight="1">
      <c r="A73" s="22" t="s">
        <v>77</v>
      </c>
      <c r="B73" s="23" t="s">
        <v>78</v>
      </c>
      <c r="C73" s="24" t="s">
        <v>57</v>
      </c>
      <c r="D73" s="75" t="s">
        <v>79</v>
      </c>
      <c r="E73" s="59">
        <f t="shared" si="3"/>
        <v>77300</v>
      </c>
      <c r="F73" s="26">
        <f>59000+18300</f>
        <v>77300</v>
      </c>
      <c r="G73" s="26">
        <f>20900+15000</f>
        <v>35900</v>
      </c>
      <c r="H73" s="26">
        <v>0</v>
      </c>
      <c r="I73" s="26">
        <v>0</v>
      </c>
      <c r="J73" s="59">
        <f t="shared" si="4"/>
        <v>0</v>
      </c>
      <c r="K73" s="26">
        <v>0</v>
      </c>
      <c r="L73" s="26">
        <v>0</v>
      </c>
      <c r="M73" s="26">
        <v>0</v>
      </c>
      <c r="N73" s="26">
        <v>0</v>
      </c>
      <c r="O73" s="26">
        <v>0</v>
      </c>
      <c r="P73" s="25">
        <f t="shared" si="2"/>
        <v>77300</v>
      </c>
    </row>
    <row r="74" spans="1:17" s="11" customFormat="1" ht="85.5">
      <c r="A74" s="3" t="s">
        <v>80</v>
      </c>
      <c r="B74" s="5" t="s">
        <v>81</v>
      </c>
      <c r="C74" s="4" t="s">
        <v>57</v>
      </c>
      <c r="D74" s="73" t="s">
        <v>82</v>
      </c>
      <c r="E74" s="58">
        <f t="shared" si="3"/>
        <v>4092100</v>
      </c>
      <c r="F74" s="21">
        <f>3752100+340000</f>
        <v>4092100</v>
      </c>
      <c r="G74" s="21">
        <v>0</v>
      </c>
      <c r="H74" s="21">
        <v>0</v>
      </c>
      <c r="I74" s="21">
        <v>0</v>
      </c>
      <c r="J74" s="58">
        <f t="shared" si="4"/>
        <v>450000</v>
      </c>
      <c r="K74" s="21">
        <v>450000</v>
      </c>
      <c r="L74" s="21">
        <v>0</v>
      </c>
      <c r="M74" s="21">
        <v>0</v>
      </c>
      <c r="N74" s="21">
        <v>0</v>
      </c>
      <c r="O74" s="21">
        <v>0</v>
      </c>
      <c r="P74" s="20">
        <f t="shared" si="2"/>
        <v>4542100</v>
      </c>
      <c r="Q74" s="108">
        <f>P74-'[1]Лист1'!$P$63</f>
        <v>340000</v>
      </c>
    </row>
    <row r="75" spans="1:17" s="11" customFormat="1" ht="15">
      <c r="A75" s="3" t="s">
        <v>83</v>
      </c>
      <c r="B75" s="5" t="s">
        <v>84</v>
      </c>
      <c r="C75" s="4" t="s">
        <v>57</v>
      </c>
      <c r="D75" s="73" t="s">
        <v>33</v>
      </c>
      <c r="E75" s="58">
        <f t="shared" si="3"/>
        <v>375900</v>
      </c>
      <c r="F75" s="21">
        <v>375900</v>
      </c>
      <c r="G75" s="21">
        <v>0</v>
      </c>
      <c r="H75" s="21">
        <v>0</v>
      </c>
      <c r="I75" s="21">
        <v>0</v>
      </c>
      <c r="J75" s="58">
        <f t="shared" si="4"/>
        <v>0</v>
      </c>
      <c r="K75" s="21">
        <v>0</v>
      </c>
      <c r="L75" s="21">
        <v>0</v>
      </c>
      <c r="M75" s="21">
        <v>0</v>
      </c>
      <c r="N75" s="21">
        <v>0</v>
      </c>
      <c r="O75" s="21">
        <v>0</v>
      </c>
      <c r="P75" s="20">
        <f t="shared" si="2"/>
        <v>375900</v>
      </c>
      <c r="Q75" s="108">
        <f>P75-'[1]Лист1'!$P$64</f>
        <v>0</v>
      </c>
    </row>
    <row r="76" spans="1:17" s="11" customFormat="1" ht="15">
      <c r="A76" s="3" t="s">
        <v>85</v>
      </c>
      <c r="B76" s="5" t="s">
        <v>87</v>
      </c>
      <c r="C76" s="4" t="s">
        <v>86</v>
      </c>
      <c r="D76" s="73" t="s">
        <v>88</v>
      </c>
      <c r="E76" s="58">
        <f t="shared" si="3"/>
        <v>19610817.779999997</v>
      </c>
      <c r="F76" s="21">
        <f>18191300+507200+73000+880000+20000+10098.4+100000+14181.38-184962</f>
        <v>19610817.779999997</v>
      </c>
      <c r="G76" s="21">
        <v>0</v>
      </c>
      <c r="H76" s="21">
        <v>0</v>
      </c>
      <c r="I76" s="21">
        <v>0</v>
      </c>
      <c r="J76" s="58">
        <f t="shared" si="4"/>
        <v>2429962</v>
      </c>
      <c r="K76" s="21">
        <v>0</v>
      </c>
      <c r="L76" s="21">
        <v>0</v>
      </c>
      <c r="M76" s="21">
        <v>0</v>
      </c>
      <c r="N76" s="21">
        <f>703000+1234000+308000+184962</f>
        <v>2429962</v>
      </c>
      <c r="O76" s="21">
        <f>703000+1234000+308000+184962</f>
        <v>2429962</v>
      </c>
      <c r="P76" s="20">
        <f t="shared" si="2"/>
        <v>22040779.779999997</v>
      </c>
      <c r="Q76" s="108">
        <f>P76-'[1]Лист1'!$P$65</f>
        <v>1332279.7799999975</v>
      </c>
    </row>
    <row r="77" spans="1:17" s="11" customFormat="1" ht="75">
      <c r="A77" s="3"/>
      <c r="B77" s="5"/>
      <c r="C77" s="4"/>
      <c r="D77" s="113" t="s">
        <v>556</v>
      </c>
      <c r="E77" s="58">
        <f t="shared" si="3"/>
        <v>0</v>
      </c>
      <c r="F77" s="21"/>
      <c r="G77" s="21"/>
      <c r="H77" s="21"/>
      <c r="I77" s="21"/>
      <c r="J77" s="58">
        <f t="shared" si="4"/>
        <v>280000</v>
      </c>
      <c r="K77" s="21"/>
      <c r="L77" s="21"/>
      <c r="M77" s="21"/>
      <c r="N77" s="21">
        <v>280000</v>
      </c>
      <c r="O77" s="21">
        <v>280000</v>
      </c>
      <c r="P77" s="20">
        <f t="shared" si="2"/>
        <v>280000</v>
      </c>
      <c r="Q77" s="108"/>
    </row>
    <row r="78" spans="1:17" s="11" customFormat="1" ht="50.25" customHeight="1">
      <c r="A78" s="3"/>
      <c r="B78" s="5"/>
      <c r="C78" s="4"/>
      <c r="D78" s="159" t="s">
        <v>580</v>
      </c>
      <c r="E78" s="58">
        <f t="shared" si="3"/>
        <v>20000</v>
      </c>
      <c r="F78" s="21">
        <v>20000</v>
      </c>
      <c r="G78" s="21"/>
      <c r="H78" s="21"/>
      <c r="I78" s="21"/>
      <c r="J78" s="58"/>
      <c r="K78" s="21"/>
      <c r="L78" s="21"/>
      <c r="M78" s="21"/>
      <c r="N78" s="21"/>
      <c r="O78" s="21"/>
      <c r="P78" s="20">
        <f t="shared" si="2"/>
        <v>20000</v>
      </c>
      <c r="Q78" s="108"/>
    </row>
    <row r="79" spans="1:17" s="11" customFormat="1" ht="45" customHeight="1">
      <c r="A79" s="3" t="s">
        <v>89</v>
      </c>
      <c r="B79" s="5" t="s">
        <v>91</v>
      </c>
      <c r="C79" s="4" t="s">
        <v>90</v>
      </c>
      <c r="D79" s="73" t="s">
        <v>92</v>
      </c>
      <c r="E79" s="58">
        <f t="shared" si="3"/>
        <v>1520200</v>
      </c>
      <c r="F79" s="21">
        <f>747200+500000-500000+500000-249000+372000+150000</f>
        <v>1520200</v>
      </c>
      <c r="G79" s="21">
        <v>0</v>
      </c>
      <c r="H79" s="21">
        <v>0</v>
      </c>
      <c r="I79" s="21">
        <v>0</v>
      </c>
      <c r="J79" s="58">
        <f t="shared" si="4"/>
        <v>0</v>
      </c>
      <c r="K79" s="21">
        <v>0</v>
      </c>
      <c r="L79" s="21">
        <v>0</v>
      </c>
      <c r="M79" s="21">
        <v>0</v>
      </c>
      <c r="N79" s="21">
        <v>0</v>
      </c>
      <c r="O79" s="21">
        <v>0</v>
      </c>
      <c r="P79" s="20">
        <f t="shared" si="2"/>
        <v>1520200</v>
      </c>
      <c r="Q79" s="108">
        <f>P79-'[1]Лист1'!$P$66</f>
        <v>273000</v>
      </c>
    </row>
    <row r="80" spans="1:17" s="11" customFormat="1" ht="15">
      <c r="A80" s="3" t="s">
        <v>93</v>
      </c>
      <c r="B80" s="5" t="s">
        <v>95</v>
      </c>
      <c r="C80" s="4" t="s">
        <v>94</v>
      </c>
      <c r="D80" s="73" t="s">
        <v>96</v>
      </c>
      <c r="E80" s="58">
        <f t="shared" si="3"/>
        <v>5223200</v>
      </c>
      <c r="F80" s="21">
        <f>5144760+7800+10640+60000</f>
        <v>5223200</v>
      </c>
      <c r="G80" s="21">
        <v>3308700</v>
      </c>
      <c r="H80" s="21">
        <v>565100</v>
      </c>
      <c r="I80" s="21">
        <v>0</v>
      </c>
      <c r="J80" s="58">
        <f t="shared" si="4"/>
        <v>50000</v>
      </c>
      <c r="K80" s="21">
        <v>0</v>
      </c>
      <c r="L80" s="21">
        <v>0</v>
      </c>
      <c r="M80" s="21">
        <v>0</v>
      </c>
      <c r="N80" s="21">
        <f>50000</f>
        <v>50000</v>
      </c>
      <c r="O80" s="21">
        <f>50000</f>
        <v>50000</v>
      </c>
      <c r="P80" s="20">
        <f t="shared" si="2"/>
        <v>5273200</v>
      </c>
      <c r="Q80" s="108">
        <f>P80-'[1]Лист1'!$P$67</f>
        <v>70640</v>
      </c>
    </row>
    <row r="81" spans="1:17" s="11" customFormat="1" ht="15">
      <c r="A81" s="3" t="s">
        <v>97</v>
      </c>
      <c r="B81" s="5" t="s">
        <v>98</v>
      </c>
      <c r="C81" s="4" t="s">
        <v>94</v>
      </c>
      <c r="D81" s="73" t="s">
        <v>99</v>
      </c>
      <c r="E81" s="58">
        <f t="shared" si="3"/>
        <v>2992870</v>
      </c>
      <c r="F81" s="21">
        <v>2992870</v>
      </c>
      <c r="G81" s="21">
        <v>1515000</v>
      </c>
      <c r="H81" s="21">
        <v>359300</v>
      </c>
      <c r="I81" s="21">
        <v>0</v>
      </c>
      <c r="J81" s="58">
        <f t="shared" si="4"/>
        <v>210000</v>
      </c>
      <c r="K81" s="21">
        <v>60000</v>
      </c>
      <c r="L81" s="21">
        <v>1000</v>
      </c>
      <c r="M81" s="21">
        <v>1100</v>
      </c>
      <c r="N81" s="21">
        <v>150000</v>
      </c>
      <c r="O81" s="21">
        <v>140000</v>
      </c>
      <c r="P81" s="20">
        <f t="shared" si="2"/>
        <v>3202870</v>
      </c>
      <c r="Q81" s="108">
        <f>P81-'[1]Лист1'!$P$68</f>
        <v>0</v>
      </c>
    </row>
    <row r="82" spans="1:17" s="11" customFormat="1" ht="15">
      <c r="A82" s="3" t="s">
        <v>100</v>
      </c>
      <c r="B82" s="5" t="s">
        <v>101</v>
      </c>
      <c r="C82" s="4" t="s">
        <v>60</v>
      </c>
      <c r="D82" s="73" t="s">
        <v>102</v>
      </c>
      <c r="E82" s="58">
        <f t="shared" si="3"/>
        <v>20914440</v>
      </c>
      <c r="F82" s="21">
        <f>20963370-48930</f>
        <v>20914440</v>
      </c>
      <c r="G82" s="21">
        <v>15121200</v>
      </c>
      <c r="H82" s="21">
        <v>1843200</v>
      </c>
      <c r="I82" s="21">
        <v>0</v>
      </c>
      <c r="J82" s="58">
        <f t="shared" si="4"/>
        <v>2005030</v>
      </c>
      <c r="K82" s="21">
        <v>1466800</v>
      </c>
      <c r="L82" s="21">
        <v>600000</v>
      </c>
      <c r="M82" s="21">
        <v>2800</v>
      </c>
      <c r="N82" s="21">
        <f>489300+48930</f>
        <v>538230</v>
      </c>
      <c r="O82" s="21">
        <f>225000+48930</f>
        <v>273930</v>
      </c>
      <c r="P82" s="20">
        <f t="shared" si="2"/>
        <v>22919470</v>
      </c>
      <c r="Q82" s="108">
        <f>P82-'[1]Лист1'!$P$69</f>
        <v>0</v>
      </c>
    </row>
    <row r="83" spans="1:17" s="11" customFormat="1" ht="28.5">
      <c r="A83" s="16" t="s">
        <v>103</v>
      </c>
      <c r="B83" s="17"/>
      <c r="C83" s="18"/>
      <c r="D83" s="74" t="s">
        <v>104</v>
      </c>
      <c r="E83" s="57">
        <f>F83+I83</f>
        <v>513100</v>
      </c>
      <c r="F83" s="19">
        <f>F84+F85</f>
        <v>513100</v>
      </c>
      <c r="G83" s="19">
        <f>G84+G85</f>
        <v>0</v>
      </c>
      <c r="H83" s="19">
        <f>H84+H85</f>
        <v>0</v>
      </c>
      <c r="I83" s="19">
        <f>I84+I85</f>
        <v>0</v>
      </c>
      <c r="J83" s="57">
        <f>K83+N83</f>
        <v>0</v>
      </c>
      <c r="K83" s="19">
        <f>K84+K85</f>
        <v>0</v>
      </c>
      <c r="L83" s="19">
        <f>L84+L85</f>
        <v>0</v>
      </c>
      <c r="M83" s="19">
        <f>M84+M85</f>
        <v>0</v>
      </c>
      <c r="N83" s="19">
        <f>N84+N85</f>
        <v>0</v>
      </c>
      <c r="O83" s="19">
        <f>O84+O85</f>
        <v>0</v>
      </c>
      <c r="P83" s="19">
        <f>E83+J83</f>
        <v>513100</v>
      </c>
      <c r="Q83" s="108">
        <f>P83-'[1]Лист1'!$P$70</f>
        <v>-18300</v>
      </c>
    </row>
    <row r="84" spans="1:16" s="11" customFormat="1" ht="45">
      <c r="A84" s="22" t="s">
        <v>105</v>
      </c>
      <c r="B84" s="23" t="s">
        <v>107</v>
      </c>
      <c r="C84" s="24" t="s">
        <v>106</v>
      </c>
      <c r="D84" s="75" t="s">
        <v>108</v>
      </c>
      <c r="E84" s="59">
        <f>F84+I84</f>
        <v>295200</v>
      </c>
      <c r="F84" s="26">
        <f>313500-18300</f>
        <v>295200</v>
      </c>
      <c r="G84" s="26">
        <v>0</v>
      </c>
      <c r="H84" s="26">
        <v>0</v>
      </c>
      <c r="I84" s="26">
        <v>0</v>
      </c>
      <c r="J84" s="59">
        <f>K84+N84</f>
        <v>0</v>
      </c>
      <c r="K84" s="26">
        <v>0</v>
      </c>
      <c r="L84" s="26">
        <v>0</v>
      </c>
      <c r="M84" s="26">
        <v>0</v>
      </c>
      <c r="N84" s="26">
        <v>0</v>
      </c>
      <c r="O84" s="26">
        <v>0</v>
      </c>
      <c r="P84" s="25">
        <f t="shared" si="2"/>
        <v>295200</v>
      </c>
    </row>
    <row r="85" spans="1:16" s="11" customFormat="1" ht="45">
      <c r="A85" s="22" t="s">
        <v>109</v>
      </c>
      <c r="B85" s="23" t="s">
        <v>110</v>
      </c>
      <c r="C85" s="24" t="s">
        <v>106</v>
      </c>
      <c r="D85" s="75" t="s">
        <v>111</v>
      </c>
      <c r="E85" s="59">
        <f>F85+I85</f>
        <v>217900</v>
      </c>
      <c r="F85" s="26">
        <v>217900</v>
      </c>
      <c r="G85" s="26">
        <v>0</v>
      </c>
      <c r="H85" s="26">
        <v>0</v>
      </c>
      <c r="I85" s="26">
        <v>0</v>
      </c>
      <c r="J85" s="59">
        <f>K85+N85</f>
        <v>0</v>
      </c>
      <c r="K85" s="26">
        <v>0</v>
      </c>
      <c r="L85" s="26">
        <v>0</v>
      </c>
      <c r="M85" s="26">
        <v>0</v>
      </c>
      <c r="N85" s="26">
        <v>0</v>
      </c>
      <c r="O85" s="26">
        <v>0</v>
      </c>
      <c r="P85" s="25">
        <f t="shared" si="2"/>
        <v>217900</v>
      </c>
    </row>
    <row r="86" spans="1:17" s="11" customFormat="1" ht="42.75">
      <c r="A86" s="16" t="s">
        <v>112</v>
      </c>
      <c r="B86" s="17"/>
      <c r="C86" s="18"/>
      <c r="D86" s="74" t="s">
        <v>113</v>
      </c>
      <c r="E86" s="57">
        <f>F86+I86</f>
        <v>341100</v>
      </c>
      <c r="F86" s="19">
        <f>F87+F88</f>
        <v>341100</v>
      </c>
      <c r="G86" s="19">
        <f>G87+G88</f>
        <v>253000</v>
      </c>
      <c r="H86" s="19">
        <f>H87+H88</f>
        <v>6200</v>
      </c>
      <c r="I86" s="19">
        <f>I87+I88</f>
        <v>0</v>
      </c>
      <c r="J86" s="57">
        <f>K86+N86</f>
        <v>0</v>
      </c>
      <c r="K86" s="19">
        <f>K87+K88</f>
        <v>0</v>
      </c>
      <c r="L86" s="19">
        <f>L87+L88</f>
        <v>0</v>
      </c>
      <c r="M86" s="19">
        <f>M87+M88</f>
        <v>0</v>
      </c>
      <c r="N86" s="19">
        <f>N87+N88</f>
        <v>0</v>
      </c>
      <c r="O86" s="19">
        <f>O87+O88</f>
        <v>0</v>
      </c>
      <c r="P86" s="19">
        <f>E86+J86</f>
        <v>341100</v>
      </c>
      <c r="Q86" s="108">
        <f>P86-'[1]Лист1'!$P$73</f>
        <v>16300</v>
      </c>
    </row>
    <row r="87" spans="1:16" s="11" customFormat="1" ht="30">
      <c r="A87" s="22" t="s">
        <v>114</v>
      </c>
      <c r="B87" s="23" t="s">
        <v>115</v>
      </c>
      <c r="C87" s="24" t="s">
        <v>106</v>
      </c>
      <c r="D87" s="75" t="s">
        <v>116</v>
      </c>
      <c r="E87" s="59">
        <f>F87+I87</f>
        <v>318300</v>
      </c>
      <c r="F87" s="26">
        <f>302000+16300</f>
        <v>318300</v>
      </c>
      <c r="G87" s="26">
        <f>239700+13300</f>
        <v>253000</v>
      </c>
      <c r="H87" s="26">
        <v>6200</v>
      </c>
      <c r="I87" s="26">
        <v>0</v>
      </c>
      <c r="J87" s="59">
        <f>K87+N87</f>
        <v>0</v>
      </c>
      <c r="K87" s="26">
        <v>0</v>
      </c>
      <c r="L87" s="26">
        <v>0</v>
      </c>
      <c r="M87" s="26">
        <v>0</v>
      </c>
      <c r="N87" s="26">
        <v>0</v>
      </c>
      <c r="O87" s="26">
        <v>0</v>
      </c>
      <c r="P87" s="25">
        <f t="shared" si="2"/>
        <v>318300</v>
      </c>
    </row>
    <row r="88" spans="1:16" s="11" customFormat="1" ht="45">
      <c r="A88" s="22" t="s">
        <v>117</v>
      </c>
      <c r="B88" s="23" t="s">
        <v>118</v>
      </c>
      <c r="C88" s="24" t="s">
        <v>106</v>
      </c>
      <c r="D88" s="75" t="s">
        <v>119</v>
      </c>
      <c r="E88" s="59">
        <f aca="true" t="shared" si="6" ref="E88:E98">F88+I88</f>
        <v>22800</v>
      </c>
      <c r="F88" s="26">
        <v>22800</v>
      </c>
      <c r="G88" s="26">
        <v>0</v>
      </c>
      <c r="H88" s="26">
        <v>0</v>
      </c>
      <c r="I88" s="26">
        <v>0</v>
      </c>
      <c r="J88" s="59">
        <f aca="true" t="shared" si="7" ref="J88:J127">K88+N88</f>
        <v>0</v>
      </c>
      <c r="K88" s="26">
        <v>0</v>
      </c>
      <c r="L88" s="26">
        <v>0</v>
      </c>
      <c r="M88" s="26">
        <v>0</v>
      </c>
      <c r="N88" s="26">
        <v>0</v>
      </c>
      <c r="O88" s="26">
        <v>0</v>
      </c>
      <c r="P88" s="25">
        <f t="shared" si="2"/>
        <v>22800</v>
      </c>
    </row>
    <row r="89" spans="1:17" s="11" customFormat="1" ht="28.5">
      <c r="A89" s="16" t="s">
        <v>120</v>
      </c>
      <c r="B89" s="17"/>
      <c r="C89" s="18"/>
      <c r="D89" s="74" t="s">
        <v>121</v>
      </c>
      <c r="E89" s="57">
        <f>F89+I89</f>
        <v>16592130</v>
      </c>
      <c r="F89" s="19">
        <f>F90+F91</f>
        <v>16592130</v>
      </c>
      <c r="G89" s="19">
        <f>G90+G91</f>
        <v>9931600</v>
      </c>
      <c r="H89" s="19">
        <f>H90+H91</f>
        <v>1669600</v>
      </c>
      <c r="I89" s="19">
        <f>I90+I91</f>
        <v>0</v>
      </c>
      <c r="J89" s="57">
        <f>K89+N89</f>
        <v>114000</v>
      </c>
      <c r="K89" s="19">
        <f>K90+K91</f>
        <v>104000</v>
      </c>
      <c r="L89" s="19">
        <f>L90+L91</f>
        <v>0</v>
      </c>
      <c r="M89" s="19">
        <f>M90+M91</f>
        <v>30700</v>
      </c>
      <c r="N89" s="19">
        <f>N90+N91</f>
        <v>10000</v>
      </c>
      <c r="O89" s="19">
        <f>O90+O91</f>
        <v>10000</v>
      </c>
      <c r="P89" s="19">
        <f>E89+J89</f>
        <v>16706130</v>
      </c>
      <c r="Q89" s="108">
        <f>P89-'[1]Лист1'!$P$76</f>
        <v>1078530</v>
      </c>
    </row>
    <row r="90" spans="1:16" s="11" customFormat="1" ht="45">
      <c r="A90" s="22" t="s">
        <v>122</v>
      </c>
      <c r="B90" s="23" t="s">
        <v>123</v>
      </c>
      <c r="C90" s="24" t="s">
        <v>106</v>
      </c>
      <c r="D90" s="75" t="s">
        <v>124</v>
      </c>
      <c r="E90" s="59">
        <f>F90+I90</f>
        <v>14620630</v>
      </c>
      <c r="F90" s="26">
        <f>13928800+540000+23830-400000+16000+512000</f>
        <v>14620630</v>
      </c>
      <c r="G90" s="26">
        <f>9521600+410000</f>
        <v>9931600</v>
      </c>
      <c r="H90" s="26">
        <v>1669600</v>
      </c>
      <c r="I90" s="26">
        <v>0</v>
      </c>
      <c r="J90" s="59">
        <f>K90+N90</f>
        <v>114000</v>
      </c>
      <c r="K90" s="26">
        <v>104000</v>
      </c>
      <c r="L90" s="26">
        <v>0</v>
      </c>
      <c r="M90" s="26">
        <v>30700</v>
      </c>
      <c r="N90" s="26">
        <v>10000</v>
      </c>
      <c r="O90" s="26">
        <v>10000</v>
      </c>
      <c r="P90" s="25">
        <f t="shared" si="2"/>
        <v>14734630</v>
      </c>
    </row>
    <row r="91" spans="1:16" s="11" customFormat="1" ht="45">
      <c r="A91" s="22" t="s">
        <v>125</v>
      </c>
      <c r="B91" s="23" t="s">
        <v>126</v>
      </c>
      <c r="C91" s="24" t="s">
        <v>106</v>
      </c>
      <c r="D91" s="75" t="s">
        <v>127</v>
      </c>
      <c r="E91" s="59">
        <f t="shared" si="6"/>
        <v>1971500</v>
      </c>
      <c r="F91" s="26">
        <f>1594800+376700</f>
        <v>1971500</v>
      </c>
      <c r="G91" s="26">
        <v>0</v>
      </c>
      <c r="H91" s="26">
        <v>0</v>
      </c>
      <c r="I91" s="26">
        <v>0</v>
      </c>
      <c r="J91" s="59">
        <f t="shared" si="7"/>
        <v>0</v>
      </c>
      <c r="K91" s="26">
        <v>0</v>
      </c>
      <c r="L91" s="26">
        <v>0</v>
      </c>
      <c r="M91" s="26">
        <v>0</v>
      </c>
      <c r="N91" s="26">
        <v>0</v>
      </c>
      <c r="O91" s="26">
        <v>0</v>
      </c>
      <c r="P91" s="25">
        <f t="shared" si="2"/>
        <v>1971500</v>
      </c>
    </row>
    <row r="92" spans="1:17" s="11" customFormat="1" ht="33.75" customHeight="1">
      <c r="A92" s="16" t="s">
        <v>128</v>
      </c>
      <c r="B92" s="17"/>
      <c r="C92" s="18"/>
      <c r="D92" s="74" t="s">
        <v>129</v>
      </c>
      <c r="E92" s="57">
        <f>F92+I92</f>
        <v>6488200</v>
      </c>
      <c r="F92" s="19">
        <f>F93</f>
        <v>6488200</v>
      </c>
      <c r="G92" s="19">
        <f>G93</f>
        <v>0</v>
      </c>
      <c r="H92" s="19">
        <f>H93</f>
        <v>0</v>
      </c>
      <c r="I92" s="19">
        <f>I93</f>
        <v>0</v>
      </c>
      <c r="J92" s="57">
        <f>K92+N92</f>
        <v>0</v>
      </c>
      <c r="K92" s="19">
        <f>K93</f>
        <v>0</v>
      </c>
      <c r="L92" s="19">
        <f>L93</f>
        <v>0</v>
      </c>
      <c r="M92" s="19">
        <f>M93</f>
        <v>0</v>
      </c>
      <c r="N92" s="19">
        <f>N93</f>
        <v>0</v>
      </c>
      <c r="O92" s="19">
        <f>O93</f>
        <v>0</v>
      </c>
      <c r="P92" s="19">
        <f t="shared" si="2"/>
        <v>6488200</v>
      </c>
      <c r="Q92" s="108">
        <f>P92-'[1]Лист1'!$P$79</f>
        <v>1500</v>
      </c>
    </row>
    <row r="93" spans="1:16" s="11" customFormat="1" ht="33.75" customHeight="1">
      <c r="A93" s="22" t="s">
        <v>130</v>
      </c>
      <c r="B93" s="23" t="s">
        <v>131</v>
      </c>
      <c r="C93" s="24" t="s">
        <v>106</v>
      </c>
      <c r="D93" s="75" t="s">
        <v>132</v>
      </c>
      <c r="E93" s="59">
        <f t="shared" si="6"/>
        <v>6488200</v>
      </c>
      <c r="F93" s="26">
        <f>6416700+70000+1500</f>
        <v>6488200</v>
      </c>
      <c r="G93" s="26">
        <v>0</v>
      </c>
      <c r="H93" s="26">
        <v>0</v>
      </c>
      <c r="I93" s="26">
        <v>0</v>
      </c>
      <c r="J93" s="59">
        <f t="shared" si="7"/>
        <v>0</v>
      </c>
      <c r="K93" s="26">
        <v>0</v>
      </c>
      <c r="L93" s="26">
        <v>0</v>
      </c>
      <c r="M93" s="26">
        <v>0</v>
      </c>
      <c r="N93" s="26">
        <v>0</v>
      </c>
      <c r="O93" s="26">
        <v>0</v>
      </c>
      <c r="P93" s="25">
        <f t="shared" si="2"/>
        <v>6488200</v>
      </c>
    </row>
    <row r="94" spans="1:17" s="11" customFormat="1" ht="28.5">
      <c r="A94" s="16" t="s">
        <v>133</v>
      </c>
      <c r="B94" s="17"/>
      <c r="C94" s="18"/>
      <c r="D94" s="74" t="s">
        <v>134</v>
      </c>
      <c r="E94" s="57">
        <f>F94+I94</f>
        <v>99600</v>
      </c>
      <c r="F94" s="19">
        <f>F95</f>
        <v>99600</v>
      </c>
      <c r="G94" s="19">
        <f>G95</f>
        <v>0</v>
      </c>
      <c r="H94" s="19">
        <f>H95</f>
        <v>0</v>
      </c>
      <c r="I94" s="19">
        <f>I95</f>
        <v>0</v>
      </c>
      <c r="J94" s="57">
        <f>K94+N94</f>
        <v>0</v>
      </c>
      <c r="K94" s="19">
        <f>K95</f>
        <v>0</v>
      </c>
      <c r="L94" s="19">
        <f>L95</f>
        <v>0</v>
      </c>
      <c r="M94" s="19">
        <f>M95</f>
        <v>0</v>
      </c>
      <c r="N94" s="19">
        <f>N95</f>
        <v>0</v>
      </c>
      <c r="O94" s="19">
        <f>O95</f>
        <v>0</v>
      </c>
      <c r="P94" s="19">
        <f>E94+J94</f>
        <v>99600</v>
      </c>
      <c r="Q94" s="108">
        <f>P94-'[1]Лист1'!$P$81</f>
        <v>0</v>
      </c>
    </row>
    <row r="95" spans="1:16" s="11" customFormat="1" ht="61.5" customHeight="1">
      <c r="A95" s="22" t="s">
        <v>135</v>
      </c>
      <c r="B95" s="23" t="s">
        <v>136</v>
      </c>
      <c r="C95" s="24" t="s">
        <v>106</v>
      </c>
      <c r="D95" s="75" t="s">
        <v>137</v>
      </c>
      <c r="E95" s="59">
        <f>F95+I95</f>
        <v>99600</v>
      </c>
      <c r="F95" s="26">
        <v>99600</v>
      </c>
      <c r="G95" s="26">
        <v>0</v>
      </c>
      <c r="H95" s="26">
        <v>0</v>
      </c>
      <c r="I95" s="26">
        <v>0</v>
      </c>
      <c r="J95" s="59">
        <f>K95+N95</f>
        <v>0</v>
      </c>
      <c r="K95" s="26">
        <v>0</v>
      </c>
      <c r="L95" s="26">
        <v>0</v>
      </c>
      <c r="M95" s="26">
        <v>0</v>
      </c>
      <c r="N95" s="26">
        <v>0</v>
      </c>
      <c r="O95" s="26">
        <v>0</v>
      </c>
      <c r="P95" s="25">
        <f t="shared" si="2"/>
        <v>99600</v>
      </c>
    </row>
    <row r="96" spans="1:17" s="11" customFormat="1" ht="28.5">
      <c r="A96" s="16" t="s">
        <v>138</v>
      </c>
      <c r="B96" s="17"/>
      <c r="C96" s="18"/>
      <c r="D96" s="74" t="s">
        <v>139</v>
      </c>
      <c r="E96" s="57">
        <f>F96+I96</f>
        <v>2334800</v>
      </c>
      <c r="F96" s="19">
        <f>F97+F98</f>
        <v>2334800</v>
      </c>
      <c r="G96" s="19">
        <f>G97+G98</f>
        <v>294700</v>
      </c>
      <c r="H96" s="19">
        <f>H97+H98</f>
        <v>35800</v>
      </c>
      <c r="I96" s="19">
        <f>I97+I98</f>
        <v>0</v>
      </c>
      <c r="J96" s="57">
        <f>K96+N96</f>
        <v>0</v>
      </c>
      <c r="K96" s="19">
        <f>K97+K98</f>
        <v>0</v>
      </c>
      <c r="L96" s="19">
        <f>L97+L98</f>
        <v>0</v>
      </c>
      <c r="M96" s="19">
        <f>M97+M98</f>
        <v>0</v>
      </c>
      <c r="N96" s="19">
        <f>N97+N98</f>
        <v>0</v>
      </c>
      <c r="O96" s="19">
        <f>O97+O98</f>
        <v>0</v>
      </c>
      <c r="P96" s="19">
        <f>E96+J96</f>
        <v>2334800</v>
      </c>
      <c r="Q96" s="108">
        <f>P96-'[1]Лист1'!$P$83</f>
        <v>53900</v>
      </c>
    </row>
    <row r="97" spans="1:16" s="11" customFormat="1" ht="60">
      <c r="A97" s="22" t="s">
        <v>140</v>
      </c>
      <c r="B97" s="23" t="s">
        <v>141</v>
      </c>
      <c r="C97" s="24" t="s">
        <v>106</v>
      </c>
      <c r="D97" s="75" t="s">
        <v>142</v>
      </c>
      <c r="E97" s="59">
        <f t="shared" si="6"/>
        <v>1636500</v>
      </c>
      <c r="F97" s="26">
        <f>1582600+53900</f>
        <v>1636500</v>
      </c>
      <c r="G97" s="26">
        <f>224400+44200+26100</f>
        <v>294700</v>
      </c>
      <c r="H97" s="26">
        <v>35800</v>
      </c>
      <c r="I97" s="26">
        <v>0</v>
      </c>
      <c r="J97" s="59">
        <f t="shared" si="7"/>
        <v>0</v>
      </c>
      <c r="K97" s="26">
        <v>0</v>
      </c>
      <c r="L97" s="26">
        <v>0</v>
      </c>
      <c r="M97" s="26">
        <v>0</v>
      </c>
      <c r="N97" s="26">
        <v>0</v>
      </c>
      <c r="O97" s="26">
        <v>0</v>
      </c>
      <c r="P97" s="25">
        <f t="shared" si="2"/>
        <v>1636500</v>
      </c>
    </row>
    <row r="98" spans="1:16" s="11" customFormat="1" ht="45">
      <c r="A98" s="22" t="s">
        <v>143</v>
      </c>
      <c r="B98" s="23" t="s">
        <v>144</v>
      </c>
      <c r="C98" s="24" t="s">
        <v>106</v>
      </c>
      <c r="D98" s="75" t="s">
        <v>145</v>
      </c>
      <c r="E98" s="59">
        <f t="shared" si="6"/>
        <v>698300</v>
      </c>
      <c r="F98" s="26">
        <v>698300</v>
      </c>
      <c r="G98" s="26">
        <v>0</v>
      </c>
      <c r="H98" s="26">
        <v>0</v>
      </c>
      <c r="I98" s="26">
        <v>0</v>
      </c>
      <c r="J98" s="59">
        <f t="shared" si="7"/>
        <v>0</v>
      </c>
      <c r="K98" s="26">
        <v>0</v>
      </c>
      <c r="L98" s="26">
        <v>0</v>
      </c>
      <c r="M98" s="26">
        <v>0</v>
      </c>
      <c r="N98" s="26">
        <v>0</v>
      </c>
      <c r="O98" s="26">
        <v>0</v>
      </c>
      <c r="P98" s="25">
        <f t="shared" si="2"/>
        <v>698300</v>
      </c>
    </row>
    <row r="99" spans="1:17" s="134" customFormat="1" ht="59.25" customHeight="1">
      <c r="A99" s="16">
        <v>1016350</v>
      </c>
      <c r="B99" s="64">
        <v>6350</v>
      </c>
      <c r="C99" s="65" t="s">
        <v>60</v>
      </c>
      <c r="D99" s="74" t="s">
        <v>336</v>
      </c>
      <c r="E99" s="57">
        <f aca="true" t="shared" si="8" ref="E99:E105">F99+I99</f>
        <v>0</v>
      </c>
      <c r="F99" s="19"/>
      <c r="G99" s="19"/>
      <c r="H99" s="19"/>
      <c r="I99" s="19"/>
      <c r="J99" s="57">
        <f t="shared" si="7"/>
        <v>466876</v>
      </c>
      <c r="K99" s="19"/>
      <c r="L99" s="19"/>
      <c r="M99" s="19"/>
      <c r="N99" s="19">
        <f>200000+246876-200000+220000</f>
        <v>466876</v>
      </c>
      <c r="O99" s="19">
        <f>200000+246876-200000+220000</f>
        <v>466876</v>
      </c>
      <c r="P99" s="19">
        <f>E99+J99</f>
        <v>466876</v>
      </c>
      <c r="Q99" s="133">
        <f>P99-'[1]Лист1'!$P$86</f>
        <v>20000</v>
      </c>
    </row>
    <row r="100" spans="1:17" s="53" customFormat="1" ht="72.75" customHeight="1">
      <c r="A100" s="3"/>
      <c r="B100" s="5"/>
      <c r="C100" s="4"/>
      <c r="D100" s="113" t="s">
        <v>556</v>
      </c>
      <c r="E100" s="61">
        <f t="shared" si="8"/>
        <v>0</v>
      </c>
      <c r="F100" s="46"/>
      <c r="G100" s="46"/>
      <c r="H100" s="46"/>
      <c r="I100" s="46"/>
      <c r="J100" s="61">
        <f t="shared" si="7"/>
        <v>200000</v>
      </c>
      <c r="K100" s="46"/>
      <c r="L100" s="46"/>
      <c r="M100" s="46"/>
      <c r="N100" s="46">
        <v>200000</v>
      </c>
      <c r="O100" s="46">
        <v>200000</v>
      </c>
      <c r="P100" s="45">
        <f>E100+J100</f>
        <v>200000</v>
      </c>
      <c r="Q100" s="119"/>
    </row>
    <row r="101" spans="1:17" s="41" customFormat="1" ht="33" customHeight="1">
      <c r="A101" s="16" t="s">
        <v>146</v>
      </c>
      <c r="B101" s="64" t="s">
        <v>148</v>
      </c>
      <c r="C101" s="65" t="s">
        <v>147</v>
      </c>
      <c r="D101" s="74" t="s">
        <v>149</v>
      </c>
      <c r="E101" s="57">
        <f t="shared" si="8"/>
        <v>0</v>
      </c>
      <c r="F101" s="19">
        <v>0</v>
      </c>
      <c r="G101" s="19">
        <v>0</v>
      </c>
      <c r="H101" s="19">
        <v>0</v>
      </c>
      <c r="I101" s="19">
        <v>0</v>
      </c>
      <c r="J101" s="57">
        <f t="shared" si="7"/>
        <v>1540000</v>
      </c>
      <c r="K101" s="19">
        <v>0</v>
      </c>
      <c r="L101" s="19">
        <v>0</v>
      </c>
      <c r="M101" s="19">
        <v>0</v>
      </c>
      <c r="N101" s="19">
        <f>550000+300000+10000+500000-500000+180000+500000</f>
        <v>1540000</v>
      </c>
      <c r="O101" s="19">
        <f>550000+300000+10000+500000-500000+180000+500000</f>
        <v>1540000</v>
      </c>
      <c r="P101" s="19">
        <f>E101+J101</f>
        <v>1540000</v>
      </c>
      <c r="Q101" s="120">
        <f>P101-'[1]Лист1'!$P$87</f>
        <v>680000</v>
      </c>
    </row>
    <row r="102" spans="1:17" s="41" customFormat="1" ht="28.5">
      <c r="A102" s="16" t="s">
        <v>150</v>
      </c>
      <c r="B102" s="64" t="s">
        <v>152</v>
      </c>
      <c r="C102" s="65" t="s">
        <v>151</v>
      </c>
      <c r="D102" s="74" t="s">
        <v>153</v>
      </c>
      <c r="E102" s="57">
        <f t="shared" si="8"/>
        <v>0</v>
      </c>
      <c r="F102" s="19">
        <v>0</v>
      </c>
      <c r="G102" s="19">
        <v>0</v>
      </c>
      <c r="H102" s="19">
        <v>0</v>
      </c>
      <c r="I102" s="19">
        <v>0</v>
      </c>
      <c r="J102" s="57">
        <f t="shared" si="7"/>
        <v>290000</v>
      </c>
      <c r="K102" s="19">
        <f>62100+127900+100000</f>
        <v>290000</v>
      </c>
      <c r="L102" s="19">
        <v>0</v>
      </c>
      <c r="M102" s="19">
        <v>0</v>
      </c>
      <c r="N102" s="19">
        <v>0</v>
      </c>
      <c r="O102" s="19">
        <v>0</v>
      </c>
      <c r="P102" s="19">
        <f>E102+J102</f>
        <v>290000</v>
      </c>
      <c r="Q102" s="120">
        <f>P102-'[1]Лист1'!$P$88</f>
        <v>227900</v>
      </c>
    </row>
    <row r="103" spans="1:17" s="71" customFormat="1" ht="28.5" customHeight="1">
      <c r="A103" s="66" t="s">
        <v>154</v>
      </c>
      <c r="B103" s="67"/>
      <c r="C103" s="68"/>
      <c r="D103" s="72" t="s">
        <v>424</v>
      </c>
      <c r="E103" s="69">
        <f>F103+I103</f>
        <v>379841429.22</v>
      </c>
      <c r="F103" s="70">
        <f>F104</f>
        <v>379841429.22</v>
      </c>
      <c r="G103" s="70">
        <f>G104</f>
        <v>3045662.66</v>
      </c>
      <c r="H103" s="70">
        <f>H104</f>
        <v>242875.04</v>
      </c>
      <c r="I103" s="70">
        <f>I104</f>
        <v>0</v>
      </c>
      <c r="J103" s="69">
        <f t="shared" si="7"/>
        <v>25869590.380000003</v>
      </c>
      <c r="K103" s="70">
        <f>K104</f>
        <v>11333704</v>
      </c>
      <c r="L103" s="70">
        <f>L104</f>
        <v>0</v>
      </c>
      <c r="M103" s="70">
        <f>M104</f>
        <v>0</v>
      </c>
      <c r="N103" s="70">
        <f>N104</f>
        <v>14535886.38</v>
      </c>
      <c r="O103" s="70">
        <f>O104</f>
        <v>13970646.38</v>
      </c>
      <c r="P103" s="70">
        <f t="shared" si="2"/>
        <v>405711019.6</v>
      </c>
      <c r="Q103" s="116">
        <f>P103-'[1]Лист1'!$P$89</f>
        <v>-3009637.7999999523</v>
      </c>
    </row>
    <row r="104" spans="1:16" s="99" customFormat="1" ht="28.5">
      <c r="A104" s="27" t="s">
        <v>155</v>
      </c>
      <c r="B104" s="28"/>
      <c r="C104" s="29"/>
      <c r="D104" s="78" t="s">
        <v>434</v>
      </c>
      <c r="E104" s="58">
        <f t="shared" si="8"/>
        <v>379841429.22</v>
      </c>
      <c r="F104" s="20">
        <f>F105+F106+F110+F114+F116+F119+F124+F125+F128+F133+F137+F139+F142+F143+F145+F148+F138+F127+F150</f>
        <v>379841429.22</v>
      </c>
      <c r="G104" s="20">
        <f>G105+G106+G110+G114+G116+G119+G124+G125+G128+G133+G137+G139+G142+G143+G145+G148+G138+G127+G150</f>
        <v>3045662.66</v>
      </c>
      <c r="H104" s="20">
        <f>H105+H106+H110+H114+H116+H119+H124+H125+H128+H133+H137+H139+H142+H143+H145+H148+H138+H127+H150</f>
        <v>242875.04</v>
      </c>
      <c r="I104" s="20">
        <f>I105+I106+I110+I114+I116+I119+I124+I125+I128+I133+I137+I139+I142+I143+I145+I148+I138+I127+I150</f>
        <v>0</v>
      </c>
      <c r="J104" s="58">
        <f t="shared" si="7"/>
        <v>25869590.380000003</v>
      </c>
      <c r="K104" s="20">
        <f>K105+K106+K110+K114+K116+K119+K124+K125+K128+K133+K137+K139+K142+K143+K145+K148+K138+K127+K150</f>
        <v>11333704</v>
      </c>
      <c r="L104" s="20">
        <f>L105+L106+L110+L114+L116+L119+L124+L125+L128+L133+L137+L139+L142+L143+L145+L148+L138+L127+L150</f>
        <v>0</v>
      </c>
      <c r="M104" s="20">
        <f>M105+M106+M110+M114+M116+M119+M124+M125+M128+M133+M137+M139+M142+M143+M145+M148+M138+M127+M150</f>
        <v>0</v>
      </c>
      <c r="N104" s="20">
        <f>N105+N106+N110+N114+N116+N119+N124+N125+N128+N133+N137+N139+N142+N143+N145+N148+N138+N127+N150+N147</f>
        <v>14535886.38</v>
      </c>
      <c r="O104" s="20">
        <f>O105+O106+O110+O114+O116+O119+O124+O125+O128+O133+O137+O139+O142+O143+O145+O148+O138+O127+O150+O147</f>
        <v>13970646.38</v>
      </c>
      <c r="P104" s="20">
        <f t="shared" si="2"/>
        <v>405711019.6</v>
      </c>
    </row>
    <row r="105" spans="1:17" s="11" customFormat="1" ht="42.75">
      <c r="A105" s="3" t="s">
        <v>156</v>
      </c>
      <c r="B105" s="30" t="s">
        <v>35</v>
      </c>
      <c r="C105" s="30" t="s">
        <v>20</v>
      </c>
      <c r="D105" s="73" t="s">
        <v>538</v>
      </c>
      <c r="E105" s="58">
        <f t="shared" si="8"/>
        <v>2218293</v>
      </c>
      <c r="F105" s="21">
        <f>2813057+11367-650331+44200</f>
        <v>2218293</v>
      </c>
      <c r="G105" s="21">
        <f>2087892-497196+36200</f>
        <v>1626896</v>
      </c>
      <c r="H105" s="21">
        <f>129079-25341</f>
        <v>103738</v>
      </c>
      <c r="I105" s="21">
        <v>0</v>
      </c>
      <c r="J105" s="58">
        <f t="shared" si="7"/>
        <v>0</v>
      </c>
      <c r="K105" s="21">
        <v>0</v>
      </c>
      <c r="L105" s="21">
        <v>0</v>
      </c>
      <c r="M105" s="21">
        <v>0</v>
      </c>
      <c r="N105" s="21">
        <v>0</v>
      </c>
      <c r="O105" s="21">
        <v>0</v>
      </c>
      <c r="P105" s="20">
        <f t="shared" si="2"/>
        <v>2218293</v>
      </c>
      <c r="Q105" s="108">
        <f>P105-'[1]Лист1'!$P$91</f>
        <v>-594764</v>
      </c>
    </row>
    <row r="106" spans="1:19" s="11" customFormat="1" ht="28.5">
      <c r="A106" s="3" t="s">
        <v>157</v>
      </c>
      <c r="B106" s="5" t="s">
        <v>159</v>
      </c>
      <c r="C106" s="4" t="s">
        <v>158</v>
      </c>
      <c r="D106" s="73" t="s">
        <v>160</v>
      </c>
      <c r="E106" s="58">
        <f aca="true" t="shared" si="9" ref="E106:E127">F106+I106</f>
        <v>189491567</v>
      </c>
      <c r="F106" s="21">
        <f>183788510+641034+12906+915465+351662+1258786+276933-915465-351662+32500+57500+44014+12000+781666+5800+2579918</f>
        <v>189491567</v>
      </c>
      <c r="G106" s="21">
        <v>0</v>
      </c>
      <c r="H106" s="21">
        <v>0</v>
      </c>
      <c r="I106" s="21">
        <v>0</v>
      </c>
      <c r="J106" s="58">
        <f t="shared" si="7"/>
        <v>3041912.4</v>
      </c>
      <c r="K106" s="21">
        <v>1922324</v>
      </c>
      <c r="L106" s="21">
        <v>0</v>
      </c>
      <c r="M106" s="21">
        <v>0</v>
      </c>
      <c r="N106" s="21">
        <f>703210+68118.4+97426-49166+330000-30000</f>
        <v>1119588.4</v>
      </c>
      <c r="O106" s="21">
        <f>637970+68118.4+330000-30000+48260</f>
        <v>1054348.4</v>
      </c>
      <c r="P106" s="20">
        <f aca="true" t="shared" si="10" ref="P106:P235">E106+J106</f>
        <v>192533479.4</v>
      </c>
      <c r="Q106" s="115">
        <f>N106-O106</f>
        <v>65240</v>
      </c>
      <c r="R106" s="114">
        <v>65240</v>
      </c>
      <c r="S106" s="108">
        <f>Q106-R106</f>
        <v>0</v>
      </c>
    </row>
    <row r="107" spans="1:17" s="47" customFormat="1" ht="47.25" customHeight="1">
      <c r="A107" s="42"/>
      <c r="B107" s="43"/>
      <c r="C107" s="44"/>
      <c r="D107" s="113" t="s">
        <v>509</v>
      </c>
      <c r="E107" s="61">
        <f t="shared" si="9"/>
        <v>114050062</v>
      </c>
      <c r="F107" s="46">
        <f>112782935+915465+351662</f>
        <v>114050062</v>
      </c>
      <c r="G107" s="46">
        <v>0</v>
      </c>
      <c r="H107" s="46">
        <v>0</v>
      </c>
      <c r="I107" s="46">
        <v>0</v>
      </c>
      <c r="J107" s="61">
        <f t="shared" si="7"/>
        <v>0</v>
      </c>
      <c r="K107" s="46">
        <v>0</v>
      </c>
      <c r="L107" s="46">
        <v>0</v>
      </c>
      <c r="M107" s="46">
        <v>0</v>
      </c>
      <c r="N107" s="46">
        <v>0</v>
      </c>
      <c r="O107" s="46">
        <v>0</v>
      </c>
      <c r="P107" s="45">
        <f t="shared" si="10"/>
        <v>114050062</v>
      </c>
      <c r="Q107" s="129"/>
    </row>
    <row r="108" spans="1:16" s="47" customFormat="1" ht="66.75" customHeight="1">
      <c r="A108" s="42"/>
      <c r="B108" s="43"/>
      <c r="C108" s="44"/>
      <c r="D108" s="113" t="s">
        <v>577</v>
      </c>
      <c r="E108" s="61">
        <f t="shared" si="9"/>
        <v>0</v>
      </c>
      <c r="F108" s="46"/>
      <c r="G108" s="46"/>
      <c r="H108" s="46"/>
      <c r="I108" s="46"/>
      <c r="J108" s="61">
        <f t="shared" si="7"/>
        <v>300000</v>
      </c>
      <c r="K108" s="46"/>
      <c r="L108" s="46"/>
      <c r="M108" s="46"/>
      <c r="N108" s="46">
        <v>300000</v>
      </c>
      <c r="O108" s="46">
        <v>300000</v>
      </c>
      <c r="P108" s="45">
        <f t="shared" si="10"/>
        <v>300000</v>
      </c>
    </row>
    <row r="109" spans="1:16" s="47" customFormat="1" ht="66.75" customHeight="1">
      <c r="A109" s="42"/>
      <c r="B109" s="43"/>
      <c r="C109" s="44"/>
      <c r="D109" s="113" t="s">
        <v>576</v>
      </c>
      <c r="E109" s="61">
        <f t="shared" si="9"/>
        <v>1268920</v>
      </c>
      <c r="F109" s="46">
        <v>1268920</v>
      </c>
      <c r="G109" s="46"/>
      <c r="H109" s="46"/>
      <c r="I109" s="46"/>
      <c r="J109" s="61">
        <f t="shared" si="7"/>
        <v>0</v>
      </c>
      <c r="K109" s="46"/>
      <c r="L109" s="46"/>
      <c r="M109" s="46"/>
      <c r="N109" s="46"/>
      <c r="O109" s="46"/>
      <c r="P109" s="45">
        <f t="shared" si="10"/>
        <v>1268920</v>
      </c>
    </row>
    <row r="110" spans="1:17" s="11" customFormat="1" ht="28.5">
      <c r="A110" s="3" t="s">
        <v>161</v>
      </c>
      <c r="B110" s="5" t="s">
        <v>163</v>
      </c>
      <c r="C110" s="4" t="s">
        <v>162</v>
      </c>
      <c r="D110" s="73" t="s">
        <v>164</v>
      </c>
      <c r="E110" s="58">
        <f t="shared" si="9"/>
        <v>33704972</v>
      </c>
      <c r="F110" s="21">
        <f>33080221+23817+39369+100000+22000-39369+263240+141946+73748</f>
        <v>33704972</v>
      </c>
      <c r="G110" s="21">
        <v>0</v>
      </c>
      <c r="H110" s="21">
        <v>0</v>
      </c>
      <c r="I110" s="21">
        <v>0</v>
      </c>
      <c r="J110" s="58">
        <f t="shared" si="7"/>
        <v>325382</v>
      </c>
      <c r="K110" s="21">
        <v>325382</v>
      </c>
      <c r="L110" s="21">
        <v>0</v>
      </c>
      <c r="M110" s="21">
        <v>0</v>
      </c>
      <c r="N110" s="21">
        <v>0</v>
      </c>
      <c r="O110" s="21">
        <v>0</v>
      </c>
      <c r="P110" s="20">
        <f t="shared" si="10"/>
        <v>34030354</v>
      </c>
      <c r="Q110" s="108">
        <f>P110-'[1]Лист1'!$P$94</f>
        <v>215695</v>
      </c>
    </row>
    <row r="111" spans="1:16" s="47" customFormat="1" ht="45">
      <c r="A111" s="42"/>
      <c r="B111" s="43"/>
      <c r="C111" s="44"/>
      <c r="D111" s="113" t="s">
        <v>509</v>
      </c>
      <c r="E111" s="61">
        <f t="shared" si="9"/>
        <v>21765049</v>
      </c>
      <c r="F111" s="46">
        <f>21725680+39369</f>
        <v>21765049</v>
      </c>
      <c r="G111" s="46">
        <v>0</v>
      </c>
      <c r="H111" s="46">
        <v>0</v>
      </c>
      <c r="I111" s="46">
        <v>0</v>
      </c>
      <c r="J111" s="61">
        <f t="shared" si="7"/>
        <v>0</v>
      </c>
      <c r="K111" s="46">
        <v>0</v>
      </c>
      <c r="L111" s="46">
        <v>0</v>
      </c>
      <c r="M111" s="46">
        <v>0</v>
      </c>
      <c r="N111" s="46">
        <v>0</v>
      </c>
      <c r="O111" s="46">
        <v>0</v>
      </c>
      <c r="P111" s="45">
        <f t="shared" si="10"/>
        <v>21765049</v>
      </c>
    </row>
    <row r="112" spans="1:16" s="47" customFormat="1" ht="75">
      <c r="A112" s="42"/>
      <c r="B112" s="43"/>
      <c r="C112" s="44"/>
      <c r="D112" s="113" t="s">
        <v>541</v>
      </c>
      <c r="E112" s="61">
        <f t="shared" si="9"/>
        <v>336988</v>
      </c>
      <c r="F112" s="46">
        <f>263240+73748</f>
        <v>336988</v>
      </c>
      <c r="G112" s="46">
        <v>0</v>
      </c>
      <c r="H112" s="46">
        <v>0</v>
      </c>
      <c r="I112" s="46">
        <v>0</v>
      </c>
      <c r="J112" s="61">
        <f t="shared" si="7"/>
        <v>0</v>
      </c>
      <c r="K112" s="46">
        <v>0</v>
      </c>
      <c r="L112" s="46">
        <v>0</v>
      </c>
      <c r="M112" s="46">
        <v>0</v>
      </c>
      <c r="N112" s="46">
        <v>0</v>
      </c>
      <c r="O112" s="46">
        <v>0</v>
      </c>
      <c r="P112" s="45">
        <f t="shared" si="10"/>
        <v>336988</v>
      </c>
    </row>
    <row r="113" spans="1:16" s="47" customFormat="1" ht="45">
      <c r="A113" s="42"/>
      <c r="B113" s="43"/>
      <c r="C113" s="44"/>
      <c r="D113" s="113" t="s">
        <v>576</v>
      </c>
      <c r="E113" s="61">
        <f t="shared" si="9"/>
        <v>73565.05</v>
      </c>
      <c r="F113" s="46">
        <v>73565.05</v>
      </c>
      <c r="G113" s="46"/>
      <c r="H113" s="46"/>
      <c r="I113" s="46"/>
      <c r="J113" s="61">
        <f t="shared" si="7"/>
        <v>0</v>
      </c>
      <c r="K113" s="46"/>
      <c r="L113" s="46"/>
      <c r="M113" s="46"/>
      <c r="N113" s="46"/>
      <c r="O113" s="46"/>
      <c r="P113" s="45">
        <f t="shared" si="10"/>
        <v>73565.05</v>
      </c>
    </row>
    <row r="114" spans="1:17" s="11" customFormat="1" ht="28.5">
      <c r="A114" s="3" t="s">
        <v>165</v>
      </c>
      <c r="B114" s="5" t="s">
        <v>167</v>
      </c>
      <c r="C114" s="4" t="s">
        <v>166</v>
      </c>
      <c r="D114" s="73" t="s">
        <v>168</v>
      </c>
      <c r="E114" s="58">
        <f t="shared" si="9"/>
        <v>5893486</v>
      </c>
      <c r="F114" s="21">
        <f>5608676+41218+17438+3836+13000+161307+48011</f>
        <v>5893486</v>
      </c>
      <c r="G114" s="21">
        <v>0</v>
      </c>
      <c r="H114" s="21">
        <v>0</v>
      </c>
      <c r="I114" s="21">
        <v>0</v>
      </c>
      <c r="J114" s="58">
        <f t="shared" si="7"/>
        <v>482178</v>
      </c>
      <c r="K114" s="21">
        <v>482178</v>
      </c>
      <c r="L114" s="21">
        <v>0</v>
      </c>
      <c r="M114" s="21">
        <v>0</v>
      </c>
      <c r="N114" s="21">
        <v>0</v>
      </c>
      <c r="O114" s="21">
        <v>0</v>
      </c>
      <c r="P114" s="20">
        <f t="shared" si="10"/>
        <v>6375664</v>
      </c>
      <c r="Q114" s="108">
        <f>P114-'[1]Лист1'!$P$97</f>
        <v>222318</v>
      </c>
    </row>
    <row r="115" spans="1:16" s="11" customFormat="1" ht="45">
      <c r="A115" s="22"/>
      <c r="B115" s="23"/>
      <c r="C115" s="24"/>
      <c r="D115" s="77" t="s">
        <v>509</v>
      </c>
      <c r="E115" s="59">
        <f t="shared" si="9"/>
        <v>3965722</v>
      </c>
      <c r="F115" s="26">
        <v>3965722</v>
      </c>
      <c r="G115" s="26">
        <v>0</v>
      </c>
      <c r="H115" s="26">
        <v>0</v>
      </c>
      <c r="I115" s="26">
        <v>0</v>
      </c>
      <c r="J115" s="59">
        <f t="shared" si="7"/>
        <v>0</v>
      </c>
      <c r="K115" s="26">
        <v>0</v>
      </c>
      <c r="L115" s="26">
        <v>0</v>
      </c>
      <c r="M115" s="26">
        <v>0</v>
      </c>
      <c r="N115" s="26">
        <v>0</v>
      </c>
      <c r="O115" s="26">
        <v>0</v>
      </c>
      <c r="P115" s="25">
        <f t="shared" si="10"/>
        <v>3965722</v>
      </c>
    </row>
    <row r="116" spans="1:17" s="11" customFormat="1" ht="28.5">
      <c r="A116" s="3" t="s">
        <v>169</v>
      </c>
      <c r="B116" s="5" t="s">
        <v>171</v>
      </c>
      <c r="C116" s="4" t="s">
        <v>170</v>
      </c>
      <c r="D116" s="73" t="s">
        <v>172</v>
      </c>
      <c r="E116" s="58">
        <f t="shared" si="9"/>
        <v>10328975</v>
      </c>
      <c r="F116" s="21">
        <f>10284582+15276+8112+21005</f>
        <v>10328975</v>
      </c>
      <c r="G116" s="21">
        <v>0</v>
      </c>
      <c r="H116" s="21">
        <v>0</v>
      </c>
      <c r="I116" s="21">
        <v>0</v>
      </c>
      <c r="J116" s="58">
        <f t="shared" si="7"/>
        <v>6988015</v>
      </c>
      <c r="K116" s="21">
        <v>6488015</v>
      </c>
      <c r="L116" s="21">
        <v>0</v>
      </c>
      <c r="M116" s="21">
        <v>0</v>
      </c>
      <c r="N116" s="21">
        <v>500000</v>
      </c>
      <c r="O116" s="21">
        <v>0</v>
      </c>
      <c r="P116" s="20">
        <f t="shared" si="10"/>
        <v>17316990</v>
      </c>
      <c r="Q116" s="108">
        <f>P116-'[1]Лист1'!$P$99</f>
        <v>29117</v>
      </c>
    </row>
    <row r="117" spans="1:16" s="11" customFormat="1" ht="45.75" customHeight="1">
      <c r="A117" s="22"/>
      <c r="B117" s="23"/>
      <c r="C117" s="24"/>
      <c r="D117" s="77" t="s">
        <v>509</v>
      </c>
      <c r="E117" s="59">
        <f t="shared" si="9"/>
        <v>6738472</v>
      </c>
      <c r="F117" s="26">
        <v>6738472</v>
      </c>
      <c r="G117" s="26">
        <v>0</v>
      </c>
      <c r="H117" s="26">
        <v>0</v>
      </c>
      <c r="I117" s="26">
        <v>0</v>
      </c>
      <c r="J117" s="59">
        <f t="shared" si="7"/>
        <v>0</v>
      </c>
      <c r="K117" s="26">
        <v>0</v>
      </c>
      <c r="L117" s="26">
        <v>0</v>
      </c>
      <c r="M117" s="26">
        <v>0</v>
      </c>
      <c r="N117" s="26">
        <v>0</v>
      </c>
      <c r="O117" s="26">
        <v>0</v>
      </c>
      <c r="P117" s="25">
        <f t="shared" si="10"/>
        <v>6738472</v>
      </c>
    </row>
    <row r="118" spans="1:16" s="11" customFormat="1" ht="45.75" customHeight="1">
      <c r="A118" s="22"/>
      <c r="B118" s="23"/>
      <c r="C118" s="24"/>
      <c r="D118" s="113" t="s">
        <v>576</v>
      </c>
      <c r="E118" s="59">
        <f t="shared" si="9"/>
        <v>86820</v>
      </c>
      <c r="F118" s="26">
        <v>86820</v>
      </c>
      <c r="G118" s="26"/>
      <c r="H118" s="26"/>
      <c r="I118" s="26"/>
      <c r="J118" s="59">
        <f t="shared" si="7"/>
        <v>0</v>
      </c>
      <c r="K118" s="26"/>
      <c r="L118" s="26"/>
      <c r="M118" s="26"/>
      <c r="N118" s="26"/>
      <c r="O118" s="26"/>
      <c r="P118" s="25">
        <f t="shared" si="10"/>
        <v>86820</v>
      </c>
    </row>
    <row r="119" spans="1:17" s="11" customFormat="1" ht="28.5">
      <c r="A119" s="3" t="s">
        <v>173</v>
      </c>
      <c r="B119" s="5" t="s">
        <v>175</v>
      </c>
      <c r="C119" s="4" t="s">
        <v>174</v>
      </c>
      <c r="D119" s="73" t="s">
        <v>176</v>
      </c>
      <c r="E119" s="58">
        <f t="shared" si="9"/>
        <v>99018412.4</v>
      </c>
      <c r="F119" s="21">
        <f>92482607+195650+937862+463414+101951-937862+3230768+10100+4900+822229+1323981+31746.4+351066</f>
        <v>99018412.4</v>
      </c>
      <c r="G119" s="21">
        <v>0</v>
      </c>
      <c r="H119" s="21">
        <v>0</v>
      </c>
      <c r="I119" s="21">
        <v>0</v>
      </c>
      <c r="J119" s="58">
        <f t="shared" si="7"/>
        <v>5898858.6</v>
      </c>
      <c r="K119" s="21">
        <v>1865805</v>
      </c>
      <c r="L119" s="21">
        <v>0</v>
      </c>
      <c r="M119" s="21">
        <v>0</v>
      </c>
      <c r="N119" s="21">
        <f>6362030-2297230-31746.4</f>
        <v>4033053.6</v>
      </c>
      <c r="O119" s="21">
        <f>6362030-2297230-31746.4</f>
        <v>4033053.6</v>
      </c>
      <c r="P119" s="20">
        <f t="shared" si="10"/>
        <v>104917271</v>
      </c>
      <c r="Q119" s="108">
        <f>P119-'[1]Лист1'!$P$101</f>
        <v>2512276</v>
      </c>
    </row>
    <row r="120" spans="1:16" s="11" customFormat="1" ht="46.5" customHeight="1">
      <c r="A120" s="22"/>
      <c r="B120" s="23"/>
      <c r="C120" s="24"/>
      <c r="D120" s="77" t="s">
        <v>509</v>
      </c>
      <c r="E120" s="59">
        <f t="shared" si="9"/>
        <v>62152035</v>
      </c>
      <c r="F120" s="26">
        <f>61214173+937862</f>
        <v>62152035</v>
      </c>
      <c r="G120" s="26">
        <v>0</v>
      </c>
      <c r="H120" s="26">
        <v>0</v>
      </c>
      <c r="I120" s="26">
        <v>0</v>
      </c>
      <c r="J120" s="59">
        <f t="shared" si="7"/>
        <v>0</v>
      </c>
      <c r="K120" s="26">
        <v>0</v>
      </c>
      <c r="L120" s="26">
        <v>0</v>
      </c>
      <c r="M120" s="26">
        <v>0</v>
      </c>
      <c r="N120" s="26"/>
      <c r="O120" s="26"/>
      <c r="P120" s="25">
        <f t="shared" si="10"/>
        <v>62152035</v>
      </c>
    </row>
    <row r="121" spans="1:16" s="11" customFormat="1" ht="46.5" customHeight="1">
      <c r="A121" s="22"/>
      <c r="B121" s="23"/>
      <c r="C121" s="24"/>
      <c r="D121" s="77" t="s">
        <v>576</v>
      </c>
      <c r="E121" s="59">
        <f t="shared" si="9"/>
        <v>0</v>
      </c>
      <c r="F121" s="26"/>
      <c r="G121" s="26"/>
      <c r="H121" s="26"/>
      <c r="I121" s="26"/>
      <c r="J121" s="59">
        <f t="shared" si="7"/>
        <v>0</v>
      </c>
      <c r="K121" s="26"/>
      <c r="L121" s="26"/>
      <c r="M121" s="26"/>
      <c r="N121" s="26"/>
      <c r="O121" s="26"/>
      <c r="P121" s="25">
        <f t="shared" si="10"/>
        <v>0</v>
      </c>
    </row>
    <row r="122" spans="1:16" s="11" customFormat="1" ht="76.5" customHeight="1">
      <c r="A122" s="22"/>
      <c r="B122" s="23"/>
      <c r="C122" s="24"/>
      <c r="D122" s="77" t="s">
        <v>541</v>
      </c>
      <c r="E122" s="59">
        <f t="shared" si="9"/>
        <v>4554749</v>
      </c>
      <c r="F122" s="26">
        <f>3230768+1323981</f>
        <v>4554749</v>
      </c>
      <c r="G122" s="26">
        <v>0</v>
      </c>
      <c r="H122" s="26">
        <v>0</v>
      </c>
      <c r="I122" s="26">
        <v>0</v>
      </c>
      <c r="J122" s="59">
        <f t="shared" si="7"/>
        <v>0</v>
      </c>
      <c r="K122" s="26">
        <v>0</v>
      </c>
      <c r="L122" s="26">
        <v>0</v>
      </c>
      <c r="M122" s="26">
        <v>0</v>
      </c>
      <c r="N122" s="26">
        <v>0</v>
      </c>
      <c r="O122" s="26">
        <v>0</v>
      </c>
      <c r="P122" s="25">
        <f t="shared" si="10"/>
        <v>4554749</v>
      </c>
    </row>
    <row r="123" spans="1:16" s="11" customFormat="1" ht="60.75" customHeight="1">
      <c r="A123" s="22"/>
      <c r="B123" s="23"/>
      <c r="C123" s="24"/>
      <c r="D123" s="113" t="s">
        <v>576</v>
      </c>
      <c r="E123" s="59">
        <f t="shared" si="9"/>
        <v>320910</v>
      </c>
      <c r="F123" s="26">
        <v>320910</v>
      </c>
      <c r="G123" s="26"/>
      <c r="H123" s="26"/>
      <c r="I123" s="26"/>
      <c r="J123" s="59">
        <f t="shared" si="7"/>
        <v>0</v>
      </c>
      <c r="K123" s="26"/>
      <c r="L123" s="26"/>
      <c r="M123" s="26"/>
      <c r="N123" s="26"/>
      <c r="O123" s="26"/>
      <c r="P123" s="25">
        <f t="shared" si="10"/>
        <v>320910</v>
      </c>
    </row>
    <row r="124" spans="1:17" s="11" customFormat="1" ht="78.75" customHeight="1">
      <c r="A124" s="3" t="s">
        <v>177</v>
      </c>
      <c r="B124" s="5" t="s">
        <v>179</v>
      </c>
      <c r="C124" s="4" t="s">
        <v>178</v>
      </c>
      <c r="D124" s="73" t="s">
        <v>180</v>
      </c>
      <c r="E124" s="58">
        <f t="shared" si="9"/>
        <v>2029546</v>
      </c>
      <c r="F124" s="21">
        <v>2029546</v>
      </c>
      <c r="G124" s="21">
        <v>0</v>
      </c>
      <c r="H124" s="21">
        <v>0</v>
      </c>
      <c r="I124" s="21">
        <v>0</v>
      </c>
      <c r="J124" s="58">
        <f t="shared" si="7"/>
        <v>0</v>
      </c>
      <c r="K124" s="21">
        <v>0</v>
      </c>
      <c r="L124" s="21">
        <v>0</v>
      </c>
      <c r="M124" s="21">
        <v>0</v>
      </c>
      <c r="N124" s="21">
        <v>0</v>
      </c>
      <c r="O124" s="21">
        <v>0</v>
      </c>
      <c r="P124" s="20">
        <f t="shared" si="10"/>
        <v>2029546</v>
      </c>
      <c r="Q124" s="108">
        <f>P124-'[1]Лист1'!$P$104</f>
        <v>0</v>
      </c>
    </row>
    <row r="125" spans="1:17" s="11" customFormat="1" ht="18.75" customHeight="1">
      <c r="A125" s="3" t="s">
        <v>181</v>
      </c>
      <c r="B125" s="5" t="s">
        <v>182</v>
      </c>
      <c r="C125" s="4" t="s">
        <v>178</v>
      </c>
      <c r="D125" s="73" t="s">
        <v>183</v>
      </c>
      <c r="E125" s="58">
        <f t="shared" si="9"/>
        <v>27013203</v>
      </c>
      <c r="F125" s="21">
        <f>29916958-916995-58500-13000-1915260</f>
        <v>27013203</v>
      </c>
      <c r="G125" s="21">
        <v>0</v>
      </c>
      <c r="H125" s="21">
        <v>0</v>
      </c>
      <c r="I125" s="21">
        <v>0</v>
      </c>
      <c r="J125" s="58">
        <f t="shared" si="7"/>
        <v>2297230</v>
      </c>
      <c r="K125" s="21">
        <v>0</v>
      </c>
      <c r="L125" s="21">
        <v>0</v>
      </c>
      <c r="M125" s="21">
        <v>0</v>
      </c>
      <c r="N125" s="21">
        <f>2297230</f>
        <v>2297230</v>
      </c>
      <c r="O125" s="21">
        <f>2297230</f>
        <v>2297230</v>
      </c>
      <c r="P125" s="20">
        <f t="shared" si="10"/>
        <v>29310433</v>
      </c>
      <c r="Q125" s="108">
        <f>P125-'[1]Лист1'!$P$105</f>
        <v>-1928260</v>
      </c>
    </row>
    <row r="126" spans="1:16" s="11" customFormat="1" ht="48.75" customHeight="1">
      <c r="A126" s="22"/>
      <c r="B126" s="23"/>
      <c r="C126" s="24"/>
      <c r="D126" s="77" t="s">
        <v>509</v>
      </c>
      <c r="E126" s="59">
        <f t="shared" si="9"/>
        <v>1498518</v>
      </c>
      <c r="F126" s="26">
        <v>1498518</v>
      </c>
      <c r="G126" s="26">
        <v>0</v>
      </c>
      <c r="H126" s="26">
        <v>0</v>
      </c>
      <c r="I126" s="26">
        <v>0</v>
      </c>
      <c r="J126" s="59">
        <f t="shared" si="7"/>
        <v>0</v>
      </c>
      <c r="K126" s="26">
        <v>0</v>
      </c>
      <c r="L126" s="26">
        <v>0</v>
      </c>
      <c r="M126" s="26">
        <v>0</v>
      </c>
      <c r="N126" s="26">
        <v>0</v>
      </c>
      <c r="O126" s="26">
        <v>0</v>
      </c>
      <c r="P126" s="25">
        <f t="shared" si="10"/>
        <v>1498518</v>
      </c>
    </row>
    <row r="127" spans="1:17" s="11" customFormat="1" ht="24.75" customHeight="1">
      <c r="A127" s="3">
        <v>1418800</v>
      </c>
      <c r="B127" s="30" t="s">
        <v>344</v>
      </c>
      <c r="C127" s="30" t="s">
        <v>35</v>
      </c>
      <c r="D127" s="95" t="s">
        <v>345</v>
      </c>
      <c r="E127" s="58">
        <f t="shared" si="9"/>
        <v>58500</v>
      </c>
      <c r="F127" s="21">
        <v>58500</v>
      </c>
      <c r="G127" s="21">
        <v>0</v>
      </c>
      <c r="H127" s="21">
        <v>0</v>
      </c>
      <c r="I127" s="21">
        <v>0</v>
      </c>
      <c r="J127" s="58">
        <f t="shared" si="7"/>
        <v>0</v>
      </c>
      <c r="K127" s="21">
        <v>0</v>
      </c>
      <c r="L127" s="21">
        <v>0</v>
      </c>
      <c r="M127" s="21">
        <v>0</v>
      </c>
      <c r="N127" s="21">
        <v>0</v>
      </c>
      <c r="O127" s="21">
        <v>0</v>
      </c>
      <c r="P127" s="20">
        <f t="shared" si="10"/>
        <v>58500</v>
      </c>
      <c r="Q127" s="108">
        <f>P127-'[1]Лист1'!$P$107</f>
        <v>0</v>
      </c>
    </row>
    <row r="128" spans="1:17" s="11" customFormat="1" ht="210" customHeight="1">
      <c r="A128" s="16" t="s">
        <v>184</v>
      </c>
      <c r="B128" s="17"/>
      <c r="C128" s="18"/>
      <c r="D128" s="80" t="s">
        <v>486</v>
      </c>
      <c r="E128" s="57">
        <f>F128+I128</f>
        <v>3332707.4699999997</v>
      </c>
      <c r="F128" s="19">
        <f>F129+F130+F131+F132</f>
        <v>3332707.4699999997</v>
      </c>
      <c r="G128" s="19">
        <f>G129+G130+G131+G132</f>
        <v>0</v>
      </c>
      <c r="H128" s="19">
        <f>H129+H130+H131+H132</f>
        <v>0</v>
      </c>
      <c r="I128" s="19">
        <f>I129+I130+I131+I132</f>
        <v>0</v>
      </c>
      <c r="J128" s="57">
        <f>K128+N128</f>
        <v>2462.399999999994</v>
      </c>
      <c r="K128" s="19">
        <f>K129+K130+K131+K132</f>
        <v>0</v>
      </c>
      <c r="L128" s="19">
        <f>L129+L130+L131+L132</f>
        <v>0</v>
      </c>
      <c r="M128" s="19">
        <f>M129+M130+M131+M132</f>
        <v>0</v>
      </c>
      <c r="N128" s="19">
        <f>N129+N130+N131+N132</f>
        <v>2462.399999999994</v>
      </c>
      <c r="O128" s="19">
        <f>O129+O130+O131+O132</f>
        <v>2462.399999999994</v>
      </c>
      <c r="P128" s="19">
        <f t="shared" si="10"/>
        <v>3335169.8699999996</v>
      </c>
      <c r="Q128" s="108">
        <f>P128-'[1]Лист1'!$P$108</f>
        <v>-1764830.1300000004</v>
      </c>
    </row>
    <row r="129" spans="1:16" s="11" customFormat="1" ht="253.5" customHeight="1">
      <c r="A129" s="22" t="s">
        <v>185</v>
      </c>
      <c r="B129" s="23" t="s">
        <v>187</v>
      </c>
      <c r="C129" s="24" t="s">
        <v>186</v>
      </c>
      <c r="D129" s="81" t="s">
        <v>480</v>
      </c>
      <c r="E129" s="59">
        <f aca="true" t="shared" si="11" ref="E129:E177">F129+I129</f>
        <v>0</v>
      </c>
      <c r="F129" s="26">
        <v>0</v>
      </c>
      <c r="G129" s="26">
        <v>0</v>
      </c>
      <c r="H129" s="26">
        <v>0</v>
      </c>
      <c r="I129" s="26">
        <v>0</v>
      </c>
      <c r="J129" s="59">
        <f aca="true" t="shared" si="12" ref="J129:J177">K129+N129</f>
        <v>2462.399999999994</v>
      </c>
      <c r="K129" s="26">
        <v>0</v>
      </c>
      <c r="L129" s="26">
        <v>0</v>
      </c>
      <c r="M129" s="26">
        <v>0</v>
      </c>
      <c r="N129" s="26">
        <f>100000-97537.6</f>
        <v>2462.399999999994</v>
      </c>
      <c r="O129" s="26">
        <f>100000-97537.6</f>
        <v>2462.399999999994</v>
      </c>
      <c r="P129" s="25">
        <f t="shared" si="10"/>
        <v>2462.399999999994</v>
      </c>
    </row>
    <row r="130" spans="1:16" s="11" customFormat="1" ht="48" customHeight="1">
      <c r="A130" s="22" t="s">
        <v>188</v>
      </c>
      <c r="B130" s="23" t="s">
        <v>190</v>
      </c>
      <c r="C130" s="24" t="s">
        <v>189</v>
      </c>
      <c r="D130" s="75" t="s">
        <v>191</v>
      </c>
      <c r="E130" s="59">
        <f t="shared" si="11"/>
        <v>547403.22</v>
      </c>
      <c r="F130" s="26">
        <f>11000000-10000000-452596.78</f>
        <v>547403.22</v>
      </c>
      <c r="G130" s="26">
        <v>0</v>
      </c>
      <c r="H130" s="26">
        <v>0</v>
      </c>
      <c r="I130" s="26">
        <v>0</v>
      </c>
      <c r="J130" s="59">
        <f t="shared" si="12"/>
        <v>0</v>
      </c>
      <c r="K130" s="26">
        <v>0</v>
      </c>
      <c r="L130" s="26">
        <v>0</v>
      </c>
      <c r="M130" s="26">
        <v>0</v>
      </c>
      <c r="N130" s="26">
        <v>0</v>
      </c>
      <c r="O130" s="26">
        <v>0</v>
      </c>
      <c r="P130" s="25">
        <f t="shared" si="10"/>
        <v>547403.22</v>
      </c>
    </row>
    <row r="131" spans="1:16" s="11" customFormat="1" ht="45">
      <c r="A131" s="22" t="s">
        <v>192</v>
      </c>
      <c r="B131" s="23" t="s">
        <v>193</v>
      </c>
      <c r="C131" s="24" t="s">
        <v>189</v>
      </c>
      <c r="D131" s="75" t="s">
        <v>194</v>
      </c>
      <c r="E131" s="59">
        <f t="shared" si="11"/>
        <v>41659.94999999995</v>
      </c>
      <c r="F131" s="26">
        <f>1000000-958340.05</f>
        <v>41659.94999999995</v>
      </c>
      <c r="G131" s="26">
        <v>0</v>
      </c>
      <c r="H131" s="26">
        <v>0</v>
      </c>
      <c r="I131" s="26">
        <v>0</v>
      </c>
      <c r="J131" s="59">
        <f t="shared" si="12"/>
        <v>0</v>
      </c>
      <c r="K131" s="26">
        <v>0</v>
      </c>
      <c r="L131" s="26">
        <v>0</v>
      </c>
      <c r="M131" s="26">
        <v>0</v>
      </c>
      <c r="N131" s="26">
        <v>0</v>
      </c>
      <c r="O131" s="26">
        <v>0</v>
      </c>
      <c r="P131" s="25">
        <f t="shared" si="10"/>
        <v>41659.94999999995</v>
      </c>
    </row>
    <row r="132" spans="1:16" s="11" customFormat="1" ht="45">
      <c r="A132" s="22" t="s">
        <v>195</v>
      </c>
      <c r="B132" s="23" t="s">
        <v>196</v>
      </c>
      <c r="C132" s="24" t="s">
        <v>189</v>
      </c>
      <c r="D132" s="75" t="s">
        <v>197</v>
      </c>
      <c r="E132" s="59">
        <f t="shared" si="11"/>
        <v>2743644.3</v>
      </c>
      <c r="F132" s="26">
        <f>3000000-256355.7</f>
        <v>2743644.3</v>
      </c>
      <c r="G132" s="26">
        <v>0</v>
      </c>
      <c r="H132" s="26">
        <v>0</v>
      </c>
      <c r="I132" s="26">
        <v>0</v>
      </c>
      <c r="J132" s="59">
        <f t="shared" si="12"/>
        <v>0</v>
      </c>
      <c r="K132" s="26">
        <v>0</v>
      </c>
      <c r="L132" s="26">
        <v>0</v>
      </c>
      <c r="M132" s="26">
        <v>0</v>
      </c>
      <c r="N132" s="26">
        <v>0</v>
      </c>
      <c r="O132" s="26">
        <v>0</v>
      </c>
      <c r="P132" s="25">
        <f t="shared" si="10"/>
        <v>2743644.3</v>
      </c>
    </row>
    <row r="133" spans="1:17" s="41" customFormat="1" ht="32.25" customHeight="1">
      <c r="A133" s="16" t="s">
        <v>198</v>
      </c>
      <c r="B133" s="17"/>
      <c r="C133" s="18"/>
      <c r="D133" s="74" t="s">
        <v>199</v>
      </c>
      <c r="E133" s="57">
        <f t="shared" si="11"/>
        <v>1019475.5</v>
      </c>
      <c r="F133" s="19">
        <f>F134+F135+F136</f>
        <v>1019475.5</v>
      </c>
      <c r="G133" s="19">
        <f>G134+G135+G136</f>
        <v>755701.48</v>
      </c>
      <c r="H133" s="19">
        <f>H134+H135+H136</f>
        <v>27128.879999999997</v>
      </c>
      <c r="I133" s="19">
        <f>I134+I135+I136</f>
        <v>0</v>
      </c>
      <c r="J133" s="57">
        <f t="shared" si="12"/>
        <v>0</v>
      </c>
      <c r="K133" s="19">
        <f>K134+K135+K136</f>
        <v>0</v>
      </c>
      <c r="L133" s="19">
        <f>L134+L135+L136</f>
        <v>0</v>
      </c>
      <c r="M133" s="19">
        <f>M134+M135+M136</f>
        <v>0</v>
      </c>
      <c r="N133" s="19">
        <f>N134+N135+N136</f>
        <v>0</v>
      </c>
      <c r="O133" s="19">
        <f>O134+O135+O136</f>
        <v>0</v>
      </c>
      <c r="P133" s="19">
        <f t="shared" si="10"/>
        <v>1019475.5</v>
      </c>
      <c r="Q133" s="120">
        <f>P133-'[1]Лист1'!$P$113</f>
        <v>-1079824.5</v>
      </c>
    </row>
    <row r="134" spans="1:16" s="11" customFormat="1" ht="30">
      <c r="A134" s="22" t="s">
        <v>200</v>
      </c>
      <c r="B134" s="23" t="s">
        <v>201</v>
      </c>
      <c r="C134" s="24" t="s">
        <v>57</v>
      </c>
      <c r="D134" s="75" t="s">
        <v>202</v>
      </c>
      <c r="E134" s="59">
        <f t="shared" si="11"/>
        <v>964745.5</v>
      </c>
      <c r="F134" s="26">
        <f>1921800-957054.5</f>
        <v>964745.5</v>
      </c>
      <c r="G134" s="26">
        <f>1480400-724698.52</f>
        <v>755701.48</v>
      </c>
      <c r="H134" s="26">
        <f>73600-46471.12</f>
        <v>27128.879999999997</v>
      </c>
      <c r="I134" s="26">
        <v>0</v>
      </c>
      <c r="J134" s="59">
        <f t="shared" si="12"/>
        <v>0</v>
      </c>
      <c r="K134" s="26">
        <v>0</v>
      </c>
      <c r="L134" s="26">
        <v>0</v>
      </c>
      <c r="M134" s="26">
        <v>0</v>
      </c>
      <c r="N134" s="26">
        <v>0</v>
      </c>
      <c r="O134" s="26">
        <v>0</v>
      </c>
      <c r="P134" s="25">
        <f t="shared" si="10"/>
        <v>964745.5</v>
      </c>
    </row>
    <row r="135" spans="1:16" s="11" customFormat="1" ht="30">
      <c r="A135" s="22" t="s">
        <v>203</v>
      </c>
      <c r="B135" s="23" t="s">
        <v>204</v>
      </c>
      <c r="C135" s="24" t="s">
        <v>57</v>
      </c>
      <c r="D135" s="75" t="s">
        <v>205</v>
      </c>
      <c r="E135" s="59">
        <f t="shared" si="11"/>
        <v>7870</v>
      </c>
      <c r="F135" s="26">
        <f>16500-8630</f>
        <v>7870</v>
      </c>
      <c r="G135" s="26">
        <v>0</v>
      </c>
      <c r="H135" s="26">
        <v>0</v>
      </c>
      <c r="I135" s="26">
        <v>0</v>
      </c>
      <c r="J135" s="59">
        <f t="shared" si="12"/>
        <v>0</v>
      </c>
      <c r="K135" s="26">
        <v>0</v>
      </c>
      <c r="L135" s="26">
        <v>0</v>
      </c>
      <c r="M135" s="26">
        <v>0</v>
      </c>
      <c r="N135" s="26">
        <v>0</v>
      </c>
      <c r="O135" s="26">
        <v>0</v>
      </c>
      <c r="P135" s="25">
        <f t="shared" si="10"/>
        <v>7870</v>
      </c>
    </row>
    <row r="136" spans="1:16" s="11" customFormat="1" ht="25.5" customHeight="1">
      <c r="A136" s="22" t="s">
        <v>206</v>
      </c>
      <c r="B136" s="23" t="s">
        <v>207</v>
      </c>
      <c r="C136" s="24" t="s">
        <v>57</v>
      </c>
      <c r="D136" s="75" t="s">
        <v>208</v>
      </c>
      <c r="E136" s="59">
        <f t="shared" si="11"/>
        <v>46860</v>
      </c>
      <c r="F136" s="26">
        <f>161000-114140</f>
        <v>46860</v>
      </c>
      <c r="G136" s="26">
        <v>0</v>
      </c>
      <c r="H136" s="26">
        <v>0</v>
      </c>
      <c r="I136" s="26">
        <v>0</v>
      </c>
      <c r="J136" s="59">
        <f t="shared" si="12"/>
        <v>0</v>
      </c>
      <c r="K136" s="26">
        <v>0</v>
      </c>
      <c r="L136" s="26">
        <v>0</v>
      </c>
      <c r="M136" s="26">
        <v>0</v>
      </c>
      <c r="N136" s="26">
        <v>0</v>
      </c>
      <c r="O136" s="26">
        <v>0</v>
      </c>
      <c r="P136" s="25">
        <f t="shared" si="10"/>
        <v>46860</v>
      </c>
    </row>
    <row r="137" spans="1:17" s="11" customFormat="1" ht="85.5">
      <c r="A137" s="3" t="s">
        <v>209</v>
      </c>
      <c r="B137" s="5" t="s">
        <v>81</v>
      </c>
      <c r="C137" s="4" t="s">
        <v>57</v>
      </c>
      <c r="D137" s="73" t="s">
        <v>82</v>
      </c>
      <c r="E137" s="58">
        <f t="shared" si="11"/>
        <v>970198.35</v>
      </c>
      <c r="F137" s="21">
        <f>1000000-29801.65</f>
        <v>970198.35</v>
      </c>
      <c r="G137" s="21">
        <v>0</v>
      </c>
      <c r="H137" s="21">
        <v>0</v>
      </c>
      <c r="I137" s="21">
        <v>0</v>
      </c>
      <c r="J137" s="58">
        <f t="shared" si="12"/>
        <v>0</v>
      </c>
      <c r="K137" s="21">
        <v>0</v>
      </c>
      <c r="L137" s="21">
        <v>0</v>
      </c>
      <c r="M137" s="21">
        <v>0</v>
      </c>
      <c r="N137" s="21">
        <v>0</v>
      </c>
      <c r="O137" s="21">
        <v>0</v>
      </c>
      <c r="P137" s="20">
        <f t="shared" si="10"/>
        <v>970198.35</v>
      </c>
      <c r="Q137" s="108">
        <f>P137-'[1]Лист1'!$P$117</f>
        <v>-29801.650000000023</v>
      </c>
    </row>
    <row r="138" spans="1:17" s="11" customFormat="1" ht="102" customHeight="1">
      <c r="A138" s="3">
        <v>1413190</v>
      </c>
      <c r="B138" s="30" t="s">
        <v>267</v>
      </c>
      <c r="C138" s="5">
        <v>1060</v>
      </c>
      <c r="D138" s="73" t="s">
        <v>268</v>
      </c>
      <c r="E138" s="58">
        <f t="shared" si="11"/>
        <v>12103.64</v>
      </c>
      <c r="F138" s="21">
        <f>25000-12896.36</f>
        <v>12103.64</v>
      </c>
      <c r="G138" s="21"/>
      <c r="H138" s="21"/>
      <c r="I138" s="21"/>
      <c r="J138" s="58">
        <f t="shared" si="12"/>
        <v>0</v>
      </c>
      <c r="K138" s="21"/>
      <c r="L138" s="21"/>
      <c r="M138" s="21"/>
      <c r="N138" s="21"/>
      <c r="O138" s="21"/>
      <c r="P138" s="20">
        <f t="shared" si="10"/>
        <v>12103.64</v>
      </c>
      <c r="Q138" s="108">
        <f>P138-'[1]Лист1'!$P$118</f>
        <v>-12896.36</v>
      </c>
    </row>
    <row r="139" spans="1:17" s="41" customFormat="1" ht="28.5">
      <c r="A139" s="16" t="s">
        <v>210</v>
      </c>
      <c r="B139" s="17"/>
      <c r="C139" s="18"/>
      <c r="D139" s="74" t="s">
        <v>211</v>
      </c>
      <c r="E139" s="57">
        <f t="shared" si="11"/>
        <v>218066.3</v>
      </c>
      <c r="F139" s="19">
        <f>F140</f>
        <v>218066.3</v>
      </c>
      <c r="G139" s="19">
        <f>G140</f>
        <v>0</v>
      </c>
      <c r="H139" s="19">
        <f>H140</f>
        <v>0</v>
      </c>
      <c r="I139" s="19">
        <f>I140</f>
        <v>0</v>
      </c>
      <c r="J139" s="57">
        <f t="shared" si="12"/>
        <v>0</v>
      </c>
      <c r="K139" s="19">
        <f>K140</f>
        <v>0</v>
      </c>
      <c r="L139" s="19">
        <f>L140</f>
        <v>0</v>
      </c>
      <c r="M139" s="19">
        <f>M140</f>
        <v>0</v>
      </c>
      <c r="N139" s="19">
        <f>N140</f>
        <v>0</v>
      </c>
      <c r="O139" s="19">
        <f>O140</f>
        <v>0</v>
      </c>
      <c r="P139" s="19">
        <f t="shared" si="10"/>
        <v>218066.3</v>
      </c>
      <c r="Q139" s="120">
        <f>P139-'[1]Лист1'!$P$119</f>
        <v>-161933.7</v>
      </c>
    </row>
    <row r="140" spans="1:16" s="11" customFormat="1" ht="60">
      <c r="A140" s="22" t="s">
        <v>212</v>
      </c>
      <c r="B140" s="23" t="s">
        <v>213</v>
      </c>
      <c r="C140" s="24" t="s">
        <v>186</v>
      </c>
      <c r="D140" s="75" t="s">
        <v>214</v>
      </c>
      <c r="E140" s="58">
        <f t="shared" si="11"/>
        <v>218066.3</v>
      </c>
      <c r="F140" s="26">
        <f>380000+40000-201933.7</f>
        <v>218066.3</v>
      </c>
      <c r="G140" s="26">
        <v>0</v>
      </c>
      <c r="H140" s="26">
        <v>0</v>
      </c>
      <c r="I140" s="26">
        <v>0</v>
      </c>
      <c r="J140" s="58">
        <f t="shared" si="12"/>
        <v>0</v>
      </c>
      <c r="K140" s="26">
        <v>0</v>
      </c>
      <c r="L140" s="26">
        <v>0</v>
      </c>
      <c r="M140" s="26">
        <v>0</v>
      </c>
      <c r="N140" s="26">
        <v>0</v>
      </c>
      <c r="O140" s="26">
        <v>0</v>
      </c>
      <c r="P140" s="25">
        <f t="shared" si="10"/>
        <v>218066.3</v>
      </c>
    </row>
    <row r="141" spans="1:16" s="11" customFormat="1" ht="40.5" customHeight="1">
      <c r="A141" s="22"/>
      <c r="B141" s="23"/>
      <c r="C141" s="24"/>
      <c r="D141" s="159" t="s">
        <v>580</v>
      </c>
      <c r="E141" s="58">
        <f t="shared" si="11"/>
        <v>40000</v>
      </c>
      <c r="F141" s="26">
        <v>40000</v>
      </c>
      <c r="G141" s="26"/>
      <c r="H141" s="26"/>
      <c r="I141" s="26"/>
      <c r="J141" s="58"/>
      <c r="K141" s="26"/>
      <c r="L141" s="26"/>
      <c r="M141" s="26"/>
      <c r="N141" s="26"/>
      <c r="O141" s="26"/>
      <c r="P141" s="25">
        <f t="shared" si="10"/>
        <v>40000</v>
      </c>
    </row>
    <row r="142" spans="1:16" s="11" customFormat="1" ht="15">
      <c r="A142" s="3" t="s">
        <v>215</v>
      </c>
      <c r="B142" s="5" t="s">
        <v>216</v>
      </c>
      <c r="C142" s="4" t="s">
        <v>61</v>
      </c>
      <c r="D142" s="73" t="s">
        <v>217</v>
      </c>
      <c r="E142" s="58">
        <f t="shared" si="11"/>
        <v>1005456.02</v>
      </c>
      <c r="F142" s="21">
        <f>1935900-930443.98</f>
        <v>1005456.02</v>
      </c>
      <c r="G142" s="21">
        <f>1161900-498834.82</f>
        <v>663065.1799999999</v>
      </c>
      <c r="H142" s="21">
        <f>297000-184991.84</f>
        <v>112008.16</v>
      </c>
      <c r="I142" s="21">
        <v>0</v>
      </c>
      <c r="J142" s="58">
        <f t="shared" si="12"/>
        <v>31811.97999999998</v>
      </c>
      <c r="K142" s="21">
        <v>0</v>
      </c>
      <c r="L142" s="21">
        <v>0</v>
      </c>
      <c r="M142" s="21">
        <v>0</v>
      </c>
      <c r="N142" s="21">
        <f>560000-528188.02</f>
        <v>31811.97999999998</v>
      </c>
      <c r="O142" s="21">
        <f>560000-528188.02</f>
        <v>31811.97999999998</v>
      </c>
      <c r="P142" s="20">
        <f t="shared" si="10"/>
        <v>1037268</v>
      </c>
    </row>
    <row r="143" spans="1:17" s="11" customFormat="1" ht="28.5">
      <c r="A143" s="3" t="s">
        <v>218</v>
      </c>
      <c r="B143" s="5" t="s">
        <v>219</v>
      </c>
      <c r="C143" s="4" t="s">
        <v>61</v>
      </c>
      <c r="D143" s="73" t="s">
        <v>220</v>
      </c>
      <c r="E143" s="58">
        <f t="shared" si="11"/>
        <v>3526467.54</v>
      </c>
      <c r="F143" s="21">
        <f>6142700+47000+126500+157900+8000+8000+33500-25000+38000+188493+101500+142386+172300+137100+100634+33000+5000+68000+30000+8000+71000+1000+16000+600000+137891+81000+100000+50000+16000-5183936.46+33000+20000+61500</f>
        <v>3526467.54</v>
      </c>
      <c r="G143" s="21">
        <v>0</v>
      </c>
      <c r="H143" s="21">
        <v>0</v>
      </c>
      <c r="I143" s="21">
        <v>0</v>
      </c>
      <c r="J143" s="58">
        <f t="shared" si="12"/>
        <v>0</v>
      </c>
      <c r="K143" s="21">
        <v>0</v>
      </c>
      <c r="L143" s="21">
        <v>0</v>
      </c>
      <c r="M143" s="21">
        <v>0</v>
      </c>
      <c r="N143" s="21">
        <v>0</v>
      </c>
      <c r="O143" s="21">
        <v>0</v>
      </c>
      <c r="P143" s="20">
        <f aca="true" t="shared" si="13" ref="P143:P148">E143+J143</f>
        <v>3526467.54</v>
      </c>
      <c r="Q143" s="108">
        <f>P143-'[1]Лист1'!$P$122</f>
        <v>-3010132.46</v>
      </c>
    </row>
    <row r="144" spans="1:16" s="11" customFormat="1" ht="58.5" customHeight="1">
      <c r="A144" s="3"/>
      <c r="B144" s="5"/>
      <c r="C144" s="4"/>
      <c r="D144" s="159" t="s">
        <v>580</v>
      </c>
      <c r="E144" s="58">
        <f>F144</f>
        <v>397000</v>
      </c>
      <c r="F144" s="26">
        <f>47000+8000+8000+38000+5000+68000+30000+8000+71000+1000+16000+81000+16000-53000+33000+20000</f>
        <v>397000</v>
      </c>
      <c r="G144" s="21"/>
      <c r="H144" s="21"/>
      <c r="I144" s="21"/>
      <c r="J144" s="58"/>
      <c r="K144" s="21"/>
      <c r="L144" s="21"/>
      <c r="M144" s="21"/>
      <c r="N144" s="21"/>
      <c r="O144" s="21"/>
      <c r="P144" s="20">
        <f t="shared" si="13"/>
        <v>397000</v>
      </c>
    </row>
    <row r="145" spans="1:16" s="11" customFormat="1" ht="28.5">
      <c r="A145" s="3" t="s">
        <v>221</v>
      </c>
      <c r="B145" s="5" t="s">
        <v>222</v>
      </c>
      <c r="C145" s="4" t="s">
        <v>147</v>
      </c>
      <c r="D145" s="73" t="s">
        <v>223</v>
      </c>
      <c r="E145" s="58">
        <f t="shared" si="11"/>
        <v>0</v>
      </c>
      <c r="F145" s="21">
        <v>0</v>
      </c>
      <c r="G145" s="21">
        <v>0</v>
      </c>
      <c r="H145" s="21">
        <v>0</v>
      </c>
      <c r="I145" s="21">
        <v>0</v>
      </c>
      <c r="J145" s="58">
        <f t="shared" si="12"/>
        <v>6509855.94</v>
      </c>
      <c r="K145" s="21">
        <v>0</v>
      </c>
      <c r="L145" s="21">
        <v>0</v>
      </c>
      <c r="M145" s="21">
        <v>0</v>
      </c>
      <c r="N145" s="21">
        <f>6600000-930215+930215-90144.06</f>
        <v>6509855.94</v>
      </c>
      <c r="O145" s="21">
        <f>6600000-930215+930215-90144.06</f>
        <v>6509855.94</v>
      </c>
      <c r="P145" s="20">
        <f t="shared" si="13"/>
        <v>6509855.94</v>
      </c>
    </row>
    <row r="146" spans="1:16" s="47" customFormat="1" ht="46.5" customHeight="1">
      <c r="A146" s="42"/>
      <c r="B146" s="43"/>
      <c r="C146" s="44"/>
      <c r="D146" s="113" t="s">
        <v>576</v>
      </c>
      <c r="E146" s="61">
        <f t="shared" si="11"/>
        <v>0</v>
      </c>
      <c r="F146" s="46"/>
      <c r="G146" s="46">
        <v>0</v>
      </c>
      <c r="H146" s="46">
        <v>0</v>
      </c>
      <c r="I146" s="46">
        <v>0</v>
      </c>
      <c r="J146" s="61">
        <f t="shared" si="12"/>
        <v>0</v>
      </c>
      <c r="K146" s="46">
        <v>0</v>
      </c>
      <c r="L146" s="46">
        <v>0</v>
      </c>
      <c r="M146" s="46">
        <v>0</v>
      </c>
      <c r="N146" s="46"/>
      <c r="O146" s="46"/>
      <c r="P146" s="45">
        <f t="shared" si="13"/>
        <v>0</v>
      </c>
    </row>
    <row r="147" spans="1:16" s="11" customFormat="1" ht="49.5" customHeight="1">
      <c r="A147" s="3">
        <v>1416360</v>
      </c>
      <c r="B147" s="30" t="s">
        <v>518</v>
      </c>
      <c r="C147" s="153" t="s">
        <v>158</v>
      </c>
      <c r="D147" s="95" t="s">
        <v>510</v>
      </c>
      <c r="E147" s="58">
        <f t="shared" si="11"/>
        <v>0</v>
      </c>
      <c r="F147" s="21">
        <v>0</v>
      </c>
      <c r="G147" s="21">
        <v>0</v>
      </c>
      <c r="H147" s="21">
        <v>0</v>
      </c>
      <c r="I147" s="21">
        <v>0</v>
      </c>
      <c r="J147" s="58">
        <f t="shared" si="12"/>
        <v>41884.06</v>
      </c>
      <c r="K147" s="21">
        <v>0</v>
      </c>
      <c r="L147" s="21">
        <v>0</v>
      </c>
      <c r="M147" s="21">
        <v>0</v>
      </c>
      <c r="N147" s="21">
        <f>41884.06</f>
        <v>41884.06</v>
      </c>
      <c r="O147" s="21">
        <f>41884.06</f>
        <v>41884.06</v>
      </c>
      <c r="P147" s="20">
        <f t="shared" si="13"/>
        <v>41884.06</v>
      </c>
    </row>
    <row r="148" spans="1:17" s="41" customFormat="1" ht="15" hidden="1">
      <c r="A148" s="17" t="s">
        <v>515</v>
      </c>
      <c r="B148" s="17" t="s">
        <v>32</v>
      </c>
      <c r="C148" s="17" t="s">
        <v>31</v>
      </c>
      <c r="D148" s="76" t="s">
        <v>511</v>
      </c>
      <c r="E148" s="57">
        <f t="shared" si="11"/>
        <v>0</v>
      </c>
      <c r="F148" s="19">
        <f aca="true" t="shared" si="14" ref="F148:O148">SUM(F149)</f>
        <v>0</v>
      </c>
      <c r="G148" s="19">
        <f t="shared" si="14"/>
        <v>0</v>
      </c>
      <c r="H148" s="19">
        <f t="shared" si="14"/>
        <v>0</v>
      </c>
      <c r="I148" s="19">
        <f t="shared" si="14"/>
        <v>0</v>
      </c>
      <c r="J148" s="57">
        <f t="shared" si="12"/>
        <v>0</v>
      </c>
      <c r="K148" s="19">
        <f t="shared" si="14"/>
        <v>0</v>
      </c>
      <c r="L148" s="19">
        <f t="shared" si="14"/>
        <v>0</v>
      </c>
      <c r="M148" s="19">
        <f t="shared" si="14"/>
        <v>0</v>
      </c>
      <c r="N148" s="19">
        <f t="shared" si="14"/>
        <v>0</v>
      </c>
      <c r="O148" s="19">
        <f t="shared" si="14"/>
        <v>0</v>
      </c>
      <c r="P148" s="19">
        <f t="shared" si="13"/>
        <v>0</v>
      </c>
      <c r="Q148" s="120">
        <f>P148-'[1]Лист1'!$P$125</f>
        <v>-11367</v>
      </c>
    </row>
    <row r="149" spans="1:16" s="47" customFormat="1" ht="30" hidden="1">
      <c r="A149" s="42"/>
      <c r="B149" s="43"/>
      <c r="C149" s="44"/>
      <c r="D149" s="113" t="s">
        <v>495</v>
      </c>
      <c r="E149" s="61">
        <f t="shared" si="11"/>
        <v>0</v>
      </c>
      <c r="F149" s="46">
        <f>11367-11367</f>
        <v>0</v>
      </c>
      <c r="G149" s="46">
        <v>0</v>
      </c>
      <c r="H149" s="46">
        <v>0</v>
      </c>
      <c r="I149" s="46">
        <v>0</v>
      </c>
      <c r="J149" s="61">
        <f t="shared" si="12"/>
        <v>0</v>
      </c>
      <c r="K149" s="46">
        <v>0</v>
      </c>
      <c r="L149" s="46">
        <v>0</v>
      </c>
      <c r="M149" s="46">
        <v>0</v>
      </c>
      <c r="N149" s="46">
        <v>0</v>
      </c>
      <c r="O149" s="46">
        <v>0</v>
      </c>
      <c r="P149" s="45">
        <f t="shared" si="10"/>
        <v>0</v>
      </c>
    </row>
    <row r="150" spans="1:17" s="11" customFormat="1" ht="28.5">
      <c r="A150" s="3" t="s">
        <v>546</v>
      </c>
      <c r="B150" s="5" t="s">
        <v>152</v>
      </c>
      <c r="C150" s="4" t="s">
        <v>151</v>
      </c>
      <c r="D150" s="73" t="s">
        <v>153</v>
      </c>
      <c r="E150" s="58">
        <f t="shared" si="11"/>
        <v>0</v>
      </c>
      <c r="F150" s="21">
        <v>0</v>
      </c>
      <c r="G150" s="21">
        <v>0</v>
      </c>
      <c r="H150" s="21">
        <v>0</v>
      </c>
      <c r="I150" s="21">
        <v>0</v>
      </c>
      <c r="J150" s="58">
        <f t="shared" si="12"/>
        <v>250000</v>
      </c>
      <c r="K150" s="21">
        <f>150000+100000</f>
        <v>250000</v>
      </c>
      <c r="L150" s="21">
        <v>0</v>
      </c>
      <c r="M150" s="21">
        <v>0</v>
      </c>
      <c r="N150" s="21">
        <v>0</v>
      </c>
      <c r="O150" s="21">
        <v>0</v>
      </c>
      <c r="P150" s="20">
        <f>E150+J150</f>
        <v>250000</v>
      </c>
      <c r="Q150" s="108">
        <f>P150</f>
        <v>250000</v>
      </c>
    </row>
    <row r="151" spans="1:17" s="97" customFormat="1" ht="39" customHeight="1">
      <c r="A151" s="12" t="s">
        <v>224</v>
      </c>
      <c r="B151" s="13"/>
      <c r="C151" s="14"/>
      <c r="D151" s="138" t="s">
        <v>225</v>
      </c>
      <c r="E151" s="56">
        <f t="shared" si="11"/>
        <v>740768938.0699999</v>
      </c>
      <c r="F151" s="15">
        <f>F171+F228+F279+F152</f>
        <v>740768938.0699999</v>
      </c>
      <c r="G151" s="15">
        <f>G171+G228+G279+G152</f>
        <v>30945521.34</v>
      </c>
      <c r="H151" s="15">
        <f>H171+H228+H279+H152</f>
        <v>1911630.96</v>
      </c>
      <c r="I151" s="15">
        <f>I171+I228+I279+I152</f>
        <v>0</v>
      </c>
      <c r="J151" s="56">
        <f t="shared" si="12"/>
        <v>2067101.62</v>
      </c>
      <c r="K151" s="15">
        <f>K171+K228+K279+K152</f>
        <v>189660</v>
      </c>
      <c r="L151" s="15">
        <f>L171+L228+L279+L152</f>
        <v>137800</v>
      </c>
      <c r="M151" s="15">
        <f>M171+M228+M279+M152</f>
        <v>0</v>
      </c>
      <c r="N151" s="15">
        <f>N171+N228+N279+N152</f>
        <v>1877441.62</v>
      </c>
      <c r="O151" s="15">
        <f>O171+O228+O279+O152</f>
        <v>1877441.62</v>
      </c>
      <c r="P151" s="15">
        <f t="shared" si="10"/>
        <v>742836039.6899999</v>
      </c>
      <c r="Q151" s="117">
        <f>P151-'[1]Лист1'!$P$127</f>
        <v>143623396.68999994</v>
      </c>
    </row>
    <row r="152" spans="1:17" s="99" customFormat="1" ht="31.5" customHeight="1">
      <c r="A152" s="155">
        <v>1510000</v>
      </c>
      <c r="B152" s="155"/>
      <c r="C152" s="155"/>
      <c r="D152" s="156" t="s">
        <v>570</v>
      </c>
      <c r="E152" s="58">
        <f t="shared" si="11"/>
        <v>10195510.18</v>
      </c>
      <c r="F152" s="20">
        <f>F153+F154+F160+F164+F165+F166+F168+F169</f>
        <v>10195510.18</v>
      </c>
      <c r="G152" s="20">
        <f>G153+G154+G160+G164+G165+G166+G168+G169</f>
        <v>1768029.34</v>
      </c>
      <c r="H152" s="20">
        <f>H153+H154+H160+H164+H165+H166+H168+H169</f>
        <v>256803.96</v>
      </c>
      <c r="I152" s="20">
        <f>I153+I154+I160+I164+I165+I166+I168+I169</f>
        <v>0</v>
      </c>
      <c r="J152" s="58">
        <f t="shared" si="12"/>
        <v>625725.62</v>
      </c>
      <c r="K152" s="20">
        <f>K153+K154+K160+K164+K165+K166+K168+K169</f>
        <v>0</v>
      </c>
      <c r="L152" s="20">
        <f>L153+L154+L160+L164+L165+L166+L168+L169</f>
        <v>0</v>
      </c>
      <c r="M152" s="20">
        <f>M153+M154+M160+M164+M165+M166+M168+M169</f>
        <v>0</v>
      </c>
      <c r="N152" s="20">
        <f>N153+N154+N160+N164+N165+N166+N168+N169</f>
        <v>625725.62</v>
      </c>
      <c r="O152" s="20">
        <f>O153+O154+O160+O164+O165+O166+O168+O169</f>
        <v>625725.62</v>
      </c>
      <c r="P152" s="20">
        <f t="shared" si="10"/>
        <v>10821235.799999999</v>
      </c>
      <c r="Q152" s="122"/>
    </row>
    <row r="153" spans="1:17" s="97" customFormat="1" ht="33" customHeight="1">
      <c r="A153" s="144">
        <v>1510180</v>
      </c>
      <c r="B153" s="144">
        <v>180</v>
      </c>
      <c r="C153" s="144">
        <v>111</v>
      </c>
      <c r="D153" s="146" t="s">
        <v>538</v>
      </c>
      <c r="E153" s="56">
        <f t="shared" si="11"/>
        <v>738031</v>
      </c>
      <c r="F153" s="135">
        <f>650331+57700+30000</f>
        <v>738031</v>
      </c>
      <c r="G153" s="135">
        <f>497196+47300</f>
        <v>544496</v>
      </c>
      <c r="H153" s="135">
        <v>25341</v>
      </c>
      <c r="I153" s="135"/>
      <c r="J153" s="56">
        <f t="shared" si="12"/>
        <v>0</v>
      </c>
      <c r="K153" s="135"/>
      <c r="L153" s="135"/>
      <c r="M153" s="135"/>
      <c r="N153" s="135"/>
      <c r="O153" s="135"/>
      <c r="P153" s="15">
        <f t="shared" si="10"/>
        <v>738031</v>
      </c>
      <c r="Q153" s="117"/>
    </row>
    <row r="154" spans="1:17" s="97" customFormat="1" ht="151.5" customHeight="1">
      <c r="A154" s="173">
        <v>1513030</v>
      </c>
      <c r="B154" s="173"/>
      <c r="C154" s="173"/>
      <c r="D154" s="147" t="s">
        <v>571</v>
      </c>
      <c r="E154" s="176">
        <f t="shared" si="11"/>
        <v>1667292.53</v>
      </c>
      <c r="F154" s="179">
        <f>F156+F157+F158+F159</f>
        <v>1667292.53</v>
      </c>
      <c r="G154" s="186">
        <f>G156+G157+G158+G159</f>
        <v>0</v>
      </c>
      <c r="H154" s="186">
        <f>H156+H157+H158+H159</f>
        <v>0</v>
      </c>
      <c r="I154" s="186">
        <f>I156+I157+I158+I159</f>
        <v>0</v>
      </c>
      <c r="J154" s="188">
        <f t="shared" si="12"/>
        <v>97537.6</v>
      </c>
      <c r="K154" s="186">
        <f>K156+K157+K158+K159</f>
        <v>0</v>
      </c>
      <c r="L154" s="186">
        <f>L156+L157+L158+L159</f>
        <v>0</v>
      </c>
      <c r="M154" s="186">
        <f>M156+M157+M158+M159</f>
        <v>0</v>
      </c>
      <c r="N154" s="186">
        <f>N156+N157+N158+N159</f>
        <v>97537.6</v>
      </c>
      <c r="O154" s="186">
        <f>O156+O157+O158+O159</f>
        <v>97537.6</v>
      </c>
      <c r="P154" s="188">
        <f t="shared" si="10"/>
        <v>1764830.1300000001</v>
      </c>
      <c r="Q154" s="117"/>
    </row>
    <row r="155" spans="1:17" s="97" customFormat="1" ht="62.25" customHeight="1">
      <c r="A155" s="173"/>
      <c r="B155" s="173"/>
      <c r="C155" s="173"/>
      <c r="D155" s="148" t="s">
        <v>572</v>
      </c>
      <c r="E155" s="176"/>
      <c r="F155" s="179"/>
      <c r="G155" s="187"/>
      <c r="H155" s="187"/>
      <c r="I155" s="187"/>
      <c r="J155" s="189"/>
      <c r="K155" s="187"/>
      <c r="L155" s="187"/>
      <c r="M155" s="187"/>
      <c r="N155" s="187"/>
      <c r="O155" s="187"/>
      <c r="P155" s="189"/>
      <c r="Q155" s="117"/>
    </row>
    <row r="156" spans="1:17" s="97" customFormat="1" ht="237.75" customHeight="1">
      <c r="A156" s="145">
        <v>1513031</v>
      </c>
      <c r="B156" s="145">
        <v>3031</v>
      </c>
      <c r="C156" s="145">
        <v>1030</v>
      </c>
      <c r="D156" s="147" t="s">
        <v>480</v>
      </c>
      <c r="E156" s="56">
        <f t="shared" si="11"/>
        <v>0</v>
      </c>
      <c r="F156" s="135"/>
      <c r="G156" s="135"/>
      <c r="H156" s="135"/>
      <c r="I156" s="135"/>
      <c r="J156" s="56">
        <f t="shared" si="12"/>
        <v>97537.6</v>
      </c>
      <c r="K156" s="135"/>
      <c r="L156" s="135"/>
      <c r="M156" s="135"/>
      <c r="N156" s="135">
        <v>97537.6</v>
      </c>
      <c r="O156" s="135">
        <v>97537.6</v>
      </c>
      <c r="P156" s="15">
        <f t="shared" si="10"/>
        <v>97537.6</v>
      </c>
      <c r="Q156" s="117"/>
    </row>
    <row r="157" spans="1:17" s="137" customFormat="1" ht="47.25" customHeight="1">
      <c r="A157" s="149">
        <v>1513035</v>
      </c>
      <c r="B157" s="149">
        <v>3035</v>
      </c>
      <c r="C157" s="149">
        <v>1070</v>
      </c>
      <c r="D157" s="150" t="s">
        <v>191</v>
      </c>
      <c r="E157" s="56">
        <f t="shared" si="11"/>
        <v>452596.78</v>
      </c>
      <c r="F157" s="135">
        <v>452596.78</v>
      </c>
      <c r="G157" s="135"/>
      <c r="H157" s="135"/>
      <c r="I157" s="135"/>
      <c r="J157" s="56">
        <f t="shared" si="12"/>
        <v>0</v>
      </c>
      <c r="K157" s="135"/>
      <c r="L157" s="135"/>
      <c r="M157" s="135"/>
      <c r="N157" s="135"/>
      <c r="O157" s="135"/>
      <c r="P157" s="15">
        <f t="shared" si="10"/>
        <v>452596.78</v>
      </c>
      <c r="Q157" s="136"/>
    </row>
    <row r="158" spans="1:17" s="137" customFormat="1" ht="45" customHeight="1">
      <c r="A158" s="149">
        <v>1513037</v>
      </c>
      <c r="B158" s="149">
        <v>3037</v>
      </c>
      <c r="C158" s="149">
        <v>1070</v>
      </c>
      <c r="D158" s="150" t="s">
        <v>194</v>
      </c>
      <c r="E158" s="56">
        <f t="shared" si="11"/>
        <v>958340.05</v>
      </c>
      <c r="F158" s="135">
        <v>958340.05</v>
      </c>
      <c r="G158" s="135"/>
      <c r="H158" s="135"/>
      <c r="I158" s="135"/>
      <c r="J158" s="56">
        <f t="shared" si="12"/>
        <v>0</v>
      </c>
      <c r="K158" s="135"/>
      <c r="L158" s="135"/>
      <c r="M158" s="135"/>
      <c r="N158" s="135"/>
      <c r="O158" s="135"/>
      <c r="P158" s="15">
        <f t="shared" si="10"/>
        <v>958340.05</v>
      </c>
      <c r="Q158" s="136"/>
    </row>
    <row r="159" spans="1:17" s="137" customFormat="1" ht="45.75" customHeight="1">
      <c r="A159" s="149">
        <v>1513038</v>
      </c>
      <c r="B159" s="149">
        <v>3038</v>
      </c>
      <c r="C159" s="149">
        <v>1070</v>
      </c>
      <c r="D159" s="150" t="s">
        <v>197</v>
      </c>
      <c r="E159" s="56">
        <f t="shared" si="11"/>
        <v>256355.7</v>
      </c>
      <c r="F159" s="135">
        <v>256355.7</v>
      </c>
      <c r="G159" s="135"/>
      <c r="H159" s="135"/>
      <c r="I159" s="135"/>
      <c r="J159" s="56">
        <f t="shared" si="12"/>
        <v>0</v>
      </c>
      <c r="K159" s="135"/>
      <c r="L159" s="135"/>
      <c r="M159" s="135"/>
      <c r="N159" s="135"/>
      <c r="O159" s="135"/>
      <c r="P159" s="15">
        <f t="shared" si="10"/>
        <v>256355.7</v>
      </c>
      <c r="Q159" s="136"/>
    </row>
    <row r="160" spans="1:17" s="41" customFormat="1" ht="30" customHeight="1">
      <c r="A160" s="151">
        <v>1513130</v>
      </c>
      <c r="B160" s="151"/>
      <c r="C160" s="151"/>
      <c r="D160" s="152" t="s">
        <v>199</v>
      </c>
      <c r="E160" s="57">
        <f t="shared" si="11"/>
        <v>1079824.5</v>
      </c>
      <c r="F160" s="19">
        <f>F161+F162+F163</f>
        <v>1079824.5</v>
      </c>
      <c r="G160" s="19">
        <f>G161+G162+G163</f>
        <v>724698.52</v>
      </c>
      <c r="H160" s="19">
        <f>H161+H162+H163</f>
        <v>46471.12</v>
      </c>
      <c r="I160" s="19">
        <f>I161+I162+I163</f>
        <v>0</v>
      </c>
      <c r="J160" s="57">
        <f t="shared" si="12"/>
        <v>0</v>
      </c>
      <c r="K160" s="19">
        <f>K161+K162+K163</f>
        <v>0</v>
      </c>
      <c r="L160" s="19">
        <f>L161+L162+L163</f>
        <v>0</v>
      </c>
      <c r="M160" s="19">
        <f>M161+M162+M163</f>
        <v>0</v>
      </c>
      <c r="N160" s="19">
        <f>N161+N162+N163</f>
        <v>0</v>
      </c>
      <c r="O160" s="19">
        <f>O161+O162+O163</f>
        <v>0</v>
      </c>
      <c r="P160" s="19">
        <f t="shared" si="10"/>
        <v>1079824.5</v>
      </c>
      <c r="Q160" s="120"/>
    </row>
    <row r="161" spans="1:17" s="137" customFormat="1" ht="30.75" customHeight="1">
      <c r="A161" s="145">
        <v>1513131</v>
      </c>
      <c r="B161" s="145">
        <v>3131</v>
      </c>
      <c r="C161" s="145">
        <v>1040</v>
      </c>
      <c r="D161" s="147" t="s">
        <v>202</v>
      </c>
      <c r="E161" s="56">
        <f t="shared" si="11"/>
        <v>957054.5</v>
      </c>
      <c r="F161" s="135">
        <v>957054.5</v>
      </c>
      <c r="G161" s="135">
        <v>724698.52</v>
      </c>
      <c r="H161" s="135">
        <v>46471.12</v>
      </c>
      <c r="I161" s="135"/>
      <c r="J161" s="56">
        <f t="shared" si="12"/>
        <v>0</v>
      </c>
      <c r="K161" s="135"/>
      <c r="L161" s="135"/>
      <c r="M161" s="135"/>
      <c r="N161" s="135"/>
      <c r="O161" s="135"/>
      <c r="P161" s="15">
        <f t="shared" si="10"/>
        <v>957054.5</v>
      </c>
      <c r="Q161" s="136"/>
    </row>
    <row r="162" spans="1:17" s="137" customFormat="1" ht="31.5" customHeight="1">
      <c r="A162" s="145">
        <v>1513132</v>
      </c>
      <c r="B162" s="145">
        <v>3132</v>
      </c>
      <c r="C162" s="145">
        <v>1040</v>
      </c>
      <c r="D162" s="147" t="s">
        <v>205</v>
      </c>
      <c r="E162" s="56">
        <f t="shared" si="11"/>
        <v>8630</v>
      </c>
      <c r="F162" s="135">
        <v>8630</v>
      </c>
      <c r="G162" s="135"/>
      <c r="H162" s="135"/>
      <c r="I162" s="135"/>
      <c r="J162" s="56">
        <f t="shared" si="12"/>
        <v>0</v>
      </c>
      <c r="K162" s="135"/>
      <c r="L162" s="135"/>
      <c r="M162" s="135"/>
      <c r="N162" s="135"/>
      <c r="O162" s="135"/>
      <c r="P162" s="15">
        <f t="shared" si="10"/>
        <v>8630</v>
      </c>
      <c r="Q162" s="136"/>
    </row>
    <row r="163" spans="1:17" s="97" customFormat="1" ht="19.5" customHeight="1">
      <c r="A163" s="145">
        <v>1513134</v>
      </c>
      <c r="B163" s="145">
        <v>3134</v>
      </c>
      <c r="C163" s="145">
        <v>1040</v>
      </c>
      <c r="D163" s="147" t="s">
        <v>208</v>
      </c>
      <c r="E163" s="56">
        <f t="shared" si="11"/>
        <v>114140</v>
      </c>
      <c r="F163" s="135">
        <v>114140</v>
      </c>
      <c r="G163" s="135"/>
      <c r="H163" s="135"/>
      <c r="I163" s="135"/>
      <c r="J163" s="56">
        <f t="shared" si="12"/>
        <v>0</v>
      </c>
      <c r="K163" s="135"/>
      <c r="L163" s="135"/>
      <c r="M163" s="135"/>
      <c r="N163" s="135"/>
      <c r="O163" s="135"/>
      <c r="P163" s="15">
        <f t="shared" si="10"/>
        <v>114140</v>
      </c>
      <c r="Q163" s="117"/>
    </row>
    <row r="164" spans="1:17" s="97" customFormat="1" ht="72" customHeight="1">
      <c r="A164" s="144">
        <v>1513160</v>
      </c>
      <c r="B164" s="144">
        <v>3160</v>
      </c>
      <c r="C164" s="144">
        <v>1040</v>
      </c>
      <c r="D164" s="146" t="s">
        <v>82</v>
      </c>
      <c r="E164" s="56">
        <f t="shared" si="11"/>
        <v>29801.65</v>
      </c>
      <c r="F164" s="135">
        <v>29801.65</v>
      </c>
      <c r="G164" s="158"/>
      <c r="H164" s="158"/>
      <c r="I164" s="158"/>
      <c r="J164" s="56">
        <f t="shared" si="12"/>
        <v>0</v>
      </c>
      <c r="K164" s="158"/>
      <c r="L164" s="158"/>
      <c r="M164" s="158"/>
      <c r="N164" s="158"/>
      <c r="O164" s="158"/>
      <c r="P164" s="15">
        <f t="shared" si="10"/>
        <v>29801.65</v>
      </c>
      <c r="Q164" s="117"/>
    </row>
    <row r="165" spans="1:17" s="140" customFormat="1" ht="87" customHeight="1">
      <c r="A165" s="144">
        <v>1513190</v>
      </c>
      <c r="B165" s="144">
        <v>3190</v>
      </c>
      <c r="C165" s="144">
        <v>1060</v>
      </c>
      <c r="D165" s="146" t="s">
        <v>268</v>
      </c>
      <c r="E165" s="56">
        <f t="shared" si="11"/>
        <v>12896.36</v>
      </c>
      <c r="F165" s="135">
        <v>12896.36</v>
      </c>
      <c r="G165" s="135"/>
      <c r="H165" s="135"/>
      <c r="I165" s="135"/>
      <c r="J165" s="56">
        <f t="shared" si="12"/>
        <v>0</v>
      </c>
      <c r="K165" s="135"/>
      <c r="L165" s="135"/>
      <c r="M165" s="135"/>
      <c r="N165" s="135"/>
      <c r="O165" s="135"/>
      <c r="P165" s="15">
        <f t="shared" si="10"/>
        <v>12896.36</v>
      </c>
      <c r="Q165" s="139"/>
    </row>
    <row r="166" spans="1:17" s="41" customFormat="1" ht="33.75" customHeight="1">
      <c r="A166" s="151">
        <v>1513200</v>
      </c>
      <c r="B166" s="151"/>
      <c r="C166" s="151"/>
      <c r="D166" s="152" t="s">
        <v>211</v>
      </c>
      <c r="E166" s="57">
        <f t="shared" si="11"/>
        <v>201933.7</v>
      </c>
      <c r="F166" s="19">
        <f>F167</f>
        <v>201933.7</v>
      </c>
      <c r="G166" s="157">
        <f>G167</f>
        <v>0</v>
      </c>
      <c r="H166" s="157">
        <f>H167</f>
        <v>0</v>
      </c>
      <c r="I166" s="157">
        <f>I167</f>
        <v>0</v>
      </c>
      <c r="J166" s="57">
        <f t="shared" si="12"/>
        <v>0</v>
      </c>
      <c r="K166" s="157">
        <f>K167</f>
        <v>0</v>
      </c>
      <c r="L166" s="157">
        <f>L167</f>
        <v>0</v>
      </c>
      <c r="M166" s="157">
        <f>M167</f>
        <v>0</v>
      </c>
      <c r="N166" s="157">
        <f>N167</f>
        <v>0</v>
      </c>
      <c r="O166" s="157">
        <f>O167</f>
        <v>0</v>
      </c>
      <c r="P166" s="19">
        <f t="shared" si="10"/>
        <v>201933.7</v>
      </c>
      <c r="Q166" s="120"/>
    </row>
    <row r="167" spans="1:17" s="97" customFormat="1" ht="46.5" customHeight="1">
      <c r="A167" s="145">
        <v>1513202</v>
      </c>
      <c r="B167" s="145">
        <v>3202</v>
      </c>
      <c r="C167" s="145">
        <v>1030</v>
      </c>
      <c r="D167" s="147" t="s">
        <v>214</v>
      </c>
      <c r="E167" s="56">
        <f t="shared" si="11"/>
        <v>201933.7</v>
      </c>
      <c r="F167" s="135">
        <v>201933.7</v>
      </c>
      <c r="G167" s="135"/>
      <c r="H167" s="135"/>
      <c r="I167" s="135"/>
      <c r="J167" s="56">
        <f t="shared" si="12"/>
        <v>0</v>
      </c>
      <c r="K167" s="135"/>
      <c r="L167" s="135"/>
      <c r="M167" s="135"/>
      <c r="N167" s="135"/>
      <c r="O167" s="135"/>
      <c r="P167" s="15">
        <f t="shared" si="10"/>
        <v>201933.7</v>
      </c>
      <c r="Q167" s="117"/>
    </row>
    <row r="168" spans="1:17" s="97" customFormat="1" ht="21" customHeight="1">
      <c r="A168" s="144">
        <v>1513300</v>
      </c>
      <c r="B168" s="144">
        <v>3300</v>
      </c>
      <c r="C168" s="144">
        <v>1090</v>
      </c>
      <c r="D168" s="146" t="s">
        <v>217</v>
      </c>
      <c r="E168" s="56">
        <f t="shared" si="11"/>
        <v>930443.98</v>
      </c>
      <c r="F168" s="135">
        <v>930443.98</v>
      </c>
      <c r="G168" s="135">
        <v>498834.82</v>
      </c>
      <c r="H168" s="135">
        <v>184991.84</v>
      </c>
      <c r="I168" s="135"/>
      <c r="J168" s="56">
        <f t="shared" si="12"/>
        <v>528188.02</v>
      </c>
      <c r="K168" s="135"/>
      <c r="L168" s="135"/>
      <c r="M168" s="135"/>
      <c r="N168" s="135">
        <v>528188.02</v>
      </c>
      <c r="O168" s="135">
        <v>528188.02</v>
      </c>
      <c r="P168" s="15">
        <f t="shared" si="10"/>
        <v>1458632</v>
      </c>
      <c r="Q168" s="117"/>
    </row>
    <row r="169" spans="1:17" s="97" customFormat="1" ht="31.5" customHeight="1">
      <c r="A169" s="144">
        <v>1513400</v>
      </c>
      <c r="B169" s="144">
        <v>3400</v>
      </c>
      <c r="C169" s="144">
        <v>1090</v>
      </c>
      <c r="D169" s="146" t="s">
        <v>220</v>
      </c>
      <c r="E169" s="56">
        <f t="shared" si="11"/>
        <v>5535286.46</v>
      </c>
      <c r="F169" s="135">
        <f>5183936.46+15500+39000+108950+17000+5000+156900-20000+27000+2000</f>
        <v>5535286.46</v>
      </c>
      <c r="G169" s="135"/>
      <c r="H169" s="135"/>
      <c r="I169" s="135"/>
      <c r="J169" s="56">
        <f t="shared" si="12"/>
        <v>0</v>
      </c>
      <c r="K169" s="135"/>
      <c r="L169" s="135"/>
      <c r="M169" s="135"/>
      <c r="N169" s="135"/>
      <c r="O169" s="135"/>
      <c r="P169" s="15">
        <f t="shared" si="10"/>
        <v>5535286.46</v>
      </c>
      <c r="Q169" s="117"/>
    </row>
    <row r="170" spans="1:17" s="97" customFormat="1" ht="40.5" customHeight="1">
      <c r="A170" s="141"/>
      <c r="B170" s="142"/>
      <c r="C170" s="143"/>
      <c r="D170" s="159" t="s">
        <v>580</v>
      </c>
      <c r="E170" s="56">
        <f t="shared" si="11"/>
        <v>143000</v>
      </c>
      <c r="F170" s="135">
        <f>53000+39000+17000+5000+27000+2000</f>
        <v>143000</v>
      </c>
      <c r="G170" s="135"/>
      <c r="H170" s="135"/>
      <c r="I170" s="135"/>
      <c r="J170" s="56">
        <f t="shared" si="12"/>
        <v>0</v>
      </c>
      <c r="K170" s="135"/>
      <c r="L170" s="135"/>
      <c r="M170" s="135"/>
      <c r="N170" s="135"/>
      <c r="O170" s="135"/>
      <c r="P170" s="15">
        <f t="shared" si="10"/>
        <v>143000</v>
      </c>
      <c r="Q170" s="117"/>
    </row>
    <row r="171" spans="1:16" s="99" customFormat="1" ht="48" customHeight="1">
      <c r="A171" s="27" t="s">
        <v>436</v>
      </c>
      <c r="B171" s="28"/>
      <c r="C171" s="29"/>
      <c r="D171" s="78" t="s">
        <v>435</v>
      </c>
      <c r="E171" s="58">
        <f t="shared" si="11"/>
        <v>259565758.45999998</v>
      </c>
      <c r="F171" s="20">
        <f>F172+F173+F175+F189+F198+F217+F219+F221+F223+F224+F226+F227</f>
        <v>259565758.45999998</v>
      </c>
      <c r="G171" s="20">
        <f>G172+G173+G175+G189+G198+G217+G219+G221+G223+G224+G226+G227</f>
        <v>9582295</v>
      </c>
      <c r="H171" s="20">
        <f>H172+H173+H175+H189+H198+H217+H219+H221+H223+H224+H226+H227</f>
        <v>586060</v>
      </c>
      <c r="I171" s="20">
        <f>I172+I173+I175+I189+I198+I217+I219+I221+I223+I224+I226+I227</f>
        <v>0</v>
      </c>
      <c r="J171" s="58">
        <f t="shared" si="12"/>
        <v>170940</v>
      </c>
      <c r="K171" s="20">
        <f>K172+K173+K175+K189+K198+K217+K219+K221+K223+K224+K226+K227</f>
        <v>61560</v>
      </c>
      <c r="L171" s="20">
        <f>L172+L173+L175+L189+L198+L217+L219+L221+L223+L224+L226+L227</f>
        <v>48000</v>
      </c>
      <c r="M171" s="20">
        <f>M172+M173+M175+M189+M198+M217+M219+M221+M223+M224+M226+M227</f>
        <v>0</v>
      </c>
      <c r="N171" s="20">
        <f>N172+N173+N175+N189+N198+N217+N219+N221+N223+N224+N226+N227</f>
        <v>109380</v>
      </c>
      <c r="O171" s="20">
        <f>O172+O173+O175+O189+O198+O217+O219+O221+O223+O224+O226+O227</f>
        <v>109380</v>
      </c>
      <c r="P171" s="20">
        <f t="shared" si="10"/>
        <v>259736698.45999998</v>
      </c>
    </row>
    <row r="172" spans="1:17" s="11" customFormat="1" ht="42.75">
      <c r="A172" s="3" t="s">
        <v>437</v>
      </c>
      <c r="B172" s="30" t="s">
        <v>35</v>
      </c>
      <c r="C172" s="30" t="s">
        <v>20</v>
      </c>
      <c r="D172" s="73" t="s">
        <v>538</v>
      </c>
      <c r="E172" s="58">
        <f t="shared" si="11"/>
        <v>7302500</v>
      </c>
      <c r="F172" s="21">
        <f>7192700+109800</f>
        <v>7302500</v>
      </c>
      <c r="G172" s="21">
        <f>5589295+90000</f>
        <v>5679295</v>
      </c>
      <c r="H172" s="21">
        <v>254160</v>
      </c>
      <c r="I172" s="21">
        <v>0</v>
      </c>
      <c r="J172" s="58">
        <f t="shared" si="12"/>
        <v>0</v>
      </c>
      <c r="K172" s="21">
        <v>0</v>
      </c>
      <c r="L172" s="21">
        <v>0</v>
      </c>
      <c r="M172" s="21">
        <v>0</v>
      </c>
      <c r="N172" s="21">
        <v>0</v>
      </c>
      <c r="O172" s="21">
        <v>0</v>
      </c>
      <c r="P172" s="20">
        <f t="shared" si="10"/>
        <v>7302500</v>
      </c>
      <c r="Q172" s="108">
        <f>P172-'[1]Лист1'!$P$129</f>
        <v>109800</v>
      </c>
    </row>
    <row r="173" spans="1:17" s="11" customFormat="1" ht="85.5">
      <c r="A173" s="3" t="s">
        <v>439</v>
      </c>
      <c r="B173" s="5" t="s">
        <v>226</v>
      </c>
      <c r="C173" s="4" t="s">
        <v>48</v>
      </c>
      <c r="D173" s="73" t="s">
        <v>478</v>
      </c>
      <c r="E173" s="58">
        <f t="shared" si="11"/>
        <v>4137356</v>
      </c>
      <c r="F173" s="21">
        <f>4327356-190000</f>
        <v>4137356</v>
      </c>
      <c r="G173" s="21">
        <v>0</v>
      </c>
      <c r="H173" s="21">
        <v>0</v>
      </c>
      <c r="I173" s="21">
        <v>0</v>
      </c>
      <c r="J173" s="58">
        <f t="shared" si="12"/>
        <v>0</v>
      </c>
      <c r="K173" s="21">
        <v>0</v>
      </c>
      <c r="L173" s="21">
        <v>0</v>
      </c>
      <c r="M173" s="21">
        <v>0</v>
      </c>
      <c r="N173" s="21">
        <v>0</v>
      </c>
      <c r="O173" s="21">
        <v>0</v>
      </c>
      <c r="P173" s="20">
        <f t="shared" si="10"/>
        <v>4137356</v>
      </c>
      <c r="Q173" s="108">
        <f>P173-'[1]Лист1'!$P$130</f>
        <v>-190000</v>
      </c>
    </row>
    <row r="174" spans="1:16" s="11" customFormat="1" ht="208.5" customHeight="1">
      <c r="A174" s="22"/>
      <c r="B174" s="23"/>
      <c r="C174" s="24"/>
      <c r="D174" s="77" t="s">
        <v>503</v>
      </c>
      <c r="E174" s="58">
        <f t="shared" si="11"/>
        <v>4137356</v>
      </c>
      <c r="F174" s="26">
        <f>F173</f>
        <v>4137356</v>
      </c>
      <c r="G174" s="26"/>
      <c r="H174" s="26"/>
      <c r="I174" s="26"/>
      <c r="J174" s="58">
        <f t="shared" si="12"/>
        <v>0</v>
      </c>
      <c r="K174" s="26"/>
      <c r="L174" s="26"/>
      <c r="M174" s="26"/>
      <c r="N174" s="26"/>
      <c r="O174" s="26"/>
      <c r="P174" s="25">
        <f t="shared" si="10"/>
        <v>4137356</v>
      </c>
    </row>
    <row r="175" spans="1:17" s="11" customFormat="1" ht="99" customHeight="1">
      <c r="A175" s="16" t="s">
        <v>438</v>
      </c>
      <c r="B175" s="17"/>
      <c r="C175" s="18"/>
      <c r="D175" s="89" t="s">
        <v>485</v>
      </c>
      <c r="E175" s="57">
        <f t="shared" si="11"/>
        <v>145521242.45999998</v>
      </c>
      <c r="F175" s="19">
        <f>F176+F178+F181+F183+F185+F187</f>
        <v>145521242.45999998</v>
      </c>
      <c r="G175" s="19">
        <f>G176+G178+G181+G183+G185+G187</f>
        <v>0</v>
      </c>
      <c r="H175" s="19">
        <f>H176+H178+H181+H183+H185+H187</f>
        <v>0</v>
      </c>
      <c r="I175" s="19">
        <f>I176+I178+I181+I183+I185+I187</f>
        <v>0</v>
      </c>
      <c r="J175" s="57">
        <f t="shared" si="12"/>
        <v>0</v>
      </c>
      <c r="K175" s="19">
        <f>K176+K178+K181+K183+K185+K187</f>
        <v>0</v>
      </c>
      <c r="L175" s="19">
        <f>L176+L178+L181+L183+L185+L187</f>
        <v>0</v>
      </c>
      <c r="M175" s="19">
        <f>M176+M178+M181+M183+M185+M187</f>
        <v>0</v>
      </c>
      <c r="N175" s="19">
        <f>N176+N178+N181+N183+N185+N187</f>
        <v>0</v>
      </c>
      <c r="O175" s="19">
        <f>O176+O178+O181+O183+O185+O187</f>
        <v>0</v>
      </c>
      <c r="P175" s="19">
        <f t="shared" si="10"/>
        <v>145521242.45999998</v>
      </c>
      <c r="Q175" s="108">
        <f>P175-'[1]Лист1'!$P$132</f>
        <v>44162057.45999998</v>
      </c>
    </row>
    <row r="176" spans="1:16" s="11" customFormat="1" ht="270">
      <c r="A176" s="22" t="s">
        <v>440</v>
      </c>
      <c r="B176" s="23" t="s">
        <v>227</v>
      </c>
      <c r="C176" s="24" t="s">
        <v>186</v>
      </c>
      <c r="D176" s="90" t="s">
        <v>481</v>
      </c>
      <c r="E176" s="59">
        <f t="shared" si="11"/>
        <v>7970984.950000001</v>
      </c>
      <c r="F176" s="26">
        <f>16215000+99973.34-11431087.77+48740.33+85109.69+69483.65+138194.2-138194.2+2883765.71</f>
        <v>7970984.950000001</v>
      </c>
      <c r="G176" s="26">
        <v>0</v>
      </c>
      <c r="H176" s="26">
        <v>0</v>
      </c>
      <c r="I176" s="26">
        <v>0</v>
      </c>
      <c r="J176" s="59">
        <f t="shared" si="12"/>
        <v>0</v>
      </c>
      <c r="K176" s="26">
        <v>0</v>
      </c>
      <c r="L176" s="26">
        <v>0</v>
      </c>
      <c r="M176" s="26">
        <v>0</v>
      </c>
      <c r="N176" s="26">
        <v>0</v>
      </c>
      <c r="O176" s="26">
        <v>0</v>
      </c>
      <c r="P176" s="25">
        <f t="shared" si="10"/>
        <v>7970984.950000001</v>
      </c>
    </row>
    <row r="177" spans="1:16" s="11" customFormat="1" ht="135">
      <c r="A177" s="22"/>
      <c r="B177" s="23"/>
      <c r="C177" s="24"/>
      <c r="D177" s="90" t="s">
        <v>506</v>
      </c>
      <c r="E177" s="59">
        <f t="shared" si="11"/>
        <v>7970984.950000001</v>
      </c>
      <c r="F177" s="26">
        <f>F176</f>
        <v>7970984.950000001</v>
      </c>
      <c r="G177" s="35"/>
      <c r="H177" s="35"/>
      <c r="I177" s="35"/>
      <c r="J177" s="59">
        <f t="shared" si="12"/>
        <v>0</v>
      </c>
      <c r="K177" s="35"/>
      <c r="L177" s="35"/>
      <c r="M177" s="35"/>
      <c r="N177" s="35"/>
      <c r="O177" s="35"/>
      <c r="P177" s="25">
        <f t="shared" si="10"/>
        <v>7970984.950000001</v>
      </c>
    </row>
    <row r="178" spans="1:16" s="11" customFormat="1" ht="345">
      <c r="A178" s="165" t="s">
        <v>441</v>
      </c>
      <c r="B178" s="167" t="s">
        <v>228</v>
      </c>
      <c r="C178" s="170" t="s">
        <v>186</v>
      </c>
      <c r="D178" s="83" t="s">
        <v>482</v>
      </c>
      <c r="E178" s="162">
        <f>F178+I178</f>
        <v>604922.31</v>
      </c>
      <c r="F178" s="180">
        <f>1527500+9162.79-1180844.9+5430.98+8592.03+6044.67+11338.45-11338.45+229036.74</f>
        <v>604922.31</v>
      </c>
      <c r="G178" s="180">
        <v>0</v>
      </c>
      <c r="H178" s="180">
        <v>0</v>
      </c>
      <c r="I178" s="180">
        <v>0</v>
      </c>
      <c r="J178" s="162">
        <f>K178+N178</f>
        <v>0</v>
      </c>
      <c r="K178" s="180">
        <v>0</v>
      </c>
      <c r="L178" s="180">
        <v>0</v>
      </c>
      <c r="M178" s="180">
        <v>0</v>
      </c>
      <c r="N178" s="180">
        <v>0</v>
      </c>
      <c r="O178" s="180">
        <v>0</v>
      </c>
      <c r="P178" s="190">
        <f t="shared" si="10"/>
        <v>604922.31</v>
      </c>
    </row>
    <row r="179" spans="1:16" s="11" customFormat="1" ht="409.5">
      <c r="A179" s="166"/>
      <c r="B179" s="168"/>
      <c r="C179" s="171"/>
      <c r="D179" s="84" t="s">
        <v>483</v>
      </c>
      <c r="E179" s="162"/>
      <c r="F179" s="181"/>
      <c r="G179" s="181"/>
      <c r="H179" s="181"/>
      <c r="I179" s="181"/>
      <c r="J179" s="162"/>
      <c r="K179" s="181"/>
      <c r="L179" s="181"/>
      <c r="M179" s="181"/>
      <c r="N179" s="181"/>
      <c r="O179" s="181"/>
      <c r="P179" s="191"/>
    </row>
    <row r="180" spans="1:16" s="11" customFormat="1" ht="135">
      <c r="A180" s="36"/>
      <c r="B180" s="37"/>
      <c r="C180" s="38"/>
      <c r="D180" s="82" t="s">
        <v>506</v>
      </c>
      <c r="E180" s="59">
        <f>F180+I180</f>
        <v>604922.31</v>
      </c>
      <c r="F180" s="39">
        <f>F178</f>
        <v>604922.31</v>
      </c>
      <c r="G180" s="39"/>
      <c r="H180" s="39"/>
      <c r="I180" s="39"/>
      <c r="J180" s="59">
        <f>K180+N180</f>
        <v>0</v>
      </c>
      <c r="K180" s="39"/>
      <c r="L180" s="39"/>
      <c r="M180" s="39"/>
      <c r="N180" s="39"/>
      <c r="O180" s="39"/>
      <c r="P180" s="40">
        <f>E180+J180</f>
        <v>604922.31</v>
      </c>
    </row>
    <row r="181" spans="1:16" s="11" customFormat="1" ht="122.25" customHeight="1">
      <c r="A181" s="22" t="s">
        <v>442</v>
      </c>
      <c r="B181" s="23" t="s">
        <v>229</v>
      </c>
      <c r="C181" s="24" t="s">
        <v>189</v>
      </c>
      <c r="D181" s="85" t="s">
        <v>230</v>
      </c>
      <c r="E181" s="59">
        <f aca="true" t="shared" si="15" ref="E181:E197">F181+I181</f>
        <v>750713.2299999997</v>
      </c>
      <c r="F181" s="26">
        <f>2010700+12998.4-1582913.86+5405.04+9671.97+8345.32+16011.59-16011.59+286506.36</f>
        <v>750713.2299999997</v>
      </c>
      <c r="G181" s="26">
        <v>0</v>
      </c>
      <c r="H181" s="26">
        <v>0</v>
      </c>
      <c r="I181" s="26">
        <v>0</v>
      </c>
      <c r="J181" s="59">
        <f aca="true" t="shared" si="16" ref="J181:J204">K181+N181</f>
        <v>0</v>
      </c>
      <c r="K181" s="26">
        <v>0</v>
      </c>
      <c r="L181" s="26">
        <v>0</v>
      </c>
      <c r="M181" s="26">
        <v>0</v>
      </c>
      <c r="N181" s="26">
        <v>0</v>
      </c>
      <c r="O181" s="26">
        <v>0</v>
      </c>
      <c r="P181" s="25">
        <f t="shared" si="10"/>
        <v>750713.2299999997</v>
      </c>
    </row>
    <row r="182" spans="1:16" s="11" customFormat="1" ht="135">
      <c r="A182" s="22"/>
      <c r="B182" s="23"/>
      <c r="C182" s="24"/>
      <c r="D182" s="82" t="s">
        <v>506</v>
      </c>
      <c r="E182" s="59">
        <f t="shared" si="15"/>
        <v>750713.2299999997</v>
      </c>
      <c r="F182" s="26">
        <f>F181</f>
        <v>750713.2299999997</v>
      </c>
      <c r="G182" s="26"/>
      <c r="H182" s="26"/>
      <c r="I182" s="26"/>
      <c r="J182" s="59">
        <f t="shared" si="16"/>
        <v>0</v>
      </c>
      <c r="K182" s="26"/>
      <c r="L182" s="26"/>
      <c r="M182" s="26"/>
      <c r="N182" s="26"/>
      <c r="O182" s="26"/>
      <c r="P182" s="25">
        <f t="shared" si="10"/>
        <v>750713.2299999997</v>
      </c>
    </row>
    <row r="183" spans="1:16" s="11" customFormat="1" ht="225.75" customHeight="1">
      <c r="A183" s="22" t="s">
        <v>443</v>
      </c>
      <c r="B183" s="23" t="s">
        <v>231</v>
      </c>
      <c r="C183" s="24" t="s">
        <v>189</v>
      </c>
      <c r="D183" s="86" t="s">
        <v>484</v>
      </c>
      <c r="E183" s="59">
        <f t="shared" si="15"/>
        <v>29079.729999999996</v>
      </c>
      <c r="F183" s="26">
        <f>29200+64.26-17732.86+64.26+81-81+17484.07</f>
        <v>29079.729999999996</v>
      </c>
      <c r="G183" s="26">
        <v>0</v>
      </c>
      <c r="H183" s="26">
        <v>0</v>
      </c>
      <c r="I183" s="26">
        <v>0</v>
      </c>
      <c r="J183" s="59">
        <f t="shared" si="16"/>
        <v>0</v>
      </c>
      <c r="K183" s="26">
        <v>0</v>
      </c>
      <c r="L183" s="26">
        <v>0</v>
      </c>
      <c r="M183" s="26">
        <v>0</v>
      </c>
      <c r="N183" s="26">
        <v>0</v>
      </c>
      <c r="O183" s="26">
        <v>0</v>
      </c>
      <c r="P183" s="25">
        <f t="shared" si="10"/>
        <v>29079.729999999996</v>
      </c>
    </row>
    <row r="184" spans="1:16" s="11" customFormat="1" ht="135">
      <c r="A184" s="22"/>
      <c r="B184" s="23"/>
      <c r="C184" s="24"/>
      <c r="D184" s="82" t="s">
        <v>506</v>
      </c>
      <c r="E184" s="59">
        <f t="shared" si="15"/>
        <v>29079.729999999996</v>
      </c>
      <c r="F184" s="26">
        <f>F183</f>
        <v>29079.729999999996</v>
      </c>
      <c r="G184" s="26"/>
      <c r="H184" s="26"/>
      <c r="I184" s="26"/>
      <c r="J184" s="59">
        <f t="shared" si="16"/>
        <v>0</v>
      </c>
      <c r="K184" s="26"/>
      <c r="L184" s="26"/>
      <c r="M184" s="26"/>
      <c r="N184" s="26"/>
      <c r="O184" s="26"/>
      <c r="P184" s="25">
        <f t="shared" si="10"/>
        <v>29079.729999999996</v>
      </c>
    </row>
    <row r="185" spans="1:16" s="11" customFormat="1" ht="30">
      <c r="A185" s="22" t="s">
        <v>444</v>
      </c>
      <c r="B185" s="23" t="s">
        <v>232</v>
      </c>
      <c r="C185" s="24" t="s">
        <v>189</v>
      </c>
      <c r="D185" s="87" t="s">
        <v>233</v>
      </c>
      <c r="E185" s="59">
        <f t="shared" si="15"/>
        <v>741688.7599999998</v>
      </c>
      <c r="F185" s="26">
        <f>2810600+13989.42-2397174.24+8634.92+16020.68+8639.46+21536.71-21536.71+280978.52</f>
        <v>741688.7599999998</v>
      </c>
      <c r="G185" s="26">
        <v>0</v>
      </c>
      <c r="H185" s="26">
        <v>0</v>
      </c>
      <c r="I185" s="26">
        <v>0</v>
      </c>
      <c r="J185" s="59">
        <f t="shared" si="16"/>
        <v>0</v>
      </c>
      <c r="K185" s="26">
        <v>0</v>
      </c>
      <c r="L185" s="26">
        <v>0</v>
      </c>
      <c r="M185" s="26">
        <v>0</v>
      </c>
      <c r="N185" s="26">
        <v>0</v>
      </c>
      <c r="O185" s="26">
        <v>0</v>
      </c>
      <c r="P185" s="25">
        <f t="shared" si="10"/>
        <v>741688.7599999998</v>
      </c>
    </row>
    <row r="186" spans="1:16" s="11" customFormat="1" ht="137.25" customHeight="1">
      <c r="A186" s="22"/>
      <c r="B186" s="23"/>
      <c r="C186" s="24"/>
      <c r="D186" s="11" t="s">
        <v>506</v>
      </c>
      <c r="E186" s="59">
        <f t="shared" si="15"/>
        <v>741688.7599999998</v>
      </c>
      <c r="F186" s="26">
        <f>F185</f>
        <v>741688.7599999998</v>
      </c>
      <c r="G186" s="26"/>
      <c r="H186" s="26"/>
      <c r="I186" s="26"/>
      <c r="J186" s="59">
        <f t="shared" si="16"/>
        <v>0</v>
      </c>
      <c r="K186" s="26"/>
      <c r="L186" s="26"/>
      <c r="M186" s="26"/>
      <c r="N186" s="26"/>
      <c r="O186" s="26"/>
      <c r="P186" s="25">
        <f t="shared" si="10"/>
        <v>741688.7599999998</v>
      </c>
    </row>
    <row r="187" spans="1:16" s="11" customFormat="1" ht="45">
      <c r="A187" s="22" t="s">
        <v>445</v>
      </c>
      <c r="B187" s="23" t="s">
        <v>234</v>
      </c>
      <c r="C187" s="24" t="s">
        <v>226</v>
      </c>
      <c r="D187" s="87" t="s">
        <v>235</v>
      </c>
      <c r="E187" s="59">
        <f t="shared" si="15"/>
        <v>135423853.48</v>
      </c>
      <c r="F187" s="26">
        <f>72107000-136188.21+23268938.63-68211.27-3119394.37-4652461.63+1153484.08-149548.29+49771234.54-2751000</f>
        <v>135423853.48</v>
      </c>
      <c r="G187" s="26">
        <v>0</v>
      </c>
      <c r="H187" s="26">
        <v>0</v>
      </c>
      <c r="I187" s="26">
        <v>0</v>
      </c>
      <c r="J187" s="59">
        <f t="shared" si="16"/>
        <v>0</v>
      </c>
      <c r="K187" s="26">
        <v>0</v>
      </c>
      <c r="L187" s="26">
        <v>0</v>
      </c>
      <c r="M187" s="26">
        <v>0</v>
      </c>
      <c r="N187" s="26">
        <v>0</v>
      </c>
      <c r="O187" s="26">
        <v>0</v>
      </c>
      <c r="P187" s="25">
        <f t="shared" si="10"/>
        <v>135423853.48</v>
      </c>
    </row>
    <row r="188" spans="1:16" s="11" customFormat="1" ht="145.5" customHeight="1">
      <c r="A188" s="22"/>
      <c r="B188" s="23"/>
      <c r="C188" s="24"/>
      <c r="D188" s="11" t="s">
        <v>506</v>
      </c>
      <c r="E188" s="59">
        <f>F188+I188</f>
        <v>135423853.48</v>
      </c>
      <c r="F188" s="26">
        <f>F187</f>
        <v>135423853.48</v>
      </c>
      <c r="G188" s="26"/>
      <c r="H188" s="26"/>
      <c r="I188" s="26"/>
      <c r="J188" s="59">
        <f>K188+N188</f>
        <v>0</v>
      </c>
      <c r="K188" s="26"/>
      <c r="L188" s="26"/>
      <c r="M188" s="26"/>
      <c r="N188" s="26"/>
      <c r="O188" s="26"/>
      <c r="P188" s="25">
        <f t="shared" si="10"/>
        <v>135423853.48</v>
      </c>
    </row>
    <row r="189" spans="1:17" s="11" customFormat="1" ht="57">
      <c r="A189" s="16" t="s">
        <v>446</v>
      </c>
      <c r="B189" s="17"/>
      <c r="C189" s="18"/>
      <c r="D189" s="88" t="s">
        <v>236</v>
      </c>
      <c r="E189" s="57">
        <f t="shared" si="15"/>
        <v>126740</v>
      </c>
      <c r="F189" s="19">
        <f>F190+F194+F196+F192</f>
        <v>126740</v>
      </c>
      <c r="G189" s="19">
        <f>G190+G194+G196</f>
        <v>0</v>
      </c>
      <c r="H189" s="19">
        <f>H190+H194+H196</f>
        <v>0</v>
      </c>
      <c r="I189" s="19">
        <f>I190+I194+I196</f>
        <v>0</v>
      </c>
      <c r="J189" s="57">
        <f t="shared" si="16"/>
        <v>0</v>
      </c>
      <c r="K189" s="19">
        <f>K190+K194+K196</f>
        <v>0</v>
      </c>
      <c r="L189" s="19">
        <f>L190+L194+L196</f>
        <v>0</v>
      </c>
      <c r="M189" s="19">
        <f>M190+M194+M196</f>
        <v>0</v>
      </c>
      <c r="N189" s="19">
        <f>N190+N194+N196</f>
        <v>0</v>
      </c>
      <c r="O189" s="19">
        <f>O190+O194+O196</f>
        <v>0</v>
      </c>
      <c r="P189" s="19">
        <f t="shared" si="10"/>
        <v>126740</v>
      </c>
      <c r="Q189" s="108">
        <f>P189-'[1]Лист1'!$P$146</f>
        <v>0</v>
      </c>
    </row>
    <row r="190" spans="1:16" s="11" customFormat="1" ht="225">
      <c r="A190" s="22" t="s">
        <v>447</v>
      </c>
      <c r="B190" s="23" t="s">
        <v>237</v>
      </c>
      <c r="C190" s="24" t="s">
        <v>186</v>
      </c>
      <c r="D190" s="87" t="s">
        <v>487</v>
      </c>
      <c r="E190" s="59">
        <f t="shared" si="15"/>
        <v>34520</v>
      </c>
      <c r="F190" s="26">
        <v>34520</v>
      </c>
      <c r="G190" s="26">
        <v>0</v>
      </c>
      <c r="H190" s="26">
        <v>0</v>
      </c>
      <c r="I190" s="26">
        <v>0</v>
      </c>
      <c r="J190" s="59">
        <f t="shared" si="16"/>
        <v>0</v>
      </c>
      <c r="K190" s="26">
        <v>0</v>
      </c>
      <c r="L190" s="26">
        <v>0</v>
      </c>
      <c r="M190" s="26">
        <v>0</v>
      </c>
      <c r="N190" s="26">
        <v>0</v>
      </c>
      <c r="O190" s="26">
        <v>0</v>
      </c>
      <c r="P190" s="25">
        <f t="shared" si="10"/>
        <v>34520</v>
      </c>
    </row>
    <row r="191" spans="1:16" s="11" customFormat="1" ht="79.5" customHeight="1">
      <c r="A191" s="22"/>
      <c r="B191" s="23"/>
      <c r="C191" s="24"/>
      <c r="D191" s="11" t="s">
        <v>505</v>
      </c>
      <c r="E191" s="59">
        <f t="shared" si="15"/>
        <v>34520</v>
      </c>
      <c r="F191" s="26">
        <f>F190</f>
        <v>34520</v>
      </c>
      <c r="G191" s="26"/>
      <c r="H191" s="26"/>
      <c r="I191" s="26"/>
      <c r="J191" s="59">
        <f t="shared" si="16"/>
        <v>0</v>
      </c>
      <c r="K191" s="26"/>
      <c r="L191" s="26"/>
      <c r="M191" s="26"/>
      <c r="N191" s="26"/>
      <c r="O191" s="26"/>
      <c r="P191" s="25">
        <f t="shared" si="10"/>
        <v>34520</v>
      </c>
    </row>
    <row r="192" spans="1:16" s="11" customFormat="1" ht="95.25" customHeight="1">
      <c r="A192" s="22" t="s">
        <v>568</v>
      </c>
      <c r="B192" s="23" t="s">
        <v>567</v>
      </c>
      <c r="C192" s="24" t="s">
        <v>186</v>
      </c>
      <c r="D192" s="90" t="s">
        <v>569</v>
      </c>
      <c r="E192" s="59">
        <f t="shared" si="15"/>
        <v>1112</v>
      </c>
      <c r="F192" s="26">
        <f aca="true" t="shared" si="17" ref="F192:O192">F193</f>
        <v>1112</v>
      </c>
      <c r="G192" s="26">
        <f t="shared" si="17"/>
        <v>0</v>
      </c>
      <c r="H192" s="26">
        <f t="shared" si="17"/>
        <v>0</v>
      </c>
      <c r="I192" s="26">
        <f t="shared" si="17"/>
        <v>0</v>
      </c>
      <c r="J192" s="26">
        <f t="shared" si="17"/>
        <v>0</v>
      </c>
      <c r="K192" s="26">
        <f t="shared" si="17"/>
        <v>0</v>
      </c>
      <c r="L192" s="26">
        <f t="shared" si="17"/>
        <v>0</v>
      </c>
      <c r="M192" s="26">
        <f t="shared" si="17"/>
        <v>0</v>
      </c>
      <c r="N192" s="26">
        <f t="shared" si="17"/>
        <v>0</v>
      </c>
      <c r="O192" s="26">
        <f t="shared" si="17"/>
        <v>0</v>
      </c>
      <c r="P192" s="25">
        <f t="shared" si="10"/>
        <v>1112</v>
      </c>
    </row>
    <row r="193" spans="1:16" s="11" customFormat="1" ht="79.5" customHeight="1">
      <c r="A193" s="22"/>
      <c r="B193" s="23"/>
      <c r="C193" s="24"/>
      <c r="D193" s="11" t="s">
        <v>505</v>
      </c>
      <c r="E193" s="59">
        <f t="shared" si="15"/>
        <v>1112</v>
      </c>
      <c r="F193" s="26">
        <v>1112</v>
      </c>
      <c r="G193" s="26"/>
      <c r="H193" s="26"/>
      <c r="I193" s="26"/>
      <c r="J193" s="59"/>
      <c r="K193" s="26"/>
      <c r="L193" s="26"/>
      <c r="M193" s="26"/>
      <c r="N193" s="26"/>
      <c r="O193" s="26"/>
      <c r="P193" s="25">
        <f t="shared" si="10"/>
        <v>1112</v>
      </c>
    </row>
    <row r="194" spans="1:16" s="11" customFormat="1" ht="45">
      <c r="A194" s="22" t="s">
        <v>448</v>
      </c>
      <c r="B194" s="23" t="s">
        <v>238</v>
      </c>
      <c r="C194" s="24" t="s">
        <v>189</v>
      </c>
      <c r="D194" s="87" t="s">
        <v>239</v>
      </c>
      <c r="E194" s="59">
        <f t="shared" si="15"/>
        <v>11220</v>
      </c>
      <c r="F194" s="26">
        <v>11220</v>
      </c>
      <c r="G194" s="26">
        <v>0</v>
      </c>
      <c r="H194" s="26">
        <v>0</v>
      </c>
      <c r="I194" s="26">
        <v>0</v>
      </c>
      <c r="J194" s="59">
        <f t="shared" si="16"/>
        <v>0</v>
      </c>
      <c r="K194" s="26">
        <v>0</v>
      </c>
      <c r="L194" s="26">
        <v>0</v>
      </c>
      <c r="M194" s="26">
        <v>0</v>
      </c>
      <c r="N194" s="26">
        <v>0</v>
      </c>
      <c r="O194" s="26">
        <v>0</v>
      </c>
      <c r="P194" s="25">
        <f t="shared" si="10"/>
        <v>11220</v>
      </c>
    </row>
    <row r="195" spans="1:16" s="11" customFormat="1" ht="75">
      <c r="A195" s="22"/>
      <c r="B195" s="23"/>
      <c r="C195" s="24"/>
      <c r="D195" s="11" t="s">
        <v>505</v>
      </c>
      <c r="E195" s="59">
        <f>F195+I195</f>
        <v>11220</v>
      </c>
      <c r="F195" s="26">
        <f>F194</f>
        <v>11220</v>
      </c>
      <c r="G195" s="26"/>
      <c r="H195" s="26"/>
      <c r="I195" s="26"/>
      <c r="J195" s="59">
        <f>K195+N195</f>
        <v>0</v>
      </c>
      <c r="K195" s="26"/>
      <c r="L195" s="26"/>
      <c r="M195" s="26"/>
      <c r="N195" s="26"/>
      <c r="O195" s="26"/>
      <c r="P195" s="25">
        <f t="shared" si="10"/>
        <v>11220</v>
      </c>
    </row>
    <row r="196" spans="1:16" s="11" customFormat="1" ht="60">
      <c r="A196" s="22" t="s">
        <v>449</v>
      </c>
      <c r="B196" s="23" t="s">
        <v>240</v>
      </c>
      <c r="C196" s="24" t="s">
        <v>226</v>
      </c>
      <c r="D196" s="87" t="s">
        <v>241</v>
      </c>
      <c r="E196" s="59">
        <f t="shared" si="15"/>
        <v>79888</v>
      </c>
      <c r="F196" s="26">
        <f>81000-1112</f>
        <v>79888</v>
      </c>
      <c r="G196" s="26">
        <v>0</v>
      </c>
      <c r="H196" s="26">
        <v>0</v>
      </c>
      <c r="I196" s="26">
        <v>0</v>
      </c>
      <c r="J196" s="59">
        <f t="shared" si="16"/>
        <v>0</v>
      </c>
      <c r="K196" s="26">
        <v>0</v>
      </c>
      <c r="L196" s="26">
        <v>0</v>
      </c>
      <c r="M196" s="26">
        <v>0</v>
      </c>
      <c r="N196" s="26">
        <v>0</v>
      </c>
      <c r="O196" s="26">
        <v>0</v>
      </c>
      <c r="P196" s="25">
        <f t="shared" si="10"/>
        <v>79888</v>
      </c>
    </row>
    <row r="197" spans="1:16" s="11" customFormat="1" ht="75">
      <c r="A197" s="22"/>
      <c r="B197" s="23"/>
      <c r="C197" s="24"/>
      <c r="D197" s="11" t="s">
        <v>505</v>
      </c>
      <c r="E197" s="59">
        <f t="shared" si="15"/>
        <v>79888</v>
      </c>
      <c r="F197" s="26">
        <f>F196</f>
        <v>79888</v>
      </c>
      <c r="G197" s="26"/>
      <c r="H197" s="26"/>
      <c r="I197" s="26"/>
      <c r="J197" s="59">
        <f t="shared" si="16"/>
        <v>0</v>
      </c>
      <c r="K197" s="26"/>
      <c r="L197" s="26"/>
      <c r="M197" s="26"/>
      <c r="N197" s="26"/>
      <c r="O197" s="26"/>
      <c r="P197" s="25">
        <f t="shared" si="10"/>
        <v>79888</v>
      </c>
    </row>
    <row r="198" spans="1:17" s="11" customFormat="1" ht="57">
      <c r="A198" s="16" t="s">
        <v>450</v>
      </c>
      <c r="B198" s="17"/>
      <c r="C198" s="18"/>
      <c r="D198" s="88" t="s">
        <v>242</v>
      </c>
      <c r="E198" s="57">
        <f aca="true" t="shared" si="18" ref="E198:E204">F198+I198</f>
        <v>91620133.07</v>
      </c>
      <c r="F198" s="19">
        <f>F199+F201+F203+F205+F207+F209+F211+F213+F215</f>
        <v>91620133.07</v>
      </c>
      <c r="G198" s="19">
        <f>G199+G201+G203+G205+G207+G209+G211+G213+G215</f>
        <v>0</v>
      </c>
      <c r="H198" s="19">
        <f>H199+H201+H203+H205+H207+H209+H211+H213+H215</f>
        <v>0</v>
      </c>
      <c r="I198" s="19">
        <f>I199+I201+I203+I205+I207+I209+I211+I213+I215</f>
        <v>0</v>
      </c>
      <c r="J198" s="57">
        <f t="shared" si="16"/>
        <v>0</v>
      </c>
      <c r="K198" s="19">
        <f>K199+K201+K203+K205+K207+K209+K211+K213+K215</f>
        <v>0</v>
      </c>
      <c r="L198" s="19">
        <f>L199+L201+L203+L205+L207+L209+L211+L213+L215</f>
        <v>0</v>
      </c>
      <c r="M198" s="19">
        <f>M199+M201+M203+M205+M207+M209+M211+M213+M215</f>
        <v>0</v>
      </c>
      <c r="N198" s="19">
        <f>N199+N201+N203+N205+N207+N209+N211+N213+N215</f>
        <v>0</v>
      </c>
      <c r="O198" s="19">
        <f>O199+O201+O203+O205+O207+O209+O211+O213+O215</f>
        <v>0</v>
      </c>
      <c r="P198" s="19">
        <f t="shared" si="10"/>
        <v>91620133.07</v>
      </c>
      <c r="Q198" s="108">
        <f>P198-'[1]Лист1'!$P$153</f>
        <v>426833.06999999285</v>
      </c>
    </row>
    <row r="199" spans="1:16" s="11" customFormat="1" ht="30">
      <c r="A199" s="22" t="s">
        <v>451</v>
      </c>
      <c r="B199" s="23" t="s">
        <v>243</v>
      </c>
      <c r="C199" s="24" t="s">
        <v>57</v>
      </c>
      <c r="D199" s="87" t="s">
        <v>244</v>
      </c>
      <c r="E199" s="59">
        <f t="shared" si="18"/>
        <v>730450</v>
      </c>
      <c r="F199" s="26">
        <f>830500-100050</f>
        <v>730450</v>
      </c>
      <c r="G199" s="26">
        <v>0</v>
      </c>
      <c r="H199" s="26">
        <v>0</v>
      </c>
      <c r="I199" s="26">
        <v>0</v>
      </c>
      <c r="J199" s="59">
        <f t="shared" si="16"/>
        <v>0</v>
      </c>
      <c r="K199" s="26">
        <v>0</v>
      </c>
      <c r="L199" s="26">
        <v>0</v>
      </c>
      <c r="M199" s="26">
        <v>0</v>
      </c>
      <c r="N199" s="26">
        <v>0</v>
      </c>
      <c r="O199" s="26">
        <v>0</v>
      </c>
      <c r="P199" s="25">
        <f t="shared" si="10"/>
        <v>730450</v>
      </c>
    </row>
    <row r="200" spans="1:16" s="11" customFormat="1" ht="120">
      <c r="A200" s="22"/>
      <c r="B200" s="23"/>
      <c r="C200" s="24"/>
      <c r="D200" s="11" t="s">
        <v>504</v>
      </c>
      <c r="E200" s="59">
        <f t="shared" si="18"/>
        <v>730450</v>
      </c>
      <c r="F200" s="26">
        <f>F199</f>
        <v>730450</v>
      </c>
      <c r="G200" s="26"/>
      <c r="H200" s="26"/>
      <c r="I200" s="26"/>
      <c r="J200" s="59">
        <f t="shared" si="16"/>
        <v>0</v>
      </c>
      <c r="K200" s="26"/>
      <c r="L200" s="26"/>
      <c r="M200" s="26"/>
      <c r="N200" s="26"/>
      <c r="O200" s="26"/>
      <c r="P200" s="25">
        <f t="shared" si="10"/>
        <v>730450</v>
      </c>
    </row>
    <row r="201" spans="1:16" s="11" customFormat="1" ht="30">
      <c r="A201" s="22" t="s">
        <v>452</v>
      </c>
      <c r="B201" s="23" t="s">
        <v>245</v>
      </c>
      <c r="C201" s="24" t="s">
        <v>57</v>
      </c>
      <c r="D201" s="87" t="s">
        <v>532</v>
      </c>
      <c r="E201" s="59">
        <f t="shared" si="18"/>
        <v>61017.649999999994</v>
      </c>
      <c r="F201" s="26">
        <f>301000-51640-188342.35</f>
        <v>61017.649999999994</v>
      </c>
      <c r="G201" s="26">
        <v>0</v>
      </c>
      <c r="H201" s="26">
        <v>0</v>
      </c>
      <c r="I201" s="26">
        <v>0</v>
      </c>
      <c r="J201" s="59">
        <f t="shared" si="16"/>
        <v>0</v>
      </c>
      <c r="K201" s="26">
        <v>0</v>
      </c>
      <c r="L201" s="26">
        <v>0</v>
      </c>
      <c r="M201" s="26">
        <v>0</v>
      </c>
      <c r="N201" s="26">
        <v>0</v>
      </c>
      <c r="O201" s="26">
        <v>0</v>
      </c>
      <c r="P201" s="25">
        <f t="shared" si="10"/>
        <v>61017.649999999994</v>
      </c>
    </row>
    <row r="202" spans="1:16" s="11" customFormat="1" ht="120">
      <c r="A202" s="22"/>
      <c r="B202" s="23"/>
      <c r="C202" s="24"/>
      <c r="D202" s="11" t="s">
        <v>504</v>
      </c>
      <c r="E202" s="59">
        <f t="shared" si="18"/>
        <v>61017.649999999994</v>
      </c>
      <c r="F202" s="26">
        <f>F201</f>
        <v>61017.649999999994</v>
      </c>
      <c r="G202" s="26"/>
      <c r="H202" s="26"/>
      <c r="I202" s="26"/>
      <c r="J202" s="59">
        <f t="shared" si="16"/>
        <v>0</v>
      </c>
      <c r="K202" s="26"/>
      <c r="L202" s="26"/>
      <c r="M202" s="26"/>
      <c r="N202" s="26"/>
      <c r="O202" s="26"/>
      <c r="P202" s="25">
        <f t="shared" si="10"/>
        <v>61017.649999999994</v>
      </c>
    </row>
    <row r="203" spans="1:16" s="11" customFormat="1" ht="21" customHeight="1">
      <c r="A203" s="22" t="s">
        <v>453</v>
      </c>
      <c r="B203" s="23" t="s">
        <v>246</v>
      </c>
      <c r="C203" s="24" t="s">
        <v>57</v>
      </c>
      <c r="D203" s="75" t="s">
        <v>247</v>
      </c>
      <c r="E203" s="59">
        <f t="shared" si="18"/>
        <v>38601500</v>
      </c>
      <c r="F203" s="26">
        <v>38601500</v>
      </c>
      <c r="G203" s="26">
        <v>0</v>
      </c>
      <c r="H203" s="26">
        <v>0</v>
      </c>
      <c r="I203" s="26">
        <v>0</v>
      </c>
      <c r="J203" s="59">
        <f t="shared" si="16"/>
        <v>0</v>
      </c>
      <c r="K203" s="26">
        <v>0</v>
      </c>
      <c r="L203" s="26">
        <v>0</v>
      </c>
      <c r="M203" s="26">
        <v>0</v>
      </c>
      <c r="N203" s="26">
        <v>0</v>
      </c>
      <c r="O203" s="26">
        <v>0</v>
      </c>
      <c r="P203" s="25">
        <f t="shared" si="10"/>
        <v>38601500</v>
      </c>
    </row>
    <row r="204" spans="1:16" s="11" customFormat="1" ht="120">
      <c r="A204" s="22"/>
      <c r="B204" s="23"/>
      <c r="C204" s="24"/>
      <c r="D204" s="11" t="s">
        <v>504</v>
      </c>
      <c r="E204" s="59">
        <f t="shared" si="18"/>
        <v>38601500</v>
      </c>
      <c r="F204" s="26">
        <f>F203</f>
        <v>38601500</v>
      </c>
      <c r="G204" s="26"/>
      <c r="H204" s="26"/>
      <c r="I204" s="26"/>
      <c r="J204" s="59">
        <f t="shared" si="16"/>
        <v>0</v>
      </c>
      <c r="K204" s="26"/>
      <c r="L204" s="26"/>
      <c r="M204" s="26"/>
      <c r="N204" s="26"/>
      <c r="O204" s="26"/>
      <c r="P204" s="25">
        <f t="shared" si="10"/>
        <v>38601500</v>
      </c>
    </row>
    <row r="205" spans="1:16" s="11" customFormat="1" ht="30">
      <c r="A205" s="22" t="s">
        <v>454</v>
      </c>
      <c r="B205" s="23" t="s">
        <v>248</v>
      </c>
      <c r="C205" s="24" t="s">
        <v>57</v>
      </c>
      <c r="D205" s="75" t="s">
        <v>249</v>
      </c>
      <c r="E205" s="59">
        <f>F205+I205</f>
        <v>4958762.35</v>
      </c>
      <c r="F205" s="26">
        <f>4350100+608662.35</f>
        <v>4958762.35</v>
      </c>
      <c r="G205" s="26">
        <v>0</v>
      </c>
      <c r="H205" s="26">
        <v>0</v>
      </c>
      <c r="I205" s="26">
        <v>0</v>
      </c>
      <c r="J205" s="59">
        <f>K205+N205</f>
        <v>0</v>
      </c>
      <c r="K205" s="26">
        <v>0</v>
      </c>
      <c r="L205" s="26">
        <v>0</v>
      </c>
      <c r="M205" s="26">
        <v>0</v>
      </c>
      <c r="N205" s="26">
        <v>0</v>
      </c>
      <c r="O205" s="26">
        <v>0</v>
      </c>
      <c r="P205" s="25">
        <f t="shared" si="10"/>
        <v>4958762.35</v>
      </c>
    </row>
    <row r="206" spans="1:16" s="11" customFormat="1" ht="120">
      <c r="A206" s="22"/>
      <c r="B206" s="23"/>
      <c r="C206" s="24"/>
      <c r="D206" s="11" t="s">
        <v>504</v>
      </c>
      <c r="E206" s="59">
        <f>F206</f>
        <v>4958762.35</v>
      </c>
      <c r="F206" s="26">
        <f>F205</f>
        <v>4958762.35</v>
      </c>
      <c r="G206" s="26"/>
      <c r="H206" s="26"/>
      <c r="I206" s="26"/>
      <c r="J206" s="59">
        <f>K206</f>
        <v>0</v>
      </c>
      <c r="K206" s="26"/>
      <c r="L206" s="26"/>
      <c r="M206" s="26"/>
      <c r="N206" s="26"/>
      <c r="O206" s="26"/>
      <c r="P206" s="25">
        <f t="shared" si="10"/>
        <v>4958762.35</v>
      </c>
    </row>
    <row r="207" spans="1:16" s="11" customFormat="1" ht="30">
      <c r="A207" s="22" t="s">
        <v>455</v>
      </c>
      <c r="B207" s="23" t="s">
        <v>250</v>
      </c>
      <c r="C207" s="24" t="s">
        <v>57</v>
      </c>
      <c r="D207" s="75" t="s">
        <v>251</v>
      </c>
      <c r="E207" s="59">
        <f aca="true" t="shared" si="19" ref="E207:E220">F207+I207</f>
        <v>14608323.07</v>
      </c>
      <c r="F207" s="26">
        <f>14501760+106563.07</f>
        <v>14608323.07</v>
      </c>
      <c r="G207" s="26">
        <v>0</v>
      </c>
      <c r="H207" s="26">
        <v>0</v>
      </c>
      <c r="I207" s="26">
        <v>0</v>
      </c>
      <c r="J207" s="59">
        <f aca="true" t="shared" si="20" ref="J207:J220">K207+N207</f>
        <v>0</v>
      </c>
      <c r="K207" s="26">
        <v>0</v>
      </c>
      <c r="L207" s="26">
        <v>0</v>
      </c>
      <c r="M207" s="26">
        <v>0</v>
      </c>
      <c r="N207" s="26">
        <v>0</v>
      </c>
      <c r="O207" s="26">
        <v>0</v>
      </c>
      <c r="P207" s="25">
        <f t="shared" si="10"/>
        <v>14608323.07</v>
      </c>
    </row>
    <row r="208" spans="1:16" s="11" customFormat="1" ht="120">
      <c r="A208" s="22"/>
      <c r="B208" s="23"/>
      <c r="C208" s="24"/>
      <c r="D208" s="11" t="s">
        <v>504</v>
      </c>
      <c r="E208" s="59">
        <f t="shared" si="19"/>
        <v>14608323.07</v>
      </c>
      <c r="F208" s="26">
        <f>F207</f>
        <v>14608323.07</v>
      </c>
      <c r="G208" s="26"/>
      <c r="H208" s="26"/>
      <c r="I208" s="26"/>
      <c r="J208" s="59">
        <f t="shared" si="20"/>
        <v>0</v>
      </c>
      <c r="K208" s="26"/>
      <c r="L208" s="26"/>
      <c r="M208" s="26"/>
      <c r="N208" s="26"/>
      <c r="O208" s="26"/>
      <c r="P208" s="25">
        <f t="shared" si="10"/>
        <v>14608323.07</v>
      </c>
    </row>
    <row r="209" spans="1:16" s="11" customFormat="1" ht="30">
      <c r="A209" s="22" t="s">
        <v>456</v>
      </c>
      <c r="B209" s="23" t="s">
        <v>252</v>
      </c>
      <c r="C209" s="24" t="s">
        <v>57</v>
      </c>
      <c r="D209" s="75" t="s">
        <v>253</v>
      </c>
      <c r="E209" s="59">
        <f t="shared" si="19"/>
        <v>403600</v>
      </c>
      <c r="F209" s="26">
        <v>403600</v>
      </c>
      <c r="G209" s="26">
        <v>0</v>
      </c>
      <c r="H209" s="26">
        <v>0</v>
      </c>
      <c r="I209" s="26">
        <v>0</v>
      </c>
      <c r="J209" s="59">
        <f t="shared" si="20"/>
        <v>0</v>
      </c>
      <c r="K209" s="26">
        <v>0</v>
      </c>
      <c r="L209" s="26">
        <v>0</v>
      </c>
      <c r="M209" s="26">
        <v>0</v>
      </c>
      <c r="N209" s="26">
        <v>0</v>
      </c>
      <c r="O209" s="26">
        <v>0</v>
      </c>
      <c r="P209" s="25">
        <f t="shared" si="10"/>
        <v>403600</v>
      </c>
    </row>
    <row r="210" spans="1:16" s="11" customFormat="1" ht="120">
      <c r="A210" s="22"/>
      <c r="B210" s="23"/>
      <c r="C210" s="24"/>
      <c r="D210" s="11" t="s">
        <v>504</v>
      </c>
      <c r="E210" s="59">
        <f t="shared" si="19"/>
        <v>403600</v>
      </c>
      <c r="F210" s="26">
        <f>F209</f>
        <v>403600</v>
      </c>
      <c r="G210" s="26"/>
      <c r="H210" s="26"/>
      <c r="I210" s="26"/>
      <c r="J210" s="59">
        <f t="shared" si="20"/>
        <v>0</v>
      </c>
      <c r="K210" s="26"/>
      <c r="L210" s="26"/>
      <c r="M210" s="26"/>
      <c r="N210" s="26"/>
      <c r="O210" s="26"/>
      <c r="P210" s="25">
        <f t="shared" si="10"/>
        <v>403600</v>
      </c>
    </row>
    <row r="211" spans="1:16" s="11" customFormat="1" ht="15">
      <c r="A211" s="22" t="s">
        <v>457</v>
      </c>
      <c r="B211" s="23" t="s">
        <v>254</v>
      </c>
      <c r="C211" s="24" t="s">
        <v>57</v>
      </c>
      <c r="D211" s="75" t="s">
        <v>255</v>
      </c>
      <c r="E211" s="59">
        <f t="shared" si="19"/>
        <v>144480</v>
      </c>
      <c r="F211" s="26">
        <f>92840+51640</f>
        <v>144480</v>
      </c>
      <c r="G211" s="26">
        <v>0</v>
      </c>
      <c r="H211" s="26">
        <v>0</v>
      </c>
      <c r="I211" s="26">
        <v>0</v>
      </c>
      <c r="J211" s="59">
        <f t="shared" si="20"/>
        <v>0</v>
      </c>
      <c r="K211" s="26">
        <v>0</v>
      </c>
      <c r="L211" s="26">
        <v>0</v>
      </c>
      <c r="M211" s="26">
        <v>0</v>
      </c>
      <c r="N211" s="26">
        <v>0</v>
      </c>
      <c r="O211" s="26">
        <v>0</v>
      </c>
      <c r="P211" s="25">
        <f t="shared" si="10"/>
        <v>144480</v>
      </c>
    </row>
    <row r="212" spans="1:16" s="11" customFormat="1" ht="120">
      <c r="A212" s="22"/>
      <c r="B212" s="23"/>
      <c r="C212" s="24"/>
      <c r="D212" s="11" t="s">
        <v>504</v>
      </c>
      <c r="E212" s="59">
        <f t="shared" si="19"/>
        <v>144480</v>
      </c>
      <c r="F212" s="26">
        <f>F211</f>
        <v>144480</v>
      </c>
      <c r="G212" s="26"/>
      <c r="H212" s="26"/>
      <c r="I212" s="26"/>
      <c r="J212" s="59">
        <f t="shared" si="20"/>
        <v>0</v>
      </c>
      <c r="K212" s="26"/>
      <c r="L212" s="26"/>
      <c r="M212" s="26"/>
      <c r="N212" s="26"/>
      <c r="O212" s="26"/>
      <c r="P212" s="25">
        <f t="shared" si="10"/>
        <v>144480</v>
      </c>
    </row>
    <row r="213" spans="1:16" s="11" customFormat="1" ht="30">
      <c r="A213" s="22" t="s">
        <v>458</v>
      </c>
      <c r="B213" s="23" t="s">
        <v>256</v>
      </c>
      <c r="C213" s="24" t="s">
        <v>57</v>
      </c>
      <c r="D213" s="75" t="s">
        <v>257</v>
      </c>
      <c r="E213" s="59">
        <f t="shared" si="19"/>
        <v>18601500</v>
      </c>
      <c r="F213" s="26">
        <v>18601500</v>
      </c>
      <c r="G213" s="26">
        <v>0</v>
      </c>
      <c r="H213" s="26">
        <v>0</v>
      </c>
      <c r="I213" s="26">
        <v>0</v>
      </c>
      <c r="J213" s="59">
        <f t="shared" si="20"/>
        <v>0</v>
      </c>
      <c r="K213" s="26">
        <v>0</v>
      </c>
      <c r="L213" s="26">
        <v>0</v>
      </c>
      <c r="M213" s="26">
        <v>0</v>
      </c>
      <c r="N213" s="26">
        <v>0</v>
      </c>
      <c r="O213" s="26">
        <v>0</v>
      </c>
      <c r="P213" s="25">
        <f t="shared" si="10"/>
        <v>18601500</v>
      </c>
    </row>
    <row r="214" spans="1:16" s="11" customFormat="1" ht="120">
      <c r="A214" s="22"/>
      <c r="B214" s="23"/>
      <c r="C214" s="24"/>
      <c r="D214" s="11" t="s">
        <v>504</v>
      </c>
      <c r="E214" s="59">
        <f t="shared" si="19"/>
        <v>18601500</v>
      </c>
      <c r="F214" s="26">
        <f>F213</f>
        <v>18601500</v>
      </c>
      <c r="G214" s="26"/>
      <c r="H214" s="26"/>
      <c r="I214" s="26"/>
      <c r="J214" s="59">
        <f t="shared" si="20"/>
        <v>0</v>
      </c>
      <c r="K214" s="26"/>
      <c r="L214" s="26"/>
      <c r="M214" s="26"/>
      <c r="N214" s="26"/>
      <c r="O214" s="26"/>
      <c r="P214" s="25">
        <f t="shared" si="10"/>
        <v>18601500</v>
      </c>
    </row>
    <row r="215" spans="1:16" s="11" customFormat="1" ht="30">
      <c r="A215" s="22" t="s">
        <v>459</v>
      </c>
      <c r="B215" s="23" t="s">
        <v>258</v>
      </c>
      <c r="C215" s="24" t="s">
        <v>49</v>
      </c>
      <c r="D215" s="75" t="s">
        <v>259</v>
      </c>
      <c r="E215" s="59">
        <f t="shared" si="19"/>
        <v>13510500</v>
      </c>
      <c r="F215" s="26">
        <v>13510500</v>
      </c>
      <c r="G215" s="26">
        <v>0</v>
      </c>
      <c r="H215" s="26">
        <v>0</v>
      </c>
      <c r="I215" s="26">
        <v>0</v>
      </c>
      <c r="J215" s="59">
        <f t="shared" si="20"/>
        <v>0</v>
      </c>
      <c r="K215" s="26">
        <v>0</v>
      </c>
      <c r="L215" s="26">
        <v>0</v>
      </c>
      <c r="M215" s="26">
        <v>0</v>
      </c>
      <c r="N215" s="26">
        <v>0</v>
      </c>
      <c r="O215" s="26">
        <v>0</v>
      </c>
      <c r="P215" s="25">
        <f t="shared" si="10"/>
        <v>13510500</v>
      </c>
    </row>
    <row r="216" spans="1:16" s="11" customFormat="1" ht="120">
      <c r="A216" s="22"/>
      <c r="B216" s="23"/>
      <c r="C216" s="24"/>
      <c r="D216" s="11" t="s">
        <v>504</v>
      </c>
      <c r="E216" s="59">
        <f t="shared" si="19"/>
        <v>13510500</v>
      </c>
      <c r="F216" s="26">
        <f>F215</f>
        <v>13510500</v>
      </c>
      <c r="G216" s="26"/>
      <c r="H216" s="26"/>
      <c r="I216" s="26"/>
      <c r="J216" s="59">
        <f t="shared" si="20"/>
        <v>0</v>
      </c>
      <c r="K216" s="26"/>
      <c r="L216" s="26"/>
      <c r="M216" s="26"/>
      <c r="N216" s="26"/>
      <c r="O216" s="26"/>
      <c r="P216" s="25">
        <f t="shared" si="10"/>
        <v>13510500</v>
      </c>
    </row>
    <row r="217" spans="1:16" s="11" customFormat="1" ht="42.75">
      <c r="A217" s="3" t="s">
        <v>460</v>
      </c>
      <c r="B217" s="5" t="s">
        <v>260</v>
      </c>
      <c r="C217" s="4" t="s">
        <v>49</v>
      </c>
      <c r="D217" s="73" t="s">
        <v>533</v>
      </c>
      <c r="E217" s="58">
        <f t="shared" si="19"/>
        <v>4082666.93</v>
      </c>
      <c r="F217" s="21">
        <f>4509500-426833.07</f>
        <v>4082666.93</v>
      </c>
      <c r="G217" s="21">
        <v>0</v>
      </c>
      <c r="H217" s="21">
        <v>0</v>
      </c>
      <c r="I217" s="21">
        <v>0</v>
      </c>
      <c r="J217" s="58">
        <f t="shared" si="20"/>
        <v>0</v>
      </c>
      <c r="K217" s="21">
        <v>0</v>
      </c>
      <c r="L217" s="21">
        <v>0</v>
      </c>
      <c r="M217" s="21">
        <v>0</v>
      </c>
      <c r="N217" s="21">
        <v>0</v>
      </c>
      <c r="O217" s="21">
        <v>0</v>
      </c>
      <c r="P217" s="20">
        <f t="shared" si="10"/>
        <v>4082666.93</v>
      </c>
    </row>
    <row r="218" spans="1:16" s="11" customFormat="1" ht="120">
      <c r="A218" s="22"/>
      <c r="B218" s="23"/>
      <c r="C218" s="24"/>
      <c r="D218" s="11" t="s">
        <v>504</v>
      </c>
      <c r="E218" s="59">
        <f t="shared" si="19"/>
        <v>4082666.93</v>
      </c>
      <c r="F218" s="26">
        <f>F217</f>
        <v>4082666.93</v>
      </c>
      <c r="G218" s="26"/>
      <c r="H218" s="26"/>
      <c r="I218" s="26"/>
      <c r="J218" s="59">
        <f t="shared" si="20"/>
        <v>0</v>
      </c>
      <c r="K218" s="26"/>
      <c r="L218" s="26"/>
      <c r="M218" s="26"/>
      <c r="N218" s="26"/>
      <c r="O218" s="26"/>
      <c r="P218" s="25">
        <f t="shared" si="10"/>
        <v>4082666.93</v>
      </c>
    </row>
    <row r="219" spans="1:17" s="11" customFormat="1" ht="42.75">
      <c r="A219" s="16" t="s">
        <v>461</v>
      </c>
      <c r="B219" s="17"/>
      <c r="C219" s="18"/>
      <c r="D219" s="74" t="s">
        <v>261</v>
      </c>
      <c r="E219" s="57">
        <f t="shared" si="19"/>
        <v>5475720</v>
      </c>
      <c r="F219" s="19">
        <f>F220</f>
        <v>5475720</v>
      </c>
      <c r="G219" s="19">
        <f>G220</f>
        <v>3903000</v>
      </c>
      <c r="H219" s="19">
        <f>H220</f>
        <v>331900</v>
      </c>
      <c r="I219" s="19">
        <f>I220</f>
        <v>0</v>
      </c>
      <c r="J219" s="57">
        <f t="shared" si="20"/>
        <v>170940</v>
      </c>
      <c r="K219" s="19">
        <f>K220</f>
        <v>61560</v>
      </c>
      <c r="L219" s="19">
        <f>L220</f>
        <v>48000</v>
      </c>
      <c r="M219" s="19">
        <f>M220</f>
        <v>0</v>
      </c>
      <c r="N219" s="19">
        <f>N220</f>
        <v>109380</v>
      </c>
      <c r="O219" s="19">
        <f>O220</f>
        <v>109380</v>
      </c>
      <c r="P219" s="19">
        <f t="shared" si="10"/>
        <v>5646660</v>
      </c>
      <c r="Q219" s="108">
        <f>P219-'[1]Лист1'!$P$174</f>
        <v>131000</v>
      </c>
    </row>
    <row r="220" spans="1:16" s="11" customFormat="1" ht="60">
      <c r="A220" s="22" t="s">
        <v>462</v>
      </c>
      <c r="B220" s="23" t="s">
        <v>262</v>
      </c>
      <c r="C220" s="24" t="s">
        <v>53</v>
      </c>
      <c r="D220" s="75" t="s">
        <v>263</v>
      </c>
      <c r="E220" s="59">
        <f t="shared" si="19"/>
        <v>5475720</v>
      </c>
      <c r="F220" s="26">
        <f>5354100+11000+50000+27700+6500+26420</f>
        <v>5475720</v>
      </c>
      <c r="G220" s="26">
        <v>3903000</v>
      </c>
      <c r="H220" s="26">
        <v>331900</v>
      </c>
      <c r="I220" s="26">
        <v>0</v>
      </c>
      <c r="J220" s="59">
        <f t="shared" si="20"/>
        <v>170940</v>
      </c>
      <c r="K220" s="26">
        <v>61560</v>
      </c>
      <c r="L220" s="26">
        <v>48000</v>
      </c>
      <c r="M220" s="26">
        <v>0</v>
      </c>
      <c r="N220" s="26">
        <f>100000+35800-26420</f>
        <v>109380</v>
      </c>
      <c r="O220" s="26">
        <f>100000+35800-26420</f>
        <v>109380</v>
      </c>
      <c r="P220" s="25">
        <f t="shared" si="10"/>
        <v>5646660</v>
      </c>
    </row>
    <row r="221" spans="1:17" s="11" customFormat="1" ht="85.5">
      <c r="A221" s="16" t="s">
        <v>463</v>
      </c>
      <c r="B221" s="17"/>
      <c r="C221" s="18"/>
      <c r="D221" s="74" t="s">
        <v>264</v>
      </c>
      <c r="E221" s="57">
        <f aca="true" t="shared" si="21" ref="E221:E227">F221+I221</f>
        <v>627300</v>
      </c>
      <c r="F221" s="19">
        <f>F222</f>
        <v>627300</v>
      </c>
      <c r="G221" s="19">
        <f>G222</f>
        <v>0</v>
      </c>
      <c r="H221" s="19">
        <f>H222</f>
        <v>0</v>
      </c>
      <c r="I221" s="19">
        <f>I222</f>
        <v>0</v>
      </c>
      <c r="J221" s="57">
        <f aca="true" t="shared" si="22" ref="J221:J234">K221+N221</f>
        <v>0</v>
      </c>
      <c r="K221" s="19">
        <f>K222</f>
        <v>0</v>
      </c>
      <c r="L221" s="19">
        <f>L222</f>
        <v>0</v>
      </c>
      <c r="M221" s="19">
        <f>M222</f>
        <v>0</v>
      </c>
      <c r="N221" s="19">
        <f>N222</f>
        <v>0</v>
      </c>
      <c r="O221" s="19">
        <f>O222</f>
        <v>0</v>
      </c>
      <c r="P221" s="19">
        <f t="shared" si="10"/>
        <v>627300</v>
      </c>
      <c r="Q221" s="108">
        <f>P221-'[1]Лист1'!$P$176</f>
        <v>0</v>
      </c>
    </row>
    <row r="222" spans="1:16" s="11" customFormat="1" ht="79.5" customHeight="1">
      <c r="A222" s="22" t="s">
        <v>464</v>
      </c>
      <c r="B222" s="23" t="s">
        <v>265</v>
      </c>
      <c r="C222" s="24" t="s">
        <v>49</v>
      </c>
      <c r="D222" s="75" t="s">
        <v>266</v>
      </c>
      <c r="E222" s="59">
        <f t="shared" si="21"/>
        <v>627300</v>
      </c>
      <c r="F222" s="26">
        <v>627300</v>
      </c>
      <c r="G222" s="26">
        <v>0</v>
      </c>
      <c r="H222" s="26">
        <v>0</v>
      </c>
      <c r="I222" s="26">
        <v>0</v>
      </c>
      <c r="J222" s="59">
        <f t="shared" si="22"/>
        <v>0</v>
      </c>
      <c r="K222" s="26">
        <v>0</v>
      </c>
      <c r="L222" s="26">
        <v>0</v>
      </c>
      <c r="M222" s="26">
        <v>0</v>
      </c>
      <c r="N222" s="26">
        <v>0</v>
      </c>
      <c r="O222" s="26">
        <v>0</v>
      </c>
      <c r="P222" s="25">
        <f t="shared" si="10"/>
        <v>627300</v>
      </c>
    </row>
    <row r="223" spans="1:17" s="11" customFormat="1" ht="99.75">
      <c r="A223" s="3" t="s">
        <v>465</v>
      </c>
      <c r="B223" s="5" t="s">
        <v>267</v>
      </c>
      <c r="C223" s="4" t="s">
        <v>226</v>
      </c>
      <c r="D223" s="73" t="s">
        <v>268</v>
      </c>
      <c r="E223" s="58">
        <f t="shared" si="21"/>
        <v>601100</v>
      </c>
      <c r="F223" s="21">
        <v>601100</v>
      </c>
      <c r="G223" s="21">
        <v>0</v>
      </c>
      <c r="H223" s="21">
        <v>0</v>
      </c>
      <c r="I223" s="21">
        <v>0</v>
      </c>
      <c r="J223" s="58">
        <f t="shared" si="22"/>
        <v>0</v>
      </c>
      <c r="K223" s="21">
        <v>0</v>
      </c>
      <c r="L223" s="21">
        <v>0</v>
      </c>
      <c r="M223" s="21">
        <v>0</v>
      </c>
      <c r="N223" s="21">
        <v>0</v>
      </c>
      <c r="O223" s="21">
        <v>0</v>
      </c>
      <c r="P223" s="20">
        <f t="shared" si="10"/>
        <v>601100</v>
      </c>
      <c r="Q223" s="108">
        <f>P223-'[1]Лист1'!$P$178</f>
        <v>0</v>
      </c>
    </row>
    <row r="224" spans="1:17" s="11" customFormat="1" ht="28.5">
      <c r="A224" s="16" t="s">
        <v>466</v>
      </c>
      <c r="B224" s="17"/>
      <c r="C224" s="18"/>
      <c r="D224" s="74" t="s">
        <v>211</v>
      </c>
      <c r="E224" s="57">
        <f t="shared" si="21"/>
        <v>50000</v>
      </c>
      <c r="F224" s="19">
        <f>F225</f>
        <v>50000</v>
      </c>
      <c r="G224" s="19">
        <v>0</v>
      </c>
      <c r="H224" s="19">
        <v>0</v>
      </c>
      <c r="I224" s="19">
        <v>0</v>
      </c>
      <c r="J224" s="57">
        <f t="shared" si="22"/>
        <v>0</v>
      </c>
      <c r="K224" s="19">
        <v>0</v>
      </c>
      <c r="L224" s="19">
        <v>0</v>
      </c>
      <c r="M224" s="19">
        <v>0</v>
      </c>
      <c r="N224" s="19">
        <v>0</v>
      </c>
      <c r="O224" s="19">
        <v>0</v>
      </c>
      <c r="P224" s="19">
        <f t="shared" si="10"/>
        <v>50000</v>
      </c>
      <c r="Q224" s="108">
        <f>P224-'[1]Лист1'!$P$179</f>
        <v>0</v>
      </c>
    </row>
    <row r="225" spans="1:16" s="11" customFormat="1" ht="60">
      <c r="A225" s="22" t="s">
        <v>467</v>
      </c>
      <c r="B225" s="23" t="s">
        <v>213</v>
      </c>
      <c r="C225" s="24" t="s">
        <v>186</v>
      </c>
      <c r="D225" s="75" t="s">
        <v>214</v>
      </c>
      <c r="E225" s="59">
        <f t="shared" si="21"/>
        <v>50000</v>
      </c>
      <c r="F225" s="26">
        <v>50000</v>
      </c>
      <c r="G225" s="26">
        <v>0</v>
      </c>
      <c r="H225" s="26">
        <v>0</v>
      </c>
      <c r="I225" s="26">
        <v>0</v>
      </c>
      <c r="J225" s="59">
        <f t="shared" si="22"/>
        <v>0</v>
      </c>
      <c r="K225" s="26">
        <v>0</v>
      </c>
      <c r="L225" s="26">
        <v>0</v>
      </c>
      <c r="M225" s="26">
        <v>0</v>
      </c>
      <c r="N225" s="26">
        <v>0</v>
      </c>
      <c r="O225" s="26">
        <v>0</v>
      </c>
      <c r="P225" s="25">
        <f t="shared" si="10"/>
        <v>50000</v>
      </c>
    </row>
    <row r="226" spans="1:17" s="11" customFormat="1" ht="28.5">
      <c r="A226" s="3" t="s">
        <v>468</v>
      </c>
      <c r="B226" s="5" t="s">
        <v>219</v>
      </c>
      <c r="C226" s="4" t="s">
        <v>61</v>
      </c>
      <c r="D226" s="73" t="s">
        <v>220</v>
      </c>
      <c r="E226" s="58">
        <f t="shared" si="21"/>
        <v>21000</v>
      </c>
      <c r="F226" s="21">
        <v>21000</v>
      </c>
      <c r="G226" s="21">
        <v>0</v>
      </c>
      <c r="H226" s="21">
        <v>0</v>
      </c>
      <c r="I226" s="21">
        <v>0</v>
      </c>
      <c r="J226" s="58">
        <f t="shared" si="22"/>
        <v>0</v>
      </c>
      <c r="K226" s="21">
        <v>0</v>
      </c>
      <c r="L226" s="21">
        <v>0</v>
      </c>
      <c r="M226" s="21">
        <v>0</v>
      </c>
      <c r="N226" s="21">
        <v>0</v>
      </c>
      <c r="O226" s="21">
        <v>0</v>
      </c>
      <c r="P226" s="20">
        <f t="shared" si="10"/>
        <v>21000</v>
      </c>
      <c r="Q226" s="108">
        <f>P226-'[1]Лист1'!$P$181</f>
        <v>0</v>
      </c>
    </row>
    <row r="227" spans="1:16" s="11" customFormat="1" ht="28.5">
      <c r="A227" s="3" t="s">
        <v>469</v>
      </c>
      <c r="B227" s="5" t="s">
        <v>222</v>
      </c>
      <c r="C227" s="4" t="s">
        <v>147</v>
      </c>
      <c r="D227" s="73" t="s">
        <v>223</v>
      </c>
      <c r="E227" s="58">
        <f t="shared" si="21"/>
        <v>0</v>
      </c>
      <c r="F227" s="21">
        <v>0</v>
      </c>
      <c r="G227" s="21">
        <v>0</v>
      </c>
      <c r="H227" s="21">
        <v>0</v>
      </c>
      <c r="I227" s="21">
        <v>0</v>
      </c>
      <c r="J227" s="58">
        <f t="shared" si="22"/>
        <v>0</v>
      </c>
      <c r="K227" s="21">
        <v>0</v>
      </c>
      <c r="L227" s="21">
        <v>0</v>
      </c>
      <c r="M227" s="21">
        <v>0</v>
      </c>
      <c r="N227" s="21">
        <f>100000-100000</f>
        <v>0</v>
      </c>
      <c r="O227" s="21">
        <f>100000-100000</f>
        <v>0</v>
      </c>
      <c r="P227" s="20">
        <f>E227+J227</f>
        <v>0</v>
      </c>
    </row>
    <row r="228" spans="1:16" s="99" customFormat="1" ht="42.75">
      <c r="A228" s="27" t="s">
        <v>436</v>
      </c>
      <c r="B228" s="28"/>
      <c r="C228" s="29"/>
      <c r="D228" s="78" t="s">
        <v>470</v>
      </c>
      <c r="E228" s="58">
        <f aca="true" t="shared" si="23" ref="E228:E234">F228+I228</f>
        <v>231317062.54999998</v>
      </c>
      <c r="F228" s="20">
        <f>F229+F230+F232+F244+F247+F266+F268+F270+F272+F273+F275+F276</f>
        <v>231317062.54999998</v>
      </c>
      <c r="G228" s="20">
        <f>G229+G230+G232+G244+G247+G266+G268+G270+G272+G273+G275+G276</f>
        <v>9718440</v>
      </c>
      <c r="H228" s="20">
        <f>H229+H230+H232+H244+H247+H266+H268+H270+H272+H273+H275+H276</f>
        <v>531218</v>
      </c>
      <c r="I228" s="20">
        <f>I229+I230+I232+I244+I247+I266+I268+I270+I272+I273+I275+I276</f>
        <v>0</v>
      </c>
      <c r="J228" s="58">
        <f t="shared" si="22"/>
        <v>1215436</v>
      </c>
      <c r="K228" s="20">
        <f>K229+K230+K232+K244+K247+K266+K268+K270+K272+K273+K275+K276</f>
        <v>73100</v>
      </c>
      <c r="L228" s="20">
        <f>L229+L230+L232+L244+L247+L266+L268+L270+L272+L273+L275+L276</f>
        <v>50900</v>
      </c>
      <c r="M228" s="20">
        <f>M229+M230+M232+M244+M247+M266+M268+M270+M272+M273+M275+M276</f>
        <v>0</v>
      </c>
      <c r="N228" s="20">
        <f>N229+N230+N232+N244+N247+N266+N268+N270+N272+N273+N275+N276</f>
        <v>1142336</v>
      </c>
      <c r="O228" s="20">
        <f>O229+O230+O232+O244+O247+O266+O268+O270+O272+O273+O275+O276</f>
        <v>1142336</v>
      </c>
      <c r="P228" s="20">
        <f t="shared" si="10"/>
        <v>232532498.54999998</v>
      </c>
    </row>
    <row r="229" spans="1:17" s="11" customFormat="1" ht="42.75">
      <c r="A229" s="3" t="s">
        <v>437</v>
      </c>
      <c r="B229" s="30" t="s">
        <v>35</v>
      </c>
      <c r="C229" s="30" t="s">
        <v>20</v>
      </c>
      <c r="D229" s="73" t="s">
        <v>538</v>
      </c>
      <c r="E229" s="58">
        <f t="shared" si="23"/>
        <v>7702732</v>
      </c>
      <c r="F229" s="21">
        <f>7592932+109800</f>
        <v>7702732</v>
      </c>
      <c r="G229" s="21">
        <f>5860980+90000</f>
        <v>5950980</v>
      </c>
      <c r="H229" s="21">
        <v>343418</v>
      </c>
      <c r="I229" s="21">
        <v>0</v>
      </c>
      <c r="J229" s="58">
        <f t="shared" si="22"/>
        <v>0</v>
      </c>
      <c r="K229" s="21">
        <v>0</v>
      </c>
      <c r="L229" s="21">
        <v>0</v>
      </c>
      <c r="M229" s="21">
        <v>0</v>
      </c>
      <c r="N229" s="21">
        <v>0</v>
      </c>
      <c r="O229" s="21">
        <v>0</v>
      </c>
      <c r="P229" s="20">
        <f t="shared" si="10"/>
        <v>7702732</v>
      </c>
      <c r="Q229" s="108">
        <f>P229-'[1]Лист1'!$P$184</f>
        <v>109800</v>
      </c>
    </row>
    <row r="230" spans="1:17" s="11" customFormat="1" ht="85.5">
      <c r="A230" s="3" t="s">
        <v>439</v>
      </c>
      <c r="B230" s="5" t="s">
        <v>226</v>
      </c>
      <c r="C230" s="4" t="s">
        <v>48</v>
      </c>
      <c r="D230" s="73" t="s">
        <v>478</v>
      </c>
      <c r="E230" s="58">
        <f t="shared" si="23"/>
        <v>1646300</v>
      </c>
      <c r="F230" s="21">
        <f>1756300-110000</f>
        <v>1646300</v>
      </c>
      <c r="G230" s="21">
        <v>0</v>
      </c>
      <c r="H230" s="21">
        <v>0</v>
      </c>
      <c r="I230" s="21">
        <v>0</v>
      </c>
      <c r="J230" s="58">
        <f t="shared" si="22"/>
        <v>0</v>
      </c>
      <c r="K230" s="21">
        <v>0</v>
      </c>
      <c r="L230" s="21">
        <v>0</v>
      </c>
      <c r="M230" s="21">
        <v>0</v>
      </c>
      <c r="N230" s="21">
        <v>0</v>
      </c>
      <c r="O230" s="21">
        <v>0</v>
      </c>
      <c r="P230" s="20">
        <f t="shared" si="10"/>
        <v>1646300</v>
      </c>
      <c r="Q230" s="108">
        <f>P230-'[1]Лист1'!$P$185</f>
        <v>-110000</v>
      </c>
    </row>
    <row r="231" spans="1:16" s="11" customFormat="1" ht="210" customHeight="1">
      <c r="A231" s="22"/>
      <c r="B231" s="23"/>
      <c r="C231" s="24"/>
      <c r="D231" s="77" t="s">
        <v>503</v>
      </c>
      <c r="E231" s="59">
        <f t="shared" si="23"/>
        <v>1646300</v>
      </c>
      <c r="F231" s="26">
        <f>F230</f>
        <v>1646300</v>
      </c>
      <c r="G231" s="26"/>
      <c r="H231" s="26"/>
      <c r="I231" s="26"/>
      <c r="J231" s="59">
        <f t="shared" si="22"/>
        <v>0</v>
      </c>
      <c r="K231" s="26"/>
      <c r="L231" s="26"/>
      <c r="M231" s="26"/>
      <c r="N231" s="26"/>
      <c r="O231" s="26"/>
      <c r="P231" s="25">
        <f t="shared" si="10"/>
        <v>1646300</v>
      </c>
    </row>
    <row r="232" spans="1:17" s="11" customFormat="1" ht="85.5">
      <c r="A232" s="16" t="s">
        <v>438</v>
      </c>
      <c r="B232" s="17"/>
      <c r="C232" s="18"/>
      <c r="D232" s="89" t="s">
        <v>485</v>
      </c>
      <c r="E232" s="57">
        <f t="shared" si="23"/>
        <v>120157408.47</v>
      </c>
      <c r="F232" s="19">
        <f>F233+F235+F238+F240+F242</f>
        <v>120157408.47</v>
      </c>
      <c r="G232" s="19">
        <f>G233+G235+G238+G240+G242</f>
        <v>0</v>
      </c>
      <c r="H232" s="19">
        <f>H233+H235+H238+H240+H242</f>
        <v>0</v>
      </c>
      <c r="I232" s="19">
        <f>I233+I235+I238+I240+I242</f>
        <v>0</v>
      </c>
      <c r="J232" s="57">
        <f t="shared" si="22"/>
        <v>0</v>
      </c>
      <c r="K232" s="19">
        <f>K233+K235+K238+K240+K242</f>
        <v>0</v>
      </c>
      <c r="L232" s="19">
        <f>L233+L235+L238+L240+L242</f>
        <v>0</v>
      </c>
      <c r="M232" s="19">
        <f>M233+M235+M238+M240+M242</f>
        <v>0</v>
      </c>
      <c r="N232" s="19">
        <f>N233+N235+N238+N240+N242</f>
        <v>0</v>
      </c>
      <c r="O232" s="19">
        <f>O233+O235+O238+O240+O242</f>
        <v>0</v>
      </c>
      <c r="P232" s="19">
        <f t="shared" si="10"/>
        <v>120157408.47</v>
      </c>
      <c r="Q232" s="108">
        <f>P232-'[1]Лист1'!$P$187</f>
        <v>40953656.56999999</v>
      </c>
    </row>
    <row r="233" spans="1:16" s="11" customFormat="1" ht="270">
      <c r="A233" s="22" t="s">
        <v>440</v>
      </c>
      <c r="B233" s="23" t="s">
        <v>227</v>
      </c>
      <c r="C233" s="24" t="s">
        <v>186</v>
      </c>
      <c r="D233" s="11" t="s">
        <v>481</v>
      </c>
      <c r="E233" s="59">
        <f t="shared" si="23"/>
        <v>7247239.089999999</v>
      </c>
      <c r="F233" s="26">
        <f>7000000+140303.54-2702449.93+63798.43+153923.35+89597.32+166332.46-166332.46+2388066.38+114000</f>
        <v>7247239.089999999</v>
      </c>
      <c r="G233" s="26">
        <v>0</v>
      </c>
      <c r="H233" s="26">
        <v>0</v>
      </c>
      <c r="I233" s="26">
        <v>0</v>
      </c>
      <c r="J233" s="59">
        <f t="shared" si="22"/>
        <v>0</v>
      </c>
      <c r="K233" s="26">
        <v>0</v>
      </c>
      <c r="L233" s="26">
        <v>0</v>
      </c>
      <c r="M233" s="26">
        <v>0</v>
      </c>
      <c r="N233" s="26">
        <v>0</v>
      </c>
      <c r="O233" s="26">
        <v>0</v>
      </c>
      <c r="P233" s="25">
        <f t="shared" si="10"/>
        <v>7247239.089999999</v>
      </c>
    </row>
    <row r="234" spans="1:16" s="11" customFormat="1" ht="135">
      <c r="A234" s="32"/>
      <c r="B234" s="33"/>
      <c r="C234" s="34"/>
      <c r="D234" s="90" t="s">
        <v>506</v>
      </c>
      <c r="E234" s="59">
        <f t="shared" si="23"/>
        <v>7247239.089999999</v>
      </c>
      <c r="F234" s="35">
        <f>F233</f>
        <v>7247239.089999999</v>
      </c>
      <c r="G234" s="35"/>
      <c r="H234" s="35"/>
      <c r="I234" s="35"/>
      <c r="J234" s="59">
        <f t="shared" si="22"/>
        <v>0</v>
      </c>
      <c r="K234" s="35"/>
      <c r="L234" s="35"/>
      <c r="M234" s="35"/>
      <c r="N234" s="35"/>
      <c r="O234" s="35"/>
      <c r="P234" s="25">
        <f t="shared" si="10"/>
        <v>7247239.089999999</v>
      </c>
    </row>
    <row r="235" spans="1:16" s="11" customFormat="1" ht="345">
      <c r="A235" s="165" t="s">
        <v>441</v>
      </c>
      <c r="B235" s="167" t="s">
        <v>228</v>
      </c>
      <c r="C235" s="170" t="s">
        <v>186</v>
      </c>
      <c r="D235" s="91" t="s">
        <v>482</v>
      </c>
      <c r="E235" s="182">
        <f>F235+I235</f>
        <v>919970.7400000001</v>
      </c>
      <c r="F235" s="180">
        <f>2000000+22558.21-1531332.68+12239.38+25719.54+14774.64+25736.58-25736.58+375011.65+1000</f>
        <v>919970.7400000001</v>
      </c>
      <c r="G235" s="180">
        <v>0</v>
      </c>
      <c r="H235" s="180">
        <v>0</v>
      </c>
      <c r="I235" s="180">
        <v>0</v>
      </c>
      <c r="J235" s="182">
        <f>K235+N235</f>
        <v>0</v>
      </c>
      <c r="K235" s="180">
        <v>0</v>
      </c>
      <c r="L235" s="180">
        <v>0</v>
      </c>
      <c r="M235" s="180">
        <v>0</v>
      </c>
      <c r="N235" s="180">
        <v>0</v>
      </c>
      <c r="O235" s="180">
        <v>0</v>
      </c>
      <c r="P235" s="190">
        <f t="shared" si="10"/>
        <v>919970.7400000001</v>
      </c>
    </row>
    <row r="236" spans="1:16" s="11" customFormat="1" ht="409.5">
      <c r="A236" s="166"/>
      <c r="B236" s="168"/>
      <c r="C236" s="171"/>
      <c r="D236" s="92" t="s">
        <v>483</v>
      </c>
      <c r="E236" s="183"/>
      <c r="F236" s="181"/>
      <c r="G236" s="181"/>
      <c r="H236" s="181"/>
      <c r="I236" s="181"/>
      <c r="J236" s="183"/>
      <c r="K236" s="181"/>
      <c r="L236" s="181"/>
      <c r="M236" s="181"/>
      <c r="N236" s="181"/>
      <c r="O236" s="181"/>
      <c r="P236" s="191"/>
    </row>
    <row r="237" spans="1:16" s="11" customFormat="1" ht="135">
      <c r="A237" s="36"/>
      <c r="B237" s="37"/>
      <c r="C237" s="38"/>
      <c r="D237" s="90" t="s">
        <v>506</v>
      </c>
      <c r="E237" s="60">
        <f>F237+I237</f>
        <v>919970.7400000001</v>
      </c>
      <c r="F237" s="39">
        <f>F235</f>
        <v>919970.7400000001</v>
      </c>
      <c r="G237" s="39"/>
      <c r="H237" s="39"/>
      <c r="I237" s="39"/>
      <c r="J237" s="60">
        <f>K237+N237</f>
        <v>0</v>
      </c>
      <c r="K237" s="39"/>
      <c r="L237" s="39"/>
      <c r="M237" s="39"/>
      <c r="N237" s="39"/>
      <c r="O237" s="39"/>
      <c r="P237" s="40">
        <f>E237+J237</f>
        <v>919970.7400000001</v>
      </c>
    </row>
    <row r="238" spans="1:16" s="11" customFormat="1" ht="105">
      <c r="A238" s="22" t="s">
        <v>442</v>
      </c>
      <c r="B238" s="23" t="s">
        <v>229</v>
      </c>
      <c r="C238" s="24" t="s">
        <v>189</v>
      </c>
      <c r="D238" s="93" t="s">
        <v>230</v>
      </c>
      <c r="E238" s="60">
        <f aca="true" t="shared" si="24" ref="E238:E243">F238+I238</f>
        <v>968629.99</v>
      </c>
      <c r="F238" s="26">
        <f>2000000+24085.12-1498165.03+12977.77+25931.44+14915.26+28363.63-28363.63+374285.43+14600</f>
        <v>968629.99</v>
      </c>
      <c r="G238" s="26">
        <v>0</v>
      </c>
      <c r="H238" s="26">
        <v>0</v>
      </c>
      <c r="I238" s="26">
        <v>0</v>
      </c>
      <c r="J238" s="60">
        <f aca="true" t="shared" si="25" ref="J238:J267">K238+N238</f>
        <v>0</v>
      </c>
      <c r="K238" s="26">
        <v>0</v>
      </c>
      <c r="L238" s="26">
        <v>0</v>
      </c>
      <c r="M238" s="26">
        <v>0</v>
      </c>
      <c r="N238" s="26">
        <v>0</v>
      </c>
      <c r="O238" s="26">
        <v>0</v>
      </c>
      <c r="P238" s="25">
        <f aca="true" t="shared" si="26" ref="P238:P339">E238+J238</f>
        <v>968629.99</v>
      </c>
    </row>
    <row r="239" spans="1:16" s="11" customFormat="1" ht="135">
      <c r="A239" s="22"/>
      <c r="B239" s="23"/>
      <c r="C239" s="24"/>
      <c r="D239" s="90" t="s">
        <v>506</v>
      </c>
      <c r="E239" s="60">
        <f t="shared" si="24"/>
        <v>968629.99</v>
      </c>
      <c r="F239" s="26">
        <f>F238</f>
        <v>968629.99</v>
      </c>
      <c r="G239" s="26"/>
      <c r="H239" s="26"/>
      <c r="I239" s="26"/>
      <c r="J239" s="60">
        <f t="shared" si="25"/>
        <v>0</v>
      </c>
      <c r="K239" s="26"/>
      <c r="L239" s="26"/>
      <c r="M239" s="26"/>
      <c r="N239" s="26"/>
      <c r="O239" s="26"/>
      <c r="P239" s="25">
        <f t="shared" si="26"/>
        <v>968629.99</v>
      </c>
    </row>
    <row r="240" spans="1:16" s="11" customFormat="1" ht="30">
      <c r="A240" s="22" t="s">
        <v>444</v>
      </c>
      <c r="B240" s="23" t="s">
        <v>232</v>
      </c>
      <c r="C240" s="24" t="s">
        <v>189</v>
      </c>
      <c r="D240" s="75" t="s">
        <v>233</v>
      </c>
      <c r="E240" s="60">
        <f t="shared" si="24"/>
        <v>754394.1299999999</v>
      </c>
      <c r="F240" s="26">
        <f>2000000+20218.63-1616223.69+9197.04+21887.95+11941.02+21893.66-21893.66+307373.18</f>
        <v>754394.1299999999</v>
      </c>
      <c r="G240" s="26">
        <v>0</v>
      </c>
      <c r="H240" s="26">
        <v>0</v>
      </c>
      <c r="I240" s="26">
        <v>0</v>
      </c>
      <c r="J240" s="60">
        <f t="shared" si="25"/>
        <v>0</v>
      </c>
      <c r="K240" s="26">
        <v>0</v>
      </c>
      <c r="L240" s="26">
        <v>0</v>
      </c>
      <c r="M240" s="26">
        <v>0</v>
      </c>
      <c r="N240" s="26">
        <v>0</v>
      </c>
      <c r="O240" s="26">
        <v>0</v>
      </c>
      <c r="P240" s="25">
        <f t="shared" si="26"/>
        <v>754394.1299999999</v>
      </c>
    </row>
    <row r="241" spans="1:16" s="11" customFormat="1" ht="135">
      <c r="A241" s="22"/>
      <c r="B241" s="23"/>
      <c r="C241" s="24"/>
      <c r="D241" s="90" t="s">
        <v>506</v>
      </c>
      <c r="E241" s="60">
        <f t="shared" si="24"/>
        <v>754394.1299999999</v>
      </c>
      <c r="F241" s="26">
        <f>F240</f>
        <v>754394.1299999999</v>
      </c>
      <c r="G241" s="26"/>
      <c r="H241" s="26"/>
      <c r="I241" s="26"/>
      <c r="J241" s="60">
        <f t="shared" si="25"/>
        <v>0</v>
      </c>
      <c r="K241" s="26"/>
      <c r="L241" s="26"/>
      <c r="M241" s="26"/>
      <c r="N241" s="26"/>
      <c r="O241" s="26"/>
      <c r="P241" s="25">
        <f t="shared" si="26"/>
        <v>754394.1299999999</v>
      </c>
    </row>
    <row r="242" spans="1:16" s="11" customFormat="1" ht="45">
      <c r="A242" s="22" t="s">
        <v>445</v>
      </c>
      <c r="B242" s="23" t="s">
        <v>234</v>
      </c>
      <c r="C242" s="24" t="s">
        <v>226</v>
      </c>
      <c r="D242" s="75" t="s">
        <v>235</v>
      </c>
      <c r="E242" s="60">
        <f t="shared" si="24"/>
        <v>110267174.52</v>
      </c>
      <c r="F242" s="26">
        <f>66800000-207165.5+6751923.23-98212.62-227462.28+2987359.28-1163351.44-277616.81+35701700.66</f>
        <v>110267174.52</v>
      </c>
      <c r="G242" s="26">
        <v>0</v>
      </c>
      <c r="H242" s="26">
        <v>0</v>
      </c>
      <c r="I242" s="26">
        <v>0</v>
      </c>
      <c r="J242" s="60">
        <f t="shared" si="25"/>
        <v>0</v>
      </c>
      <c r="K242" s="26">
        <v>0</v>
      </c>
      <c r="L242" s="26">
        <v>0</v>
      </c>
      <c r="M242" s="26">
        <v>0</v>
      </c>
      <c r="N242" s="26">
        <v>0</v>
      </c>
      <c r="O242" s="26">
        <v>0</v>
      </c>
      <c r="P242" s="25">
        <f t="shared" si="26"/>
        <v>110267174.52</v>
      </c>
    </row>
    <row r="243" spans="1:16" s="11" customFormat="1" ht="135">
      <c r="A243" s="22"/>
      <c r="B243" s="23"/>
      <c r="C243" s="24"/>
      <c r="D243" s="11" t="s">
        <v>506</v>
      </c>
      <c r="E243" s="59">
        <f t="shared" si="24"/>
        <v>110267174.52</v>
      </c>
      <c r="F243" s="26">
        <f>F242</f>
        <v>110267174.52</v>
      </c>
      <c r="G243" s="26"/>
      <c r="H243" s="26"/>
      <c r="I243" s="26"/>
      <c r="J243" s="59">
        <f t="shared" si="25"/>
        <v>0</v>
      </c>
      <c r="K243" s="26"/>
      <c r="L243" s="26"/>
      <c r="M243" s="26"/>
      <c r="N243" s="26"/>
      <c r="O243" s="26"/>
      <c r="P243" s="25">
        <f t="shared" si="26"/>
        <v>110267174.52</v>
      </c>
    </row>
    <row r="244" spans="1:17" s="11" customFormat="1" ht="57">
      <c r="A244" s="16" t="s">
        <v>446</v>
      </c>
      <c r="B244" s="17"/>
      <c r="C244" s="18"/>
      <c r="D244" s="74" t="s">
        <v>236</v>
      </c>
      <c r="E244" s="57">
        <f>F244+I244</f>
        <v>44664.729999999996</v>
      </c>
      <c r="F244" s="19">
        <f>F245</f>
        <v>44664.729999999996</v>
      </c>
      <c r="G244" s="19">
        <f>G245</f>
        <v>0</v>
      </c>
      <c r="H244" s="19">
        <f>H245</f>
        <v>0</v>
      </c>
      <c r="I244" s="19">
        <f>I245</f>
        <v>0</v>
      </c>
      <c r="J244" s="57">
        <f t="shared" si="25"/>
        <v>0</v>
      </c>
      <c r="K244" s="19">
        <f>K245</f>
        <v>0</v>
      </c>
      <c r="L244" s="19">
        <f>L245</f>
        <v>0</v>
      </c>
      <c r="M244" s="19">
        <f>M245</f>
        <v>0</v>
      </c>
      <c r="N244" s="19">
        <f>N245</f>
        <v>0</v>
      </c>
      <c r="O244" s="19">
        <f>O245</f>
        <v>0</v>
      </c>
      <c r="P244" s="19">
        <f t="shared" si="26"/>
        <v>44664.729999999996</v>
      </c>
      <c r="Q244" s="108">
        <f>P244-'[1]Лист1'!$P$199</f>
        <v>-19595.270000000004</v>
      </c>
    </row>
    <row r="245" spans="1:16" s="11" customFormat="1" ht="60">
      <c r="A245" s="22" t="s">
        <v>449</v>
      </c>
      <c r="B245" s="23" t="s">
        <v>240</v>
      </c>
      <c r="C245" s="24" t="s">
        <v>226</v>
      </c>
      <c r="D245" s="75" t="s">
        <v>241</v>
      </c>
      <c r="E245" s="59">
        <f>F245+I245</f>
        <v>44664.729999999996</v>
      </c>
      <c r="F245" s="26">
        <f>64260-17095.27-2500</f>
        <v>44664.729999999996</v>
      </c>
      <c r="G245" s="26">
        <v>0</v>
      </c>
      <c r="H245" s="26">
        <v>0</v>
      </c>
      <c r="I245" s="26">
        <v>0</v>
      </c>
      <c r="J245" s="59">
        <f t="shared" si="25"/>
        <v>0</v>
      </c>
      <c r="K245" s="26">
        <v>0</v>
      </c>
      <c r="L245" s="26">
        <v>0</v>
      </c>
      <c r="M245" s="26">
        <v>0</v>
      </c>
      <c r="N245" s="26">
        <v>0</v>
      </c>
      <c r="O245" s="26">
        <v>0</v>
      </c>
      <c r="P245" s="25">
        <f t="shared" si="26"/>
        <v>44664.729999999996</v>
      </c>
    </row>
    <row r="246" spans="1:16" s="11" customFormat="1" ht="75">
      <c r="A246" s="22"/>
      <c r="B246" s="23"/>
      <c r="C246" s="24"/>
      <c r="D246" s="11" t="s">
        <v>505</v>
      </c>
      <c r="E246" s="59">
        <f>F246+I246</f>
        <v>44664.729999999996</v>
      </c>
      <c r="F246" s="26">
        <f>F245</f>
        <v>44664.729999999996</v>
      </c>
      <c r="G246" s="26"/>
      <c r="H246" s="26"/>
      <c r="I246" s="26"/>
      <c r="J246" s="59">
        <f t="shared" si="25"/>
        <v>0</v>
      </c>
      <c r="K246" s="26"/>
      <c r="L246" s="26"/>
      <c r="M246" s="26"/>
      <c r="N246" s="26"/>
      <c r="O246" s="26"/>
      <c r="P246" s="25">
        <f t="shared" si="26"/>
        <v>44664.729999999996</v>
      </c>
    </row>
    <row r="247" spans="1:17" s="11" customFormat="1" ht="57">
      <c r="A247" s="16" t="s">
        <v>450</v>
      </c>
      <c r="B247" s="17"/>
      <c r="C247" s="18"/>
      <c r="D247" s="74" t="s">
        <v>242</v>
      </c>
      <c r="E247" s="57">
        <f>F247+I247</f>
        <v>91332400</v>
      </c>
      <c r="F247" s="19">
        <f>F248+F250+F252+F254+F256+F258+F260+F262+F264</f>
        <v>91332400</v>
      </c>
      <c r="G247" s="19">
        <f>G248+G250+G252+G254+G256+G258+G260+G262+G264</f>
        <v>0</v>
      </c>
      <c r="H247" s="19">
        <f>H248+H250+H252+H254+H256+H258+H260+H262+H264</f>
        <v>0</v>
      </c>
      <c r="I247" s="19">
        <f>I248+I250+I252+I254+I256+I258+I260+I262+I264</f>
        <v>0</v>
      </c>
      <c r="J247" s="57">
        <f t="shared" si="25"/>
        <v>0</v>
      </c>
      <c r="K247" s="19">
        <f>K248+K250+K252+K254+K256+K258+K260+K262+K264</f>
        <v>0</v>
      </c>
      <c r="L247" s="19">
        <f>L248+L250+L252+L254+L256+L258+L260+L262+L264</f>
        <v>0</v>
      </c>
      <c r="M247" s="19">
        <f>M248+M250+M252+M254+M256+M258+M260+M262+M264</f>
        <v>0</v>
      </c>
      <c r="N247" s="19">
        <f>N248+N250+N252+N254+N256+N258+N260+N262+N264</f>
        <v>0</v>
      </c>
      <c r="O247" s="19">
        <f>O248+O250+O252+O254+O256+O258+O260+O262+O264</f>
        <v>0</v>
      </c>
      <c r="P247" s="19">
        <f>E247+J247</f>
        <v>91332400</v>
      </c>
      <c r="Q247" s="108">
        <f>P247-'[1]Лист1'!$P$202</f>
        <v>0</v>
      </c>
    </row>
    <row r="248" spans="1:16" s="11" customFormat="1" ht="30">
      <c r="A248" s="22" t="s">
        <v>451</v>
      </c>
      <c r="B248" s="23" t="s">
        <v>243</v>
      </c>
      <c r="C248" s="24" t="s">
        <v>57</v>
      </c>
      <c r="D248" s="75" t="s">
        <v>244</v>
      </c>
      <c r="E248" s="59">
        <f>F248+I248</f>
        <v>703100</v>
      </c>
      <c r="F248" s="26">
        <v>703100</v>
      </c>
      <c r="G248" s="26">
        <v>0</v>
      </c>
      <c r="H248" s="26">
        <v>0</v>
      </c>
      <c r="I248" s="26">
        <v>0</v>
      </c>
      <c r="J248" s="59">
        <f t="shared" si="25"/>
        <v>0</v>
      </c>
      <c r="K248" s="26">
        <v>0</v>
      </c>
      <c r="L248" s="26">
        <v>0</v>
      </c>
      <c r="M248" s="26">
        <v>0</v>
      </c>
      <c r="N248" s="26">
        <v>0</v>
      </c>
      <c r="O248" s="26">
        <v>0</v>
      </c>
      <c r="P248" s="25">
        <f t="shared" si="26"/>
        <v>703100</v>
      </c>
    </row>
    <row r="249" spans="1:16" s="11" customFormat="1" ht="120">
      <c r="A249" s="22"/>
      <c r="B249" s="23"/>
      <c r="C249" s="24"/>
      <c r="D249" s="11" t="s">
        <v>504</v>
      </c>
      <c r="E249" s="59">
        <f aca="true" t="shared" si="27" ref="E249:E267">F249+I249</f>
        <v>703100</v>
      </c>
      <c r="F249" s="26">
        <f>F248</f>
        <v>703100</v>
      </c>
      <c r="G249" s="26"/>
      <c r="H249" s="26"/>
      <c r="I249" s="26"/>
      <c r="J249" s="59">
        <f t="shared" si="25"/>
        <v>0</v>
      </c>
      <c r="K249" s="26"/>
      <c r="L249" s="26"/>
      <c r="M249" s="26"/>
      <c r="N249" s="26"/>
      <c r="O249" s="26"/>
      <c r="P249" s="25">
        <f t="shared" si="26"/>
        <v>703100</v>
      </c>
    </row>
    <row r="250" spans="1:16" s="11" customFormat="1" ht="30">
      <c r="A250" s="22" t="s">
        <v>452</v>
      </c>
      <c r="B250" s="23" t="s">
        <v>245</v>
      </c>
      <c r="C250" s="24" t="s">
        <v>57</v>
      </c>
      <c r="D250" s="87" t="s">
        <v>532</v>
      </c>
      <c r="E250" s="59">
        <f t="shared" si="27"/>
        <v>74119.54000000004</v>
      </c>
      <c r="F250" s="26">
        <f>624100-549980.46</f>
        <v>74119.54000000004</v>
      </c>
      <c r="G250" s="26">
        <v>0</v>
      </c>
      <c r="H250" s="26">
        <v>0</v>
      </c>
      <c r="I250" s="26">
        <v>0</v>
      </c>
      <c r="J250" s="59">
        <f t="shared" si="25"/>
        <v>0</v>
      </c>
      <c r="K250" s="26">
        <v>0</v>
      </c>
      <c r="L250" s="26">
        <v>0</v>
      </c>
      <c r="M250" s="26">
        <v>0</v>
      </c>
      <c r="N250" s="26">
        <v>0</v>
      </c>
      <c r="O250" s="26">
        <v>0</v>
      </c>
      <c r="P250" s="25">
        <f t="shared" si="26"/>
        <v>74119.54000000004</v>
      </c>
    </row>
    <row r="251" spans="1:16" s="11" customFormat="1" ht="120">
      <c r="A251" s="22"/>
      <c r="B251" s="23"/>
      <c r="C251" s="24"/>
      <c r="D251" s="11" t="s">
        <v>504</v>
      </c>
      <c r="E251" s="59">
        <f t="shared" si="27"/>
        <v>74119.54000000004</v>
      </c>
      <c r="F251" s="26">
        <f>F250</f>
        <v>74119.54000000004</v>
      </c>
      <c r="G251" s="26"/>
      <c r="H251" s="26"/>
      <c r="I251" s="26"/>
      <c r="J251" s="59">
        <f t="shared" si="25"/>
        <v>0</v>
      </c>
      <c r="K251" s="26"/>
      <c r="L251" s="26"/>
      <c r="M251" s="26"/>
      <c r="N251" s="26"/>
      <c r="O251" s="26"/>
      <c r="P251" s="25">
        <f t="shared" si="26"/>
        <v>74119.54000000004</v>
      </c>
    </row>
    <row r="252" spans="1:16" s="11" customFormat="1" ht="15">
      <c r="A252" s="22" t="s">
        <v>453</v>
      </c>
      <c r="B252" s="23" t="s">
        <v>246</v>
      </c>
      <c r="C252" s="24" t="s">
        <v>57</v>
      </c>
      <c r="D252" s="75" t="s">
        <v>247</v>
      </c>
      <c r="E252" s="59">
        <f t="shared" si="27"/>
        <v>45099760</v>
      </c>
      <c r="F252" s="26">
        <f>48970700-3870940</f>
        <v>45099760</v>
      </c>
      <c r="G252" s="26">
        <v>0</v>
      </c>
      <c r="H252" s="26">
        <v>0</v>
      </c>
      <c r="I252" s="26">
        <v>0</v>
      </c>
      <c r="J252" s="59">
        <f t="shared" si="25"/>
        <v>0</v>
      </c>
      <c r="K252" s="26">
        <v>0</v>
      </c>
      <c r="L252" s="26">
        <v>0</v>
      </c>
      <c r="M252" s="26">
        <v>0</v>
      </c>
      <c r="N252" s="26">
        <v>0</v>
      </c>
      <c r="O252" s="26">
        <v>0</v>
      </c>
      <c r="P252" s="25">
        <f t="shared" si="26"/>
        <v>45099760</v>
      </c>
    </row>
    <row r="253" spans="1:16" s="11" customFormat="1" ht="120">
      <c r="A253" s="22"/>
      <c r="B253" s="23"/>
      <c r="C253" s="24"/>
      <c r="D253" s="11" t="s">
        <v>504</v>
      </c>
      <c r="E253" s="59">
        <f t="shared" si="27"/>
        <v>45099760</v>
      </c>
      <c r="F253" s="26">
        <f>F252</f>
        <v>45099760</v>
      </c>
      <c r="G253" s="26"/>
      <c r="H253" s="26"/>
      <c r="I253" s="26"/>
      <c r="J253" s="59">
        <f t="shared" si="25"/>
        <v>0</v>
      </c>
      <c r="K253" s="26"/>
      <c r="L253" s="26"/>
      <c r="M253" s="26"/>
      <c r="N253" s="26"/>
      <c r="O253" s="26"/>
      <c r="P253" s="25">
        <f t="shared" si="26"/>
        <v>45099760</v>
      </c>
    </row>
    <row r="254" spans="1:16" s="11" customFormat="1" ht="30">
      <c r="A254" s="22" t="s">
        <v>454</v>
      </c>
      <c r="B254" s="23" t="s">
        <v>248</v>
      </c>
      <c r="C254" s="24" t="s">
        <v>57</v>
      </c>
      <c r="D254" s="75" t="s">
        <v>249</v>
      </c>
      <c r="E254" s="59">
        <f t="shared" si="27"/>
        <v>3894100</v>
      </c>
      <c r="F254" s="26">
        <v>3894100</v>
      </c>
      <c r="G254" s="26">
        <v>0</v>
      </c>
      <c r="H254" s="26">
        <v>0</v>
      </c>
      <c r="I254" s="26">
        <v>0</v>
      </c>
      <c r="J254" s="59">
        <f t="shared" si="25"/>
        <v>0</v>
      </c>
      <c r="K254" s="26">
        <v>0</v>
      </c>
      <c r="L254" s="26">
        <v>0</v>
      </c>
      <c r="M254" s="26">
        <v>0</v>
      </c>
      <c r="N254" s="26">
        <v>0</v>
      </c>
      <c r="O254" s="26">
        <v>0</v>
      </c>
      <c r="P254" s="25">
        <f t="shared" si="26"/>
        <v>3894100</v>
      </c>
    </row>
    <row r="255" spans="1:16" s="11" customFormat="1" ht="120">
      <c r="A255" s="22"/>
      <c r="B255" s="23"/>
      <c r="C255" s="24"/>
      <c r="D255" s="11" t="s">
        <v>504</v>
      </c>
      <c r="E255" s="59">
        <f t="shared" si="27"/>
        <v>3894100</v>
      </c>
      <c r="F255" s="26">
        <f>F254</f>
        <v>3894100</v>
      </c>
      <c r="G255" s="26"/>
      <c r="H255" s="26"/>
      <c r="I255" s="26"/>
      <c r="J255" s="59">
        <f t="shared" si="25"/>
        <v>0</v>
      </c>
      <c r="K255" s="26"/>
      <c r="L255" s="26"/>
      <c r="M255" s="26"/>
      <c r="N255" s="26"/>
      <c r="O255" s="26"/>
      <c r="P255" s="25">
        <f t="shared" si="26"/>
        <v>3894100</v>
      </c>
    </row>
    <row r="256" spans="1:16" s="11" customFormat="1" ht="30">
      <c r="A256" s="22" t="s">
        <v>455</v>
      </c>
      <c r="B256" s="23" t="s">
        <v>250</v>
      </c>
      <c r="C256" s="24" t="s">
        <v>57</v>
      </c>
      <c r="D256" s="75" t="s">
        <v>251</v>
      </c>
      <c r="E256" s="59">
        <f t="shared" si="27"/>
        <v>13310400</v>
      </c>
      <c r="F256" s="26">
        <v>13310400</v>
      </c>
      <c r="G256" s="26">
        <v>0</v>
      </c>
      <c r="H256" s="26">
        <v>0</v>
      </c>
      <c r="I256" s="26">
        <v>0</v>
      </c>
      <c r="J256" s="59">
        <f t="shared" si="25"/>
        <v>0</v>
      </c>
      <c r="K256" s="26">
        <v>0</v>
      </c>
      <c r="L256" s="26">
        <v>0</v>
      </c>
      <c r="M256" s="26">
        <v>0</v>
      </c>
      <c r="N256" s="26">
        <v>0</v>
      </c>
      <c r="O256" s="26">
        <v>0</v>
      </c>
      <c r="P256" s="25">
        <f t="shared" si="26"/>
        <v>13310400</v>
      </c>
    </row>
    <row r="257" spans="1:16" s="11" customFormat="1" ht="120">
      <c r="A257" s="22"/>
      <c r="B257" s="23"/>
      <c r="C257" s="24"/>
      <c r="D257" s="90" t="s">
        <v>504</v>
      </c>
      <c r="E257" s="59">
        <f t="shared" si="27"/>
        <v>13310400</v>
      </c>
      <c r="F257" s="26">
        <f>F256</f>
        <v>13310400</v>
      </c>
      <c r="G257" s="26"/>
      <c r="H257" s="26"/>
      <c r="I257" s="26"/>
      <c r="J257" s="59">
        <f t="shared" si="25"/>
        <v>0</v>
      </c>
      <c r="K257" s="26"/>
      <c r="L257" s="26"/>
      <c r="M257" s="26"/>
      <c r="N257" s="26"/>
      <c r="O257" s="26"/>
      <c r="P257" s="25">
        <f t="shared" si="26"/>
        <v>13310400</v>
      </c>
    </row>
    <row r="258" spans="1:16" s="11" customFormat="1" ht="30">
      <c r="A258" s="22" t="s">
        <v>456</v>
      </c>
      <c r="B258" s="23" t="s">
        <v>252</v>
      </c>
      <c r="C258" s="24" t="s">
        <v>57</v>
      </c>
      <c r="D258" s="75" t="s">
        <v>253</v>
      </c>
      <c r="E258" s="59">
        <f t="shared" si="27"/>
        <v>504700</v>
      </c>
      <c r="F258" s="26">
        <v>504700</v>
      </c>
      <c r="G258" s="26">
        <v>0</v>
      </c>
      <c r="H258" s="26">
        <v>0</v>
      </c>
      <c r="I258" s="26">
        <v>0</v>
      </c>
      <c r="J258" s="59">
        <f t="shared" si="25"/>
        <v>0</v>
      </c>
      <c r="K258" s="26">
        <v>0</v>
      </c>
      <c r="L258" s="26">
        <v>0</v>
      </c>
      <c r="M258" s="26">
        <v>0</v>
      </c>
      <c r="N258" s="26">
        <v>0</v>
      </c>
      <c r="O258" s="26">
        <v>0</v>
      </c>
      <c r="P258" s="25">
        <f t="shared" si="26"/>
        <v>504700</v>
      </c>
    </row>
    <row r="259" spans="1:16" s="11" customFormat="1" ht="120">
      <c r="A259" s="22"/>
      <c r="B259" s="23"/>
      <c r="C259" s="24"/>
      <c r="D259" s="90" t="s">
        <v>504</v>
      </c>
      <c r="E259" s="59">
        <f t="shared" si="27"/>
        <v>504700</v>
      </c>
      <c r="F259" s="26">
        <f>F258</f>
        <v>504700</v>
      </c>
      <c r="G259" s="26"/>
      <c r="H259" s="26"/>
      <c r="I259" s="26"/>
      <c r="J259" s="59">
        <f t="shared" si="25"/>
        <v>0</v>
      </c>
      <c r="K259" s="26"/>
      <c r="L259" s="26"/>
      <c r="M259" s="26"/>
      <c r="N259" s="26"/>
      <c r="O259" s="26"/>
      <c r="P259" s="25">
        <f t="shared" si="26"/>
        <v>504700</v>
      </c>
    </row>
    <row r="260" spans="1:16" s="11" customFormat="1" ht="15">
      <c r="A260" s="22" t="s">
        <v>457</v>
      </c>
      <c r="B260" s="23" t="s">
        <v>254</v>
      </c>
      <c r="C260" s="24" t="s">
        <v>57</v>
      </c>
      <c r="D260" s="75" t="s">
        <v>255</v>
      </c>
      <c r="E260" s="59">
        <f t="shared" si="27"/>
        <v>52100</v>
      </c>
      <c r="F260" s="26">
        <v>52100</v>
      </c>
      <c r="G260" s="26">
        <v>0</v>
      </c>
      <c r="H260" s="26">
        <v>0</v>
      </c>
      <c r="I260" s="26">
        <v>0</v>
      </c>
      <c r="J260" s="59">
        <f t="shared" si="25"/>
        <v>0</v>
      </c>
      <c r="K260" s="26">
        <v>0</v>
      </c>
      <c r="L260" s="26">
        <v>0</v>
      </c>
      <c r="M260" s="26">
        <v>0</v>
      </c>
      <c r="N260" s="26">
        <v>0</v>
      </c>
      <c r="O260" s="26">
        <v>0</v>
      </c>
      <c r="P260" s="25">
        <f t="shared" si="26"/>
        <v>52100</v>
      </c>
    </row>
    <row r="261" spans="1:16" s="11" customFormat="1" ht="120">
      <c r="A261" s="22"/>
      <c r="B261" s="23"/>
      <c r="C261" s="24"/>
      <c r="D261" s="90" t="s">
        <v>504</v>
      </c>
      <c r="E261" s="59">
        <f t="shared" si="27"/>
        <v>52100</v>
      </c>
      <c r="F261" s="26">
        <f>F260</f>
        <v>52100</v>
      </c>
      <c r="G261" s="26"/>
      <c r="H261" s="26"/>
      <c r="I261" s="26"/>
      <c r="J261" s="59">
        <f t="shared" si="25"/>
        <v>0</v>
      </c>
      <c r="K261" s="26"/>
      <c r="L261" s="26"/>
      <c r="M261" s="26"/>
      <c r="N261" s="26"/>
      <c r="O261" s="26"/>
      <c r="P261" s="25">
        <f t="shared" si="26"/>
        <v>52100</v>
      </c>
    </row>
    <row r="262" spans="1:16" s="11" customFormat="1" ht="30">
      <c r="A262" s="22" t="s">
        <v>458</v>
      </c>
      <c r="B262" s="23" t="s">
        <v>256</v>
      </c>
      <c r="C262" s="24" t="s">
        <v>57</v>
      </c>
      <c r="D262" s="75" t="s">
        <v>257</v>
      </c>
      <c r="E262" s="59">
        <f t="shared" si="27"/>
        <v>14575400</v>
      </c>
      <c r="F262" s="26">
        <f>11075400+3500000</f>
        <v>14575400</v>
      </c>
      <c r="G262" s="26">
        <v>0</v>
      </c>
      <c r="H262" s="26">
        <v>0</v>
      </c>
      <c r="I262" s="26">
        <v>0</v>
      </c>
      <c r="J262" s="59">
        <f t="shared" si="25"/>
        <v>0</v>
      </c>
      <c r="K262" s="26">
        <v>0</v>
      </c>
      <c r="L262" s="26">
        <v>0</v>
      </c>
      <c r="M262" s="26">
        <v>0</v>
      </c>
      <c r="N262" s="26">
        <v>0</v>
      </c>
      <c r="O262" s="26">
        <v>0</v>
      </c>
      <c r="P262" s="25">
        <f t="shared" si="26"/>
        <v>14575400</v>
      </c>
    </row>
    <row r="263" spans="1:16" s="11" customFormat="1" ht="120">
      <c r="A263" s="22"/>
      <c r="B263" s="23"/>
      <c r="C263" s="24"/>
      <c r="D263" s="90" t="s">
        <v>504</v>
      </c>
      <c r="E263" s="59">
        <f t="shared" si="27"/>
        <v>14575400</v>
      </c>
      <c r="F263" s="26">
        <f>F262</f>
        <v>14575400</v>
      </c>
      <c r="G263" s="26"/>
      <c r="H263" s="26"/>
      <c r="I263" s="26"/>
      <c r="J263" s="59">
        <f t="shared" si="25"/>
        <v>0</v>
      </c>
      <c r="K263" s="26"/>
      <c r="L263" s="26"/>
      <c r="M263" s="26"/>
      <c r="N263" s="26"/>
      <c r="O263" s="26"/>
      <c r="P263" s="25">
        <f t="shared" si="26"/>
        <v>14575400</v>
      </c>
    </row>
    <row r="264" spans="1:16" s="11" customFormat="1" ht="30">
      <c r="A264" s="22" t="s">
        <v>459</v>
      </c>
      <c r="B264" s="23" t="s">
        <v>258</v>
      </c>
      <c r="C264" s="24" t="s">
        <v>49</v>
      </c>
      <c r="D264" s="75" t="s">
        <v>259</v>
      </c>
      <c r="E264" s="59">
        <f t="shared" si="27"/>
        <v>13118720.46</v>
      </c>
      <c r="F264" s="26">
        <f>12197800+920920.46</f>
        <v>13118720.46</v>
      </c>
      <c r="G264" s="26">
        <v>0</v>
      </c>
      <c r="H264" s="26">
        <v>0</v>
      </c>
      <c r="I264" s="26">
        <v>0</v>
      </c>
      <c r="J264" s="59">
        <f t="shared" si="25"/>
        <v>0</v>
      </c>
      <c r="K264" s="26">
        <v>0</v>
      </c>
      <c r="L264" s="26">
        <v>0</v>
      </c>
      <c r="M264" s="26">
        <v>0</v>
      </c>
      <c r="N264" s="26">
        <v>0</v>
      </c>
      <c r="O264" s="26">
        <v>0</v>
      </c>
      <c r="P264" s="25">
        <f t="shared" si="26"/>
        <v>13118720.46</v>
      </c>
    </row>
    <row r="265" spans="1:16" s="11" customFormat="1" ht="120">
      <c r="A265" s="22"/>
      <c r="B265" s="23"/>
      <c r="C265" s="24"/>
      <c r="D265" s="90" t="s">
        <v>504</v>
      </c>
      <c r="E265" s="59">
        <f t="shared" si="27"/>
        <v>13118720.46</v>
      </c>
      <c r="F265" s="26">
        <f>F264</f>
        <v>13118720.46</v>
      </c>
      <c r="G265" s="26"/>
      <c r="H265" s="26"/>
      <c r="I265" s="26"/>
      <c r="J265" s="59">
        <f t="shared" si="25"/>
        <v>0</v>
      </c>
      <c r="K265" s="26"/>
      <c r="L265" s="26"/>
      <c r="M265" s="26"/>
      <c r="N265" s="26"/>
      <c r="O265" s="26"/>
      <c r="P265" s="25">
        <f t="shared" si="26"/>
        <v>13118720.46</v>
      </c>
    </row>
    <row r="266" spans="1:16" s="11" customFormat="1" ht="42.75">
      <c r="A266" s="3" t="s">
        <v>460</v>
      </c>
      <c r="B266" s="5" t="s">
        <v>260</v>
      </c>
      <c r="C266" s="4" t="s">
        <v>49</v>
      </c>
      <c r="D266" s="73" t="s">
        <v>533</v>
      </c>
      <c r="E266" s="58">
        <f>F266+I266</f>
        <v>4093800</v>
      </c>
      <c r="F266" s="21">
        <v>4093800</v>
      </c>
      <c r="G266" s="21">
        <v>0</v>
      </c>
      <c r="H266" s="21">
        <v>0</v>
      </c>
      <c r="I266" s="21">
        <v>0</v>
      </c>
      <c r="J266" s="58">
        <f>K266+N266</f>
        <v>0</v>
      </c>
      <c r="K266" s="21">
        <v>0</v>
      </c>
      <c r="L266" s="21">
        <v>0</v>
      </c>
      <c r="M266" s="21">
        <v>0</v>
      </c>
      <c r="N266" s="21">
        <v>0</v>
      </c>
      <c r="O266" s="21">
        <v>0</v>
      </c>
      <c r="P266" s="20">
        <f t="shared" si="26"/>
        <v>4093800</v>
      </c>
    </row>
    <row r="267" spans="1:16" s="11" customFormat="1" ht="120">
      <c r="A267" s="22"/>
      <c r="B267" s="23"/>
      <c r="C267" s="24"/>
      <c r="D267" s="90" t="s">
        <v>504</v>
      </c>
      <c r="E267" s="59">
        <f t="shared" si="27"/>
        <v>4093800</v>
      </c>
      <c r="F267" s="26">
        <f>F266</f>
        <v>4093800</v>
      </c>
      <c r="G267" s="26"/>
      <c r="H267" s="26"/>
      <c r="I267" s="26"/>
      <c r="J267" s="59">
        <f t="shared" si="25"/>
        <v>0</v>
      </c>
      <c r="K267" s="26"/>
      <c r="L267" s="26"/>
      <c r="M267" s="26"/>
      <c r="N267" s="26"/>
      <c r="O267" s="26"/>
      <c r="P267" s="25">
        <f t="shared" si="26"/>
        <v>4093800</v>
      </c>
    </row>
    <row r="268" spans="1:17" s="11" customFormat="1" ht="42.75">
      <c r="A268" s="16" t="s">
        <v>461</v>
      </c>
      <c r="B268" s="17"/>
      <c r="C268" s="18"/>
      <c r="D268" s="74" t="s">
        <v>261</v>
      </c>
      <c r="E268" s="57">
        <f>F268+I268</f>
        <v>5003557.35</v>
      </c>
      <c r="F268" s="19">
        <f>F269</f>
        <v>5003557.35</v>
      </c>
      <c r="G268" s="19">
        <f>G269</f>
        <v>3767460</v>
      </c>
      <c r="H268" s="19">
        <f>H269</f>
        <v>187800</v>
      </c>
      <c r="I268" s="19">
        <f>I269</f>
        <v>0</v>
      </c>
      <c r="J268" s="57">
        <f>K268+N268</f>
        <v>73100</v>
      </c>
      <c r="K268" s="19">
        <f>K269</f>
        <v>73100</v>
      </c>
      <c r="L268" s="19">
        <f>L269</f>
        <v>50900</v>
      </c>
      <c r="M268" s="19">
        <f>M269</f>
        <v>0</v>
      </c>
      <c r="N268" s="19">
        <f>N269</f>
        <v>0</v>
      </c>
      <c r="O268" s="19">
        <f>O269</f>
        <v>0</v>
      </c>
      <c r="P268" s="19">
        <f t="shared" si="26"/>
        <v>5076657.35</v>
      </c>
      <c r="Q268" s="108">
        <f>P268-'[1]Лист1'!$P$223</f>
        <v>67257.34999999963</v>
      </c>
    </row>
    <row r="269" spans="1:16" s="11" customFormat="1" ht="63.75" customHeight="1">
      <c r="A269" s="22" t="s">
        <v>462</v>
      </c>
      <c r="B269" s="23" t="s">
        <v>262</v>
      </c>
      <c r="C269" s="24" t="s">
        <v>53</v>
      </c>
      <c r="D269" s="75" t="s">
        <v>263</v>
      </c>
      <c r="E269" s="59">
        <f>F269+I269</f>
        <v>5003557.35</v>
      </c>
      <c r="F269" s="26">
        <f>4936300+3357.35+60900+3000</f>
        <v>5003557.35</v>
      </c>
      <c r="G269" s="26">
        <v>3767460</v>
      </c>
      <c r="H269" s="26">
        <f>126900+60900</f>
        <v>187800</v>
      </c>
      <c r="I269" s="26">
        <v>0</v>
      </c>
      <c r="J269" s="59">
        <f>K269+N269</f>
        <v>73100</v>
      </c>
      <c r="K269" s="26">
        <v>73100</v>
      </c>
      <c r="L269" s="26">
        <v>50900</v>
      </c>
      <c r="M269" s="26">
        <v>0</v>
      </c>
      <c r="N269" s="26">
        <v>0</v>
      </c>
      <c r="O269" s="26">
        <v>0</v>
      </c>
      <c r="P269" s="25">
        <f t="shared" si="26"/>
        <v>5076657.35</v>
      </c>
    </row>
    <row r="270" spans="1:17" s="11" customFormat="1" ht="85.5">
      <c r="A270" s="16" t="s">
        <v>463</v>
      </c>
      <c r="B270" s="17"/>
      <c r="C270" s="18"/>
      <c r="D270" s="74" t="s">
        <v>264</v>
      </c>
      <c r="E270" s="57">
        <f>F270+I270</f>
        <v>365600</v>
      </c>
      <c r="F270" s="19">
        <f>F271</f>
        <v>365600</v>
      </c>
      <c r="G270" s="19">
        <f>G271</f>
        <v>0</v>
      </c>
      <c r="H270" s="19">
        <f>H271</f>
        <v>0</v>
      </c>
      <c r="I270" s="19">
        <f>I271</f>
        <v>0</v>
      </c>
      <c r="J270" s="57">
        <f>K270+N270</f>
        <v>0</v>
      </c>
      <c r="K270" s="19">
        <f>K271</f>
        <v>0</v>
      </c>
      <c r="L270" s="19">
        <f>L271</f>
        <v>0</v>
      </c>
      <c r="M270" s="19">
        <f>M271</f>
        <v>0</v>
      </c>
      <c r="N270" s="19">
        <f>N271</f>
        <v>0</v>
      </c>
      <c r="O270" s="19">
        <f>O271</f>
        <v>0</v>
      </c>
      <c r="P270" s="19">
        <f t="shared" si="26"/>
        <v>365600</v>
      </c>
      <c r="Q270" s="108">
        <f>P270-'[1]Лист1'!$P$225</f>
        <v>0</v>
      </c>
    </row>
    <row r="271" spans="1:16" s="11" customFormat="1" ht="75">
      <c r="A271" s="22" t="s">
        <v>464</v>
      </c>
      <c r="B271" s="23" t="s">
        <v>265</v>
      </c>
      <c r="C271" s="24" t="s">
        <v>49</v>
      </c>
      <c r="D271" s="75" t="s">
        <v>266</v>
      </c>
      <c r="E271" s="59">
        <f>F271+I271</f>
        <v>365600</v>
      </c>
      <c r="F271" s="26">
        <v>365600</v>
      </c>
      <c r="G271" s="26">
        <v>0</v>
      </c>
      <c r="H271" s="26">
        <v>0</v>
      </c>
      <c r="I271" s="26">
        <v>0</v>
      </c>
      <c r="J271" s="59">
        <f>K271+N271</f>
        <v>0</v>
      </c>
      <c r="K271" s="26">
        <v>0</v>
      </c>
      <c r="L271" s="26">
        <v>0</v>
      </c>
      <c r="M271" s="26">
        <v>0</v>
      </c>
      <c r="N271" s="26">
        <v>0</v>
      </c>
      <c r="O271" s="26">
        <v>0</v>
      </c>
      <c r="P271" s="25">
        <f t="shared" si="26"/>
        <v>365600</v>
      </c>
    </row>
    <row r="272" spans="1:17" s="53" customFormat="1" ht="99.75">
      <c r="A272" s="3" t="s">
        <v>465</v>
      </c>
      <c r="B272" s="5" t="s">
        <v>267</v>
      </c>
      <c r="C272" s="4" t="s">
        <v>226</v>
      </c>
      <c r="D272" s="73" t="s">
        <v>268</v>
      </c>
      <c r="E272" s="58">
        <f aca="true" t="shared" si="28" ref="E272:E284">F272+I272</f>
        <v>894600</v>
      </c>
      <c r="F272" s="21">
        <f>955500-60900</f>
        <v>894600</v>
      </c>
      <c r="G272" s="21">
        <v>0</v>
      </c>
      <c r="H272" s="21">
        <v>0</v>
      </c>
      <c r="I272" s="21">
        <v>0</v>
      </c>
      <c r="J272" s="58">
        <f aca="true" t="shared" si="29" ref="J272:J284">K272+N272</f>
        <v>0</v>
      </c>
      <c r="K272" s="21">
        <v>0</v>
      </c>
      <c r="L272" s="21">
        <v>0</v>
      </c>
      <c r="M272" s="21">
        <v>0</v>
      </c>
      <c r="N272" s="21">
        <v>0</v>
      </c>
      <c r="O272" s="21">
        <v>0</v>
      </c>
      <c r="P272" s="20">
        <f t="shared" si="26"/>
        <v>894600</v>
      </c>
      <c r="Q272" s="119">
        <f>P272-'[1]Лист1'!$P$227</f>
        <v>-60900</v>
      </c>
    </row>
    <row r="273" spans="1:17" s="53" customFormat="1" ht="28.5">
      <c r="A273" s="16" t="s">
        <v>466</v>
      </c>
      <c r="B273" s="17"/>
      <c r="C273" s="18"/>
      <c r="D273" s="74" t="s">
        <v>211</v>
      </c>
      <c r="E273" s="57">
        <f t="shared" si="28"/>
        <v>55000</v>
      </c>
      <c r="F273" s="19">
        <f>F274</f>
        <v>55000</v>
      </c>
      <c r="G273" s="19">
        <f>G274</f>
        <v>0</v>
      </c>
      <c r="H273" s="19">
        <f>H274</f>
        <v>0</v>
      </c>
      <c r="I273" s="19">
        <f>I274</f>
        <v>0</v>
      </c>
      <c r="J273" s="57">
        <f t="shared" si="29"/>
        <v>0</v>
      </c>
      <c r="K273" s="19">
        <f>K274</f>
        <v>0</v>
      </c>
      <c r="L273" s="19">
        <f>L274</f>
        <v>0</v>
      </c>
      <c r="M273" s="19">
        <f>M274</f>
        <v>0</v>
      </c>
      <c r="N273" s="19">
        <f>N274</f>
        <v>0</v>
      </c>
      <c r="O273" s="19">
        <f>O274</f>
        <v>0</v>
      </c>
      <c r="P273" s="19">
        <f t="shared" si="26"/>
        <v>55000</v>
      </c>
      <c r="Q273" s="119">
        <f>P273-'[1]Лист1'!$P$228</f>
        <v>0</v>
      </c>
    </row>
    <row r="274" spans="1:16" s="11" customFormat="1" ht="60">
      <c r="A274" s="22" t="s">
        <v>467</v>
      </c>
      <c r="B274" s="23" t="s">
        <v>213</v>
      </c>
      <c r="C274" s="24" t="s">
        <v>186</v>
      </c>
      <c r="D274" s="75" t="s">
        <v>214</v>
      </c>
      <c r="E274" s="59">
        <f t="shared" si="28"/>
        <v>55000</v>
      </c>
      <c r="F274" s="26">
        <v>55000</v>
      </c>
      <c r="G274" s="26">
        <v>0</v>
      </c>
      <c r="H274" s="26">
        <v>0</v>
      </c>
      <c r="I274" s="26">
        <v>0</v>
      </c>
      <c r="J274" s="59">
        <f t="shared" si="29"/>
        <v>0</v>
      </c>
      <c r="K274" s="26">
        <v>0</v>
      </c>
      <c r="L274" s="26">
        <v>0</v>
      </c>
      <c r="M274" s="26">
        <v>0</v>
      </c>
      <c r="N274" s="26">
        <v>0</v>
      </c>
      <c r="O274" s="26">
        <v>0</v>
      </c>
      <c r="P274" s="25">
        <f t="shared" si="26"/>
        <v>55000</v>
      </c>
    </row>
    <row r="275" spans="1:17" s="53" customFormat="1" ht="28.5">
      <c r="A275" s="3" t="s">
        <v>468</v>
      </c>
      <c r="B275" s="5" t="s">
        <v>219</v>
      </c>
      <c r="C275" s="4" t="s">
        <v>61</v>
      </c>
      <c r="D275" s="73" t="s">
        <v>220</v>
      </c>
      <c r="E275" s="58">
        <f t="shared" si="28"/>
        <v>21000</v>
      </c>
      <c r="F275" s="21">
        <v>21000</v>
      </c>
      <c r="G275" s="21">
        <v>0</v>
      </c>
      <c r="H275" s="21">
        <v>0</v>
      </c>
      <c r="I275" s="21">
        <v>0</v>
      </c>
      <c r="J275" s="58">
        <f t="shared" si="29"/>
        <v>0</v>
      </c>
      <c r="K275" s="21">
        <v>0</v>
      </c>
      <c r="L275" s="21">
        <v>0</v>
      </c>
      <c r="M275" s="21">
        <v>0</v>
      </c>
      <c r="N275" s="21">
        <v>0</v>
      </c>
      <c r="O275" s="21">
        <v>0</v>
      </c>
      <c r="P275" s="20">
        <f t="shared" si="26"/>
        <v>21000</v>
      </c>
      <c r="Q275" s="119">
        <f>P275-'[1]Лист1'!$P$230</f>
        <v>0</v>
      </c>
    </row>
    <row r="276" spans="1:17" s="134" customFormat="1" ht="28.5">
      <c r="A276" s="16" t="s">
        <v>559</v>
      </c>
      <c r="B276" s="64">
        <v>6320</v>
      </c>
      <c r="C276" s="65" t="s">
        <v>226</v>
      </c>
      <c r="D276" s="74" t="s">
        <v>560</v>
      </c>
      <c r="E276" s="57">
        <f>F276+I276</f>
        <v>0</v>
      </c>
      <c r="F276" s="19">
        <v>0</v>
      </c>
      <c r="G276" s="19">
        <v>0</v>
      </c>
      <c r="H276" s="19">
        <v>0</v>
      </c>
      <c r="I276" s="19">
        <v>0</v>
      </c>
      <c r="J276" s="57">
        <f>K276+N276</f>
        <v>1142336</v>
      </c>
      <c r="K276" s="19">
        <v>0</v>
      </c>
      <c r="L276" s="19">
        <v>0</v>
      </c>
      <c r="M276" s="19">
        <v>0</v>
      </c>
      <c r="N276" s="19">
        <f>N277</f>
        <v>1142336</v>
      </c>
      <c r="O276" s="19">
        <f>O277</f>
        <v>1142336</v>
      </c>
      <c r="P276" s="19">
        <f>E276+J276</f>
        <v>1142336</v>
      </c>
      <c r="Q276" s="133">
        <f>P276-'[1]Лист1'!$P$230</f>
        <v>1121336</v>
      </c>
    </row>
    <row r="277" spans="1:17" s="53" customFormat="1" ht="42" customHeight="1">
      <c r="A277" s="3" t="s">
        <v>561</v>
      </c>
      <c r="B277" s="5">
        <v>6324</v>
      </c>
      <c r="C277" s="4" t="s">
        <v>226</v>
      </c>
      <c r="D277" s="73" t="s">
        <v>562</v>
      </c>
      <c r="E277" s="58">
        <f>F277+I277</f>
        <v>0</v>
      </c>
      <c r="F277" s="21">
        <f>F278</f>
        <v>0</v>
      </c>
      <c r="G277" s="21">
        <f>G278</f>
        <v>0</v>
      </c>
      <c r="H277" s="21">
        <f>H278</f>
        <v>0</v>
      </c>
      <c r="I277" s="21">
        <f>I278</f>
        <v>0</v>
      </c>
      <c r="J277" s="58">
        <f>K277+N277</f>
        <v>1142336</v>
      </c>
      <c r="K277" s="21">
        <f>K278</f>
        <v>0</v>
      </c>
      <c r="L277" s="21">
        <f>L278</f>
        <v>0</v>
      </c>
      <c r="M277" s="21">
        <f>M278</f>
        <v>0</v>
      </c>
      <c r="N277" s="21">
        <f>N278</f>
        <v>1142336</v>
      </c>
      <c r="O277" s="21">
        <f>O278</f>
        <v>1142336</v>
      </c>
      <c r="P277" s="20">
        <f>E277+J277</f>
        <v>1142336</v>
      </c>
      <c r="Q277" s="119">
        <f>P277-'[1]Лист1'!$P$230</f>
        <v>1121336</v>
      </c>
    </row>
    <row r="278" spans="1:17" s="47" customFormat="1" ht="300">
      <c r="A278" s="42"/>
      <c r="B278" s="43"/>
      <c r="C278" s="44"/>
      <c r="D278" s="113" t="s">
        <v>582</v>
      </c>
      <c r="E278" s="61">
        <f>F278+I278</f>
        <v>0</v>
      </c>
      <c r="F278" s="46"/>
      <c r="G278" s="46"/>
      <c r="H278" s="46"/>
      <c r="I278" s="46"/>
      <c r="J278" s="61">
        <f>K278+N278</f>
        <v>1142336</v>
      </c>
      <c r="K278" s="46"/>
      <c r="L278" s="46"/>
      <c r="M278" s="46"/>
      <c r="N278" s="46">
        <v>1142336</v>
      </c>
      <c r="O278" s="46">
        <f>0+1142336</f>
        <v>1142336</v>
      </c>
      <c r="P278" s="45">
        <f>E278+J278</f>
        <v>1142336</v>
      </c>
      <c r="Q278" s="129">
        <f>P278-'[1]Лист1'!$P$230</f>
        <v>1121336</v>
      </c>
    </row>
    <row r="279" spans="1:16" s="100" customFormat="1" ht="42.75">
      <c r="A279" s="27" t="s">
        <v>436</v>
      </c>
      <c r="B279" s="28"/>
      <c r="C279" s="29"/>
      <c r="D279" s="78" t="s">
        <v>471</v>
      </c>
      <c r="E279" s="58">
        <f t="shared" si="28"/>
        <v>239690606.88000003</v>
      </c>
      <c r="F279" s="20">
        <f>F280+F281+F283+F295+F302+F321+F323+F325+F327+F328+F330</f>
        <v>239690606.88000003</v>
      </c>
      <c r="G279" s="20">
        <f>G280+G281+G283+G295+G302+G321+G323+G325+G327+G328+G330</f>
        <v>9876757</v>
      </c>
      <c r="H279" s="20">
        <f>H280+H281+H283+H295+H302+H321+H323+H325+H327+H328+H330</f>
        <v>537549</v>
      </c>
      <c r="I279" s="20">
        <f>I280+I281+I283+I295+I302+I321+I323+I325+I327+I328+I330</f>
        <v>0</v>
      </c>
      <c r="J279" s="58">
        <f t="shared" si="29"/>
        <v>55000</v>
      </c>
      <c r="K279" s="20">
        <f>K280+K281+K283+K295+K302+K321+K323+K325+K327+K328+K330</f>
        <v>55000</v>
      </c>
      <c r="L279" s="20">
        <f>L280+L281+L283+L295+L302+L321+L323+L325+L327+L328+L330</f>
        <v>38900</v>
      </c>
      <c r="M279" s="20">
        <f>M280+M281+M283+M295+M302+M321+M323+M325+M327+M328+M330</f>
        <v>0</v>
      </c>
      <c r="N279" s="20">
        <f>N280+N281+N283+N295+N302+N321+N323+N325+N327+N328+N330</f>
        <v>0</v>
      </c>
      <c r="O279" s="20">
        <f>O280+O281+O283+O295+O302+O321+O323+O325+O327+O328+O330</f>
        <v>0</v>
      </c>
      <c r="P279" s="20">
        <f t="shared" si="26"/>
        <v>239745606.88000003</v>
      </c>
    </row>
    <row r="280" spans="1:17" s="53" customFormat="1" ht="42.75">
      <c r="A280" s="3" t="s">
        <v>437</v>
      </c>
      <c r="B280" s="30" t="s">
        <v>35</v>
      </c>
      <c r="C280" s="30" t="s">
        <v>20</v>
      </c>
      <c r="D280" s="73" t="s">
        <v>538</v>
      </c>
      <c r="E280" s="58">
        <f t="shared" si="28"/>
        <v>7201995</v>
      </c>
      <c r="F280" s="21">
        <f>7062195+30000+109800</f>
        <v>7201995</v>
      </c>
      <c r="G280" s="21">
        <f>5516677+90000</f>
        <v>5606677</v>
      </c>
      <c r="H280" s="21">
        <v>170549</v>
      </c>
      <c r="I280" s="21">
        <v>0</v>
      </c>
      <c r="J280" s="58">
        <f t="shared" si="29"/>
        <v>0</v>
      </c>
      <c r="K280" s="21">
        <v>0</v>
      </c>
      <c r="L280" s="21">
        <v>0</v>
      </c>
      <c r="M280" s="21">
        <v>0</v>
      </c>
      <c r="N280" s="21">
        <v>0</v>
      </c>
      <c r="O280" s="21">
        <v>0</v>
      </c>
      <c r="P280" s="20">
        <f t="shared" si="26"/>
        <v>7201995</v>
      </c>
      <c r="Q280" s="119">
        <f>P280-'[1]Лист1'!$P$232</f>
        <v>139800</v>
      </c>
    </row>
    <row r="281" spans="1:17" s="53" customFormat="1" ht="85.5">
      <c r="A281" s="3" t="s">
        <v>439</v>
      </c>
      <c r="B281" s="5" t="s">
        <v>226</v>
      </c>
      <c r="C281" s="4" t="s">
        <v>48</v>
      </c>
      <c r="D281" s="73" t="s">
        <v>478</v>
      </c>
      <c r="E281" s="58">
        <f t="shared" si="28"/>
        <v>1725400</v>
      </c>
      <c r="F281" s="21">
        <f>1845400-120000</f>
        <v>1725400</v>
      </c>
      <c r="G281" s="21">
        <v>0</v>
      </c>
      <c r="H281" s="21">
        <v>0</v>
      </c>
      <c r="I281" s="21">
        <v>0</v>
      </c>
      <c r="J281" s="58">
        <f t="shared" si="29"/>
        <v>0</v>
      </c>
      <c r="K281" s="21">
        <v>0</v>
      </c>
      <c r="L281" s="21">
        <v>0</v>
      </c>
      <c r="M281" s="21">
        <v>0</v>
      </c>
      <c r="N281" s="21">
        <v>0</v>
      </c>
      <c r="O281" s="21">
        <v>0</v>
      </c>
      <c r="P281" s="20">
        <f t="shared" si="26"/>
        <v>1725400</v>
      </c>
      <c r="Q281" s="119">
        <f>P281-'[1]Лист1'!$P$233</f>
        <v>-120000</v>
      </c>
    </row>
    <row r="282" spans="1:16" s="11" customFormat="1" ht="210" customHeight="1">
      <c r="A282" s="22"/>
      <c r="B282" s="23"/>
      <c r="C282" s="24"/>
      <c r="D282" s="77" t="s">
        <v>503</v>
      </c>
      <c r="E282" s="59">
        <f t="shared" si="28"/>
        <v>1725400</v>
      </c>
      <c r="F282" s="26">
        <f>F281</f>
        <v>1725400</v>
      </c>
      <c r="G282" s="26"/>
      <c r="H282" s="26"/>
      <c r="I282" s="26"/>
      <c r="J282" s="59">
        <f t="shared" si="29"/>
        <v>0</v>
      </c>
      <c r="K282" s="26"/>
      <c r="L282" s="26"/>
      <c r="M282" s="26"/>
      <c r="N282" s="26"/>
      <c r="O282" s="26"/>
      <c r="P282" s="25">
        <f t="shared" si="26"/>
        <v>1725400</v>
      </c>
    </row>
    <row r="283" spans="1:17" s="53" customFormat="1" ht="85.5">
      <c r="A283" s="16" t="s">
        <v>438</v>
      </c>
      <c r="B283" s="17"/>
      <c r="C283" s="18"/>
      <c r="D283" s="89" t="s">
        <v>485</v>
      </c>
      <c r="E283" s="57">
        <f t="shared" si="28"/>
        <v>138392716.61</v>
      </c>
      <c r="F283" s="19">
        <f>F284+F286+F289+F291+F293</f>
        <v>138392716.61</v>
      </c>
      <c r="G283" s="19">
        <f>G284+G286+G289+G291+G293</f>
        <v>0</v>
      </c>
      <c r="H283" s="19">
        <f>H284+H286+H289+H291+H293</f>
        <v>0</v>
      </c>
      <c r="I283" s="19">
        <f>I284+I286+I289+I291+I293</f>
        <v>0</v>
      </c>
      <c r="J283" s="57">
        <f t="shared" si="29"/>
        <v>0</v>
      </c>
      <c r="K283" s="19">
        <f>K284+K286+K289+K291+K293</f>
        <v>0</v>
      </c>
      <c r="L283" s="19">
        <f>L284+L286+L289+L291+L293</f>
        <v>0</v>
      </c>
      <c r="M283" s="19">
        <f>M284+M286+M289+M291+M293</f>
        <v>0</v>
      </c>
      <c r="N283" s="19">
        <f>N284+N286+N289+N291+N293</f>
        <v>0</v>
      </c>
      <c r="O283" s="19">
        <f>O284+O286+O289+O291+O293</f>
        <v>0</v>
      </c>
      <c r="P283" s="19">
        <f t="shared" si="26"/>
        <v>138392716.61</v>
      </c>
      <c r="Q283" s="119">
        <f>P283-'[1]Лист1'!$P$235</f>
        <v>46447053.51000002</v>
      </c>
    </row>
    <row r="284" spans="1:16" s="11" customFormat="1" ht="270">
      <c r="A284" s="22" t="s">
        <v>440</v>
      </c>
      <c r="B284" s="23" t="s">
        <v>227</v>
      </c>
      <c r="C284" s="24" t="s">
        <v>186</v>
      </c>
      <c r="D284" s="90" t="s">
        <v>481</v>
      </c>
      <c r="E284" s="59">
        <f t="shared" si="28"/>
        <v>6534860.219999999</v>
      </c>
      <c r="F284" s="26">
        <f>8440000+115678.85-5028992.49+15712.02+213889.92+67871.64+132974.19-132974.19+2710700.28</f>
        <v>6534860.219999999</v>
      </c>
      <c r="G284" s="26">
        <v>0</v>
      </c>
      <c r="H284" s="26">
        <v>0</v>
      </c>
      <c r="I284" s="26">
        <v>0</v>
      </c>
      <c r="J284" s="59">
        <f t="shared" si="29"/>
        <v>0</v>
      </c>
      <c r="K284" s="26">
        <v>0</v>
      </c>
      <c r="L284" s="26">
        <v>0</v>
      </c>
      <c r="M284" s="26">
        <v>0</v>
      </c>
      <c r="N284" s="26">
        <v>0</v>
      </c>
      <c r="O284" s="26">
        <v>0</v>
      </c>
      <c r="P284" s="25">
        <f t="shared" si="26"/>
        <v>6534860.219999999</v>
      </c>
    </row>
    <row r="285" spans="1:16" s="11" customFormat="1" ht="135">
      <c r="A285" s="32"/>
      <c r="B285" s="33"/>
      <c r="C285" s="34"/>
      <c r="D285" s="90" t="s">
        <v>506</v>
      </c>
      <c r="E285" s="59">
        <f>F285+I285</f>
        <v>6534860.219999999</v>
      </c>
      <c r="F285" s="26">
        <f>F284</f>
        <v>6534860.219999999</v>
      </c>
      <c r="G285" s="26"/>
      <c r="H285" s="26"/>
      <c r="I285" s="26"/>
      <c r="J285" s="59">
        <f>K285+N285</f>
        <v>0</v>
      </c>
      <c r="K285" s="26"/>
      <c r="L285" s="26"/>
      <c r="M285" s="26"/>
      <c r="N285" s="26"/>
      <c r="O285" s="26"/>
      <c r="P285" s="25">
        <f t="shared" si="26"/>
        <v>6534860.219999999</v>
      </c>
    </row>
    <row r="286" spans="1:16" s="11" customFormat="1" ht="345">
      <c r="A286" s="165" t="s">
        <v>441</v>
      </c>
      <c r="B286" s="167" t="s">
        <v>228</v>
      </c>
      <c r="C286" s="170" t="s">
        <v>186</v>
      </c>
      <c r="D286" s="104" t="s">
        <v>482</v>
      </c>
      <c r="E286" s="162">
        <f>F286+I286</f>
        <v>552279.0299999999</v>
      </c>
      <c r="F286" s="161">
        <f>671000+10062.99-379093.58+2497.97+20546.77+6323.48+12396.77-12396.77+220941.4</f>
        <v>552279.0299999999</v>
      </c>
      <c r="G286" s="161">
        <v>0</v>
      </c>
      <c r="H286" s="161">
        <v>0</v>
      </c>
      <c r="I286" s="161">
        <v>0</v>
      </c>
      <c r="J286" s="162">
        <f>K286+N286</f>
        <v>0</v>
      </c>
      <c r="K286" s="161">
        <v>0</v>
      </c>
      <c r="L286" s="161">
        <v>0</v>
      </c>
      <c r="M286" s="161">
        <v>0</v>
      </c>
      <c r="N286" s="161">
        <v>0</v>
      </c>
      <c r="O286" s="161">
        <v>0</v>
      </c>
      <c r="P286" s="164">
        <f t="shared" si="26"/>
        <v>552279.0299999999</v>
      </c>
    </row>
    <row r="287" spans="1:16" s="11" customFormat="1" ht="409.5">
      <c r="A287" s="166"/>
      <c r="B287" s="168"/>
      <c r="C287" s="171"/>
      <c r="D287" s="107" t="s">
        <v>483</v>
      </c>
      <c r="E287" s="162"/>
      <c r="F287" s="161"/>
      <c r="G287" s="161"/>
      <c r="H287" s="161"/>
      <c r="I287" s="161"/>
      <c r="J287" s="162"/>
      <c r="K287" s="161"/>
      <c r="L287" s="161"/>
      <c r="M287" s="161"/>
      <c r="N287" s="161"/>
      <c r="O287" s="161"/>
      <c r="P287" s="164"/>
    </row>
    <row r="288" spans="1:16" s="11" customFormat="1" ht="135">
      <c r="A288" s="36"/>
      <c r="B288" s="37"/>
      <c r="C288" s="38"/>
      <c r="D288" s="90" t="s">
        <v>506</v>
      </c>
      <c r="E288" s="59">
        <f>F288+I288</f>
        <v>552279.0299999999</v>
      </c>
      <c r="F288" s="105">
        <f>F286</f>
        <v>552279.0299999999</v>
      </c>
      <c r="G288" s="105"/>
      <c r="H288" s="105"/>
      <c r="I288" s="105"/>
      <c r="J288" s="59">
        <f>K288+N288</f>
        <v>0</v>
      </c>
      <c r="K288" s="105"/>
      <c r="L288" s="105"/>
      <c r="M288" s="105"/>
      <c r="N288" s="105"/>
      <c r="O288" s="105"/>
      <c r="P288" s="106">
        <f>E288+J288</f>
        <v>552279.0299999999</v>
      </c>
    </row>
    <row r="289" spans="1:16" s="11" customFormat="1" ht="105">
      <c r="A289" s="22" t="s">
        <v>442</v>
      </c>
      <c r="B289" s="23" t="s">
        <v>229</v>
      </c>
      <c r="C289" s="24" t="s">
        <v>189</v>
      </c>
      <c r="D289" s="75" t="s">
        <v>230</v>
      </c>
      <c r="E289" s="59">
        <f aca="true" t="shared" si="30" ref="E289:E320">F289+I289</f>
        <v>618000.54</v>
      </c>
      <c r="F289" s="26">
        <f>716000+10858.39-366211.08+4628.64+23622.25+6723.49+11458.5-11458.5+222378.85</f>
        <v>618000.54</v>
      </c>
      <c r="G289" s="26">
        <v>0</v>
      </c>
      <c r="H289" s="26">
        <v>0</v>
      </c>
      <c r="I289" s="26">
        <v>0</v>
      </c>
      <c r="J289" s="59">
        <f aca="true" t="shared" si="31" ref="J289:J326">K289+N289</f>
        <v>0</v>
      </c>
      <c r="K289" s="26">
        <v>0</v>
      </c>
      <c r="L289" s="26">
        <v>0</v>
      </c>
      <c r="M289" s="26">
        <v>0</v>
      </c>
      <c r="N289" s="26">
        <v>0</v>
      </c>
      <c r="O289" s="26">
        <v>0</v>
      </c>
      <c r="P289" s="25">
        <f t="shared" si="26"/>
        <v>618000.54</v>
      </c>
    </row>
    <row r="290" spans="1:16" s="11" customFormat="1" ht="135">
      <c r="A290" s="22"/>
      <c r="B290" s="23"/>
      <c r="C290" s="24"/>
      <c r="D290" s="90" t="s">
        <v>506</v>
      </c>
      <c r="E290" s="59">
        <f t="shared" si="30"/>
        <v>618000.54</v>
      </c>
      <c r="F290" s="26">
        <f>F289</f>
        <v>618000.54</v>
      </c>
      <c r="G290" s="26"/>
      <c r="H290" s="26"/>
      <c r="I290" s="26"/>
      <c r="J290" s="59">
        <f t="shared" si="31"/>
        <v>0</v>
      </c>
      <c r="K290" s="26"/>
      <c r="L290" s="26"/>
      <c r="M290" s="26"/>
      <c r="N290" s="26"/>
      <c r="O290" s="26"/>
      <c r="P290" s="25">
        <f t="shared" si="26"/>
        <v>618000.54</v>
      </c>
    </row>
    <row r="291" spans="1:16" s="11" customFormat="1" ht="30">
      <c r="A291" s="22" t="s">
        <v>444</v>
      </c>
      <c r="B291" s="23" t="s">
        <v>232</v>
      </c>
      <c r="C291" s="24" t="s">
        <v>189</v>
      </c>
      <c r="D291" s="75" t="s">
        <v>233</v>
      </c>
      <c r="E291" s="59">
        <f t="shared" si="30"/>
        <v>421694.86</v>
      </c>
      <c r="F291" s="26">
        <f>510000+8169.96-277777.94+1567.67+11545.14+5208.44+11570.5-11570.5+162981.59</f>
        <v>421694.86</v>
      </c>
      <c r="G291" s="26">
        <v>0</v>
      </c>
      <c r="H291" s="26">
        <v>0</v>
      </c>
      <c r="I291" s="26">
        <v>0</v>
      </c>
      <c r="J291" s="59">
        <f t="shared" si="31"/>
        <v>0</v>
      </c>
      <c r="K291" s="26">
        <v>0</v>
      </c>
      <c r="L291" s="26">
        <v>0</v>
      </c>
      <c r="M291" s="26">
        <v>0</v>
      </c>
      <c r="N291" s="26">
        <v>0</v>
      </c>
      <c r="O291" s="26">
        <v>0</v>
      </c>
      <c r="P291" s="25">
        <f t="shared" si="26"/>
        <v>421694.86</v>
      </c>
    </row>
    <row r="292" spans="1:16" s="11" customFormat="1" ht="135">
      <c r="A292" s="22"/>
      <c r="B292" s="23"/>
      <c r="C292" s="24"/>
      <c r="D292" s="90" t="s">
        <v>506</v>
      </c>
      <c r="E292" s="59">
        <f t="shared" si="30"/>
        <v>421694.86</v>
      </c>
      <c r="F292" s="26">
        <f>F291</f>
        <v>421694.86</v>
      </c>
      <c r="G292" s="26"/>
      <c r="H292" s="26"/>
      <c r="I292" s="26"/>
      <c r="J292" s="59">
        <f t="shared" si="31"/>
        <v>0</v>
      </c>
      <c r="K292" s="26"/>
      <c r="L292" s="26"/>
      <c r="M292" s="26"/>
      <c r="N292" s="26"/>
      <c r="O292" s="26"/>
      <c r="P292" s="25">
        <f t="shared" si="26"/>
        <v>421694.86</v>
      </c>
    </row>
    <row r="293" spans="1:16" s="11" customFormat="1" ht="45">
      <c r="A293" s="22" t="s">
        <v>445</v>
      </c>
      <c r="B293" s="23" t="s">
        <v>234</v>
      </c>
      <c r="C293" s="24" t="s">
        <v>226</v>
      </c>
      <c r="D293" s="75" t="s">
        <v>235</v>
      </c>
      <c r="E293" s="59">
        <f t="shared" si="30"/>
        <v>130265881.96000001</v>
      </c>
      <c r="F293" s="26">
        <f>79171600-144770.19+8489138.19-24406.3-269604.08-2785530.3+161979.12-161979.12+45829454.64</f>
        <v>130265881.96000001</v>
      </c>
      <c r="G293" s="26">
        <v>0</v>
      </c>
      <c r="H293" s="26">
        <v>0</v>
      </c>
      <c r="I293" s="26">
        <v>0</v>
      </c>
      <c r="J293" s="59">
        <f t="shared" si="31"/>
        <v>0</v>
      </c>
      <c r="K293" s="26">
        <v>0</v>
      </c>
      <c r="L293" s="26">
        <v>0</v>
      </c>
      <c r="M293" s="26">
        <v>0</v>
      </c>
      <c r="N293" s="26">
        <v>0</v>
      </c>
      <c r="O293" s="26">
        <v>0</v>
      </c>
      <c r="P293" s="25">
        <f t="shared" si="26"/>
        <v>130265881.96000001</v>
      </c>
    </row>
    <row r="294" spans="1:16" s="11" customFormat="1" ht="135">
      <c r="A294" s="22"/>
      <c r="B294" s="23"/>
      <c r="C294" s="24"/>
      <c r="D294" s="90" t="s">
        <v>506</v>
      </c>
      <c r="E294" s="59">
        <f t="shared" si="30"/>
        <v>130265881.96000001</v>
      </c>
      <c r="F294" s="26">
        <f>F293</f>
        <v>130265881.96000001</v>
      </c>
      <c r="G294" s="26"/>
      <c r="H294" s="26"/>
      <c r="I294" s="26"/>
      <c r="J294" s="59">
        <f t="shared" si="31"/>
        <v>0</v>
      </c>
      <c r="K294" s="26"/>
      <c r="L294" s="26"/>
      <c r="M294" s="26"/>
      <c r="N294" s="26"/>
      <c r="O294" s="26"/>
      <c r="P294" s="25">
        <f t="shared" si="26"/>
        <v>130265881.96000001</v>
      </c>
    </row>
    <row r="295" spans="1:17" s="11" customFormat="1" ht="57">
      <c r="A295" s="16" t="s">
        <v>446</v>
      </c>
      <c r="B295" s="17"/>
      <c r="C295" s="18"/>
      <c r="D295" s="88" t="s">
        <v>236</v>
      </c>
      <c r="E295" s="57">
        <f>F295+I295</f>
        <v>118995.27</v>
      </c>
      <c r="F295" s="19">
        <f>F296+F298+F300</f>
        <v>118995.27</v>
      </c>
      <c r="G295" s="19">
        <f>G296+G298+G300</f>
        <v>0</v>
      </c>
      <c r="H295" s="19">
        <f>H296+H298+H300</f>
        <v>0</v>
      </c>
      <c r="I295" s="19">
        <f>I296+I298+I300</f>
        <v>0</v>
      </c>
      <c r="J295" s="57">
        <f>K295+N295</f>
        <v>0</v>
      </c>
      <c r="K295" s="19">
        <f>K296+K298+K300</f>
        <v>0</v>
      </c>
      <c r="L295" s="19">
        <f>L296+L298+L300</f>
        <v>0</v>
      </c>
      <c r="M295" s="19">
        <f>M296+M298+M300</f>
        <v>0</v>
      </c>
      <c r="N295" s="19">
        <f>N296+N298+N300</f>
        <v>0</v>
      </c>
      <c r="O295" s="19">
        <f>O296+O298+O300</f>
        <v>0</v>
      </c>
      <c r="P295" s="19">
        <f t="shared" si="26"/>
        <v>118995.27</v>
      </c>
      <c r="Q295" s="108">
        <f>P295-'[1]Лист1'!$P$247</f>
        <v>38895.270000000004</v>
      </c>
    </row>
    <row r="296" spans="1:16" s="11" customFormat="1" ht="225">
      <c r="A296" s="22" t="s">
        <v>447</v>
      </c>
      <c r="B296" s="23" t="s">
        <v>237</v>
      </c>
      <c r="C296" s="24" t="s">
        <v>186</v>
      </c>
      <c r="D296" s="87" t="s">
        <v>487</v>
      </c>
      <c r="E296" s="59">
        <f t="shared" si="30"/>
        <v>5481.75</v>
      </c>
      <c r="F296" s="26">
        <f>8200-2718.25</f>
        <v>5481.75</v>
      </c>
      <c r="G296" s="26">
        <v>0</v>
      </c>
      <c r="H296" s="26">
        <v>0</v>
      </c>
      <c r="I296" s="26">
        <v>0</v>
      </c>
      <c r="J296" s="59">
        <f t="shared" si="31"/>
        <v>0</v>
      </c>
      <c r="K296" s="26">
        <v>0</v>
      </c>
      <c r="L296" s="26">
        <v>0</v>
      </c>
      <c r="M296" s="26">
        <v>0</v>
      </c>
      <c r="N296" s="26">
        <v>0</v>
      </c>
      <c r="O296" s="26">
        <v>0</v>
      </c>
      <c r="P296" s="25">
        <f t="shared" si="26"/>
        <v>5481.75</v>
      </c>
    </row>
    <row r="297" spans="1:16" s="11" customFormat="1" ht="75">
      <c r="A297" s="22"/>
      <c r="B297" s="23"/>
      <c r="C297" s="24"/>
      <c r="D297" s="11" t="s">
        <v>505</v>
      </c>
      <c r="E297" s="59">
        <f t="shared" si="30"/>
        <v>5481.75</v>
      </c>
      <c r="F297" s="26">
        <f>F296</f>
        <v>5481.75</v>
      </c>
      <c r="G297" s="26"/>
      <c r="H297" s="26"/>
      <c r="I297" s="26"/>
      <c r="J297" s="59">
        <f t="shared" si="31"/>
        <v>0</v>
      </c>
      <c r="K297" s="26"/>
      <c r="L297" s="26"/>
      <c r="M297" s="26"/>
      <c r="N297" s="26"/>
      <c r="O297" s="26"/>
      <c r="P297" s="25">
        <f t="shared" si="26"/>
        <v>5481.75</v>
      </c>
    </row>
    <row r="298" spans="1:16" s="11" customFormat="1" ht="45">
      <c r="A298" s="22" t="s">
        <v>448</v>
      </c>
      <c r="B298" s="23" t="s">
        <v>238</v>
      </c>
      <c r="C298" s="24" t="s">
        <v>189</v>
      </c>
      <c r="D298" s="87" t="s">
        <v>239</v>
      </c>
      <c r="E298" s="59">
        <f t="shared" si="30"/>
        <v>1800</v>
      </c>
      <c r="F298" s="26">
        <v>1800</v>
      </c>
      <c r="G298" s="26">
        <v>0</v>
      </c>
      <c r="H298" s="26">
        <v>0</v>
      </c>
      <c r="I298" s="26">
        <v>0</v>
      </c>
      <c r="J298" s="59">
        <f t="shared" si="31"/>
        <v>0</v>
      </c>
      <c r="K298" s="26">
        <v>0</v>
      </c>
      <c r="L298" s="26">
        <v>0</v>
      </c>
      <c r="M298" s="26">
        <v>0</v>
      </c>
      <c r="N298" s="26">
        <v>0</v>
      </c>
      <c r="O298" s="26">
        <v>0</v>
      </c>
      <c r="P298" s="25">
        <f t="shared" si="26"/>
        <v>1800</v>
      </c>
    </row>
    <row r="299" spans="1:16" s="11" customFormat="1" ht="75">
      <c r="A299" s="22"/>
      <c r="B299" s="23"/>
      <c r="C299" s="24"/>
      <c r="D299" s="11" t="s">
        <v>505</v>
      </c>
      <c r="E299" s="59">
        <f t="shared" si="30"/>
        <v>1800</v>
      </c>
      <c r="F299" s="26">
        <f>F298</f>
        <v>1800</v>
      </c>
      <c r="G299" s="26"/>
      <c r="H299" s="26"/>
      <c r="I299" s="26"/>
      <c r="J299" s="59">
        <f t="shared" si="31"/>
        <v>0</v>
      </c>
      <c r="K299" s="26"/>
      <c r="L299" s="26"/>
      <c r="M299" s="26"/>
      <c r="N299" s="26"/>
      <c r="O299" s="26"/>
      <c r="P299" s="25">
        <f t="shared" si="26"/>
        <v>1800</v>
      </c>
    </row>
    <row r="300" spans="1:16" s="11" customFormat="1" ht="60">
      <c r="A300" s="22" t="s">
        <v>449</v>
      </c>
      <c r="B300" s="23" t="s">
        <v>240</v>
      </c>
      <c r="C300" s="24" t="s">
        <v>226</v>
      </c>
      <c r="D300" s="87" t="s">
        <v>241</v>
      </c>
      <c r="E300" s="59">
        <f t="shared" si="30"/>
        <v>111713.52</v>
      </c>
      <c r="F300" s="26">
        <f>70100+10000+19813.52+11800</f>
        <v>111713.52</v>
      </c>
      <c r="G300" s="26">
        <v>0</v>
      </c>
      <c r="H300" s="26">
        <v>0</v>
      </c>
      <c r="I300" s="26">
        <v>0</v>
      </c>
      <c r="J300" s="59">
        <f t="shared" si="31"/>
        <v>0</v>
      </c>
      <c r="K300" s="26">
        <v>0</v>
      </c>
      <c r="L300" s="26">
        <v>0</v>
      </c>
      <c r="M300" s="26">
        <v>0</v>
      </c>
      <c r="N300" s="26">
        <v>0</v>
      </c>
      <c r="O300" s="26">
        <v>0</v>
      </c>
      <c r="P300" s="25">
        <f t="shared" si="26"/>
        <v>111713.52</v>
      </c>
    </row>
    <row r="301" spans="1:16" s="11" customFormat="1" ht="75">
      <c r="A301" s="22"/>
      <c r="B301" s="23"/>
      <c r="C301" s="24"/>
      <c r="D301" s="11" t="s">
        <v>505</v>
      </c>
      <c r="E301" s="59">
        <f t="shared" si="30"/>
        <v>111713.52</v>
      </c>
      <c r="F301" s="26">
        <f>F300</f>
        <v>111713.52</v>
      </c>
      <c r="G301" s="26"/>
      <c r="H301" s="26"/>
      <c r="I301" s="26"/>
      <c r="J301" s="59">
        <f t="shared" si="31"/>
        <v>0</v>
      </c>
      <c r="K301" s="26"/>
      <c r="L301" s="26"/>
      <c r="M301" s="26"/>
      <c r="N301" s="26"/>
      <c r="O301" s="26"/>
      <c r="P301" s="25">
        <f t="shared" si="26"/>
        <v>111713.52</v>
      </c>
    </row>
    <row r="302" spans="1:17" s="11" customFormat="1" ht="57">
      <c r="A302" s="16" t="s">
        <v>450</v>
      </c>
      <c r="B302" s="17"/>
      <c r="C302" s="18"/>
      <c r="D302" s="88" t="s">
        <v>242</v>
      </c>
      <c r="E302" s="57">
        <f>F302+I302</f>
        <v>81460900</v>
      </c>
      <c r="F302" s="19">
        <f>F303+F305+F307+F309+F311+F313+F315+F317+F319</f>
        <v>81460900</v>
      </c>
      <c r="G302" s="19">
        <f>G303+G305+G307+G309+G311+G313+G315+G317+G319</f>
        <v>0</v>
      </c>
      <c r="H302" s="19">
        <f>H303+H305+H307+H309+H311+H313+H315+H317+H319</f>
        <v>0</v>
      </c>
      <c r="I302" s="19">
        <f>I303+I305+I307+I309+I311+I313+I315+I317+I319</f>
        <v>0</v>
      </c>
      <c r="J302" s="57">
        <f>K302+N302</f>
        <v>0</v>
      </c>
      <c r="K302" s="19">
        <f>K303+K305+K307+K309+K311+K313+K315+K317+K319</f>
        <v>0</v>
      </c>
      <c r="L302" s="19">
        <f>L303+L305+L307+L309+L311+L313+L315+L317+L319</f>
        <v>0</v>
      </c>
      <c r="M302" s="19">
        <f>M303+M305+M307+M309+M311+M313+M315+M317+M319</f>
        <v>0</v>
      </c>
      <c r="N302" s="19">
        <f>N303+N305+N307+N309+N311+N313+N315+N317+N319</f>
        <v>0</v>
      </c>
      <c r="O302" s="19">
        <f>O303+O305+O307+O309+O311+O313+O315+O317+O319</f>
        <v>0</v>
      </c>
      <c r="P302" s="19">
        <f t="shared" si="26"/>
        <v>81460900</v>
      </c>
      <c r="Q302" s="108">
        <f>P302-'[1]Лист1'!$P$254</f>
        <v>0</v>
      </c>
    </row>
    <row r="303" spans="1:16" s="11" customFormat="1" ht="30">
      <c r="A303" s="22" t="s">
        <v>451</v>
      </c>
      <c r="B303" s="23" t="s">
        <v>243</v>
      </c>
      <c r="C303" s="24" t="s">
        <v>57</v>
      </c>
      <c r="D303" s="87" t="s">
        <v>244</v>
      </c>
      <c r="E303" s="59">
        <f t="shared" si="30"/>
        <v>788100</v>
      </c>
      <c r="F303" s="26">
        <f>1288100-500000</f>
        <v>788100</v>
      </c>
      <c r="G303" s="26">
        <v>0</v>
      </c>
      <c r="H303" s="26">
        <v>0</v>
      </c>
      <c r="I303" s="26">
        <v>0</v>
      </c>
      <c r="J303" s="59">
        <f t="shared" si="31"/>
        <v>0</v>
      </c>
      <c r="K303" s="26">
        <v>0</v>
      </c>
      <c r="L303" s="26">
        <v>0</v>
      </c>
      <c r="M303" s="26">
        <v>0</v>
      </c>
      <c r="N303" s="26">
        <v>0</v>
      </c>
      <c r="O303" s="26">
        <v>0</v>
      </c>
      <c r="P303" s="25">
        <f t="shared" si="26"/>
        <v>788100</v>
      </c>
    </row>
    <row r="304" spans="1:16" s="11" customFormat="1" ht="110.25" customHeight="1">
      <c r="A304" s="22"/>
      <c r="B304" s="23"/>
      <c r="C304" s="24"/>
      <c r="D304" s="11" t="s">
        <v>504</v>
      </c>
      <c r="E304" s="59">
        <f t="shared" si="30"/>
        <v>788100</v>
      </c>
      <c r="F304" s="26">
        <f>F303</f>
        <v>788100</v>
      </c>
      <c r="G304" s="26"/>
      <c r="H304" s="26"/>
      <c r="I304" s="26"/>
      <c r="J304" s="59">
        <f t="shared" si="31"/>
        <v>0</v>
      </c>
      <c r="K304" s="26"/>
      <c r="L304" s="26"/>
      <c r="M304" s="26"/>
      <c r="N304" s="26"/>
      <c r="O304" s="26"/>
      <c r="P304" s="25">
        <f t="shared" si="26"/>
        <v>788100</v>
      </c>
    </row>
    <row r="305" spans="1:16" s="11" customFormat="1" ht="30">
      <c r="A305" s="22" t="s">
        <v>452</v>
      </c>
      <c r="B305" s="23" t="s">
        <v>245</v>
      </c>
      <c r="C305" s="24" t="s">
        <v>57</v>
      </c>
      <c r="D305" s="87" t="s">
        <v>532</v>
      </c>
      <c r="E305" s="59">
        <f t="shared" si="30"/>
        <v>88900</v>
      </c>
      <c r="F305" s="26">
        <f>528900-440000</f>
        <v>88900</v>
      </c>
      <c r="G305" s="26">
        <v>0</v>
      </c>
      <c r="H305" s="26">
        <v>0</v>
      </c>
      <c r="I305" s="26">
        <v>0</v>
      </c>
      <c r="J305" s="59">
        <f t="shared" si="31"/>
        <v>0</v>
      </c>
      <c r="K305" s="26">
        <v>0</v>
      </c>
      <c r="L305" s="26">
        <v>0</v>
      </c>
      <c r="M305" s="26">
        <v>0</v>
      </c>
      <c r="N305" s="26">
        <v>0</v>
      </c>
      <c r="O305" s="26">
        <v>0</v>
      </c>
      <c r="P305" s="25">
        <f t="shared" si="26"/>
        <v>88900</v>
      </c>
    </row>
    <row r="306" spans="1:16" s="11" customFormat="1" ht="117" customHeight="1">
      <c r="A306" s="22"/>
      <c r="B306" s="23"/>
      <c r="C306" s="24"/>
      <c r="D306" s="11" t="s">
        <v>504</v>
      </c>
      <c r="E306" s="59">
        <f t="shared" si="30"/>
        <v>88900</v>
      </c>
      <c r="F306" s="26">
        <f>F305</f>
        <v>88900</v>
      </c>
      <c r="G306" s="26"/>
      <c r="H306" s="26"/>
      <c r="I306" s="26"/>
      <c r="J306" s="59">
        <f t="shared" si="31"/>
        <v>0</v>
      </c>
      <c r="K306" s="26"/>
      <c r="L306" s="26"/>
      <c r="M306" s="26"/>
      <c r="N306" s="26"/>
      <c r="O306" s="26"/>
      <c r="P306" s="25">
        <f t="shared" si="26"/>
        <v>88900</v>
      </c>
    </row>
    <row r="307" spans="1:16" s="11" customFormat="1" ht="15">
      <c r="A307" s="22" t="s">
        <v>453</v>
      </c>
      <c r="B307" s="23" t="s">
        <v>246</v>
      </c>
      <c r="C307" s="24" t="s">
        <v>57</v>
      </c>
      <c r="D307" s="87" t="s">
        <v>247</v>
      </c>
      <c r="E307" s="59">
        <f t="shared" si="30"/>
        <v>40104150</v>
      </c>
      <c r="F307" s="26">
        <f>41404150-1300000</f>
        <v>40104150</v>
      </c>
      <c r="G307" s="26">
        <v>0</v>
      </c>
      <c r="H307" s="26">
        <v>0</v>
      </c>
      <c r="I307" s="26">
        <v>0</v>
      </c>
      <c r="J307" s="59">
        <f t="shared" si="31"/>
        <v>0</v>
      </c>
      <c r="K307" s="26">
        <v>0</v>
      </c>
      <c r="L307" s="26">
        <v>0</v>
      </c>
      <c r="M307" s="26">
        <v>0</v>
      </c>
      <c r="N307" s="26">
        <v>0</v>
      </c>
      <c r="O307" s="26">
        <v>0</v>
      </c>
      <c r="P307" s="25">
        <f t="shared" si="26"/>
        <v>40104150</v>
      </c>
    </row>
    <row r="308" spans="1:16" s="11" customFormat="1" ht="111.75" customHeight="1">
      <c r="A308" s="22"/>
      <c r="B308" s="23"/>
      <c r="C308" s="24"/>
      <c r="D308" s="11" t="s">
        <v>504</v>
      </c>
      <c r="E308" s="59">
        <f t="shared" si="30"/>
        <v>40104150</v>
      </c>
      <c r="F308" s="26">
        <f>F307</f>
        <v>40104150</v>
      </c>
      <c r="G308" s="26"/>
      <c r="H308" s="26"/>
      <c r="I308" s="26"/>
      <c r="J308" s="59">
        <f t="shared" si="31"/>
        <v>0</v>
      </c>
      <c r="K308" s="26"/>
      <c r="L308" s="26"/>
      <c r="M308" s="26"/>
      <c r="N308" s="26"/>
      <c r="O308" s="26"/>
      <c r="P308" s="25">
        <f t="shared" si="26"/>
        <v>40104150</v>
      </c>
    </row>
    <row r="309" spans="1:16" s="11" customFormat="1" ht="30">
      <c r="A309" s="22" t="s">
        <v>454</v>
      </c>
      <c r="B309" s="23" t="s">
        <v>248</v>
      </c>
      <c r="C309" s="24" t="s">
        <v>57</v>
      </c>
      <c r="D309" s="87" t="s">
        <v>249</v>
      </c>
      <c r="E309" s="59">
        <f t="shared" si="30"/>
        <v>5500100</v>
      </c>
      <c r="F309" s="26">
        <f>5000100+500000</f>
        <v>5500100</v>
      </c>
      <c r="G309" s="26">
        <v>0</v>
      </c>
      <c r="H309" s="26">
        <v>0</v>
      </c>
      <c r="I309" s="26">
        <v>0</v>
      </c>
      <c r="J309" s="59">
        <f t="shared" si="31"/>
        <v>0</v>
      </c>
      <c r="K309" s="26">
        <v>0</v>
      </c>
      <c r="L309" s="26">
        <v>0</v>
      </c>
      <c r="M309" s="26">
        <v>0</v>
      </c>
      <c r="N309" s="26">
        <v>0</v>
      </c>
      <c r="O309" s="26">
        <v>0</v>
      </c>
      <c r="P309" s="25">
        <f t="shared" si="26"/>
        <v>5500100</v>
      </c>
    </row>
    <row r="310" spans="1:16" s="11" customFormat="1" ht="120">
      <c r="A310" s="22"/>
      <c r="B310" s="23"/>
      <c r="C310" s="24"/>
      <c r="D310" s="11" t="s">
        <v>504</v>
      </c>
      <c r="E310" s="59">
        <f t="shared" si="30"/>
        <v>5500100</v>
      </c>
      <c r="F310" s="26">
        <f>F309</f>
        <v>5500100</v>
      </c>
      <c r="G310" s="26"/>
      <c r="H310" s="26"/>
      <c r="I310" s="26"/>
      <c r="J310" s="59">
        <f t="shared" si="31"/>
        <v>0</v>
      </c>
      <c r="K310" s="26"/>
      <c r="L310" s="26"/>
      <c r="M310" s="26"/>
      <c r="N310" s="26"/>
      <c r="O310" s="26"/>
      <c r="P310" s="25">
        <f t="shared" si="26"/>
        <v>5500100</v>
      </c>
    </row>
    <row r="311" spans="1:16" s="11" customFormat="1" ht="30">
      <c r="A311" s="22" t="s">
        <v>455</v>
      </c>
      <c r="B311" s="23" t="s">
        <v>250</v>
      </c>
      <c r="C311" s="24" t="s">
        <v>57</v>
      </c>
      <c r="D311" s="87" t="s">
        <v>251</v>
      </c>
      <c r="E311" s="59">
        <f t="shared" si="30"/>
        <v>13741500</v>
      </c>
      <c r="F311" s="26">
        <f>12001500+1740000</f>
        <v>13741500</v>
      </c>
      <c r="G311" s="26">
        <v>0</v>
      </c>
      <c r="H311" s="26">
        <v>0</v>
      </c>
      <c r="I311" s="26">
        <v>0</v>
      </c>
      <c r="J311" s="59">
        <f t="shared" si="31"/>
        <v>0</v>
      </c>
      <c r="K311" s="26">
        <v>0</v>
      </c>
      <c r="L311" s="26">
        <v>0</v>
      </c>
      <c r="M311" s="26">
        <v>0</v>
      </c>
      <c r="N311" s="26">
        <v>0</v>
      </c>
      <c r="O311" s="26">
        <v>0</v>
      </c>
      <c r="P311" s="25">
        <f t="shared" si="26"/>
        <v>13741500</v>
      </c>
    </row>
    <row r="312" spans="1:16" s="11" customFormat="1" ht="120">
      <c r="A312" s="22"/>
      <c r="B312" s="23"/>
      <c r="C312" s="24"/>
      <c r="D312" s="11" t="s">
        <v>504</v>
      </c>
      <c r="E312" s="59">
        <f t="shared" si="30"/>
        <v>13741500</v>
      </c>
      <c r="F312" s="26">
        <f>F311</f>
        <v>13741500</v>
      </c>
      <c r="G312" s="26"/>
      <c r="H312" s="26"/>
      <c r="I312" s="26"/>
      <c r="J312" s="59">
        <f t="shared" si="31"/>
        <v>0</v>
      </c>
      <c r="K312" s="26"/>
      <c r="L312" s="26"/>
      <c r="M312" s="26"/>
      <c r="N312" s="26"/>
      <c r="O312" s="26"/>
      <c r="P312" s="25">
        <f t="shared" si="26"/>
        <v>13741500</v>
      </c>
    </row>
    <row r="313" spans="1:16" s="11" customFormat="1" ht="30">
      <c r="A313" s="22" t="s">
        <v>456</v>
      </c>
      <c r="B313" s="23" t="s">
        <v>252</v>
      </c>
      <c r="C313" s="24" t="s">
        <v>57</v>
      </c>
      <c r="D313" s="87" t="s">
        <v>253</v>
      </c>
      <c r="E313" s="59">
        <f t="shared" si="30"/>
        <v>501000</v>
      </c>
      <c r="F313" s="26">
        <v>501000</v>
      </c>
      <c r="G313" s="26">
        <v>0</v>
      </c>
      <c r="H313" s="26">
        <v>0</v>
      </c>
      <c r="I313" s="26">
        <v>0</v>
      </c>
      <c r="J313" s="59">
        <f t="shared" si="31"/>
        <v>0</v>
      </c>
      <c r="K313" s="26">
        <v>0</v>
      </c>
      <c r="L313" s="26">
        <v>0</v>
      </c>
      <c r="M313" s="26">
        <v>0</v>
      </c>
      <c r="N313" s="26">
        <v>0</v>
      </c>
      <c r="O313" s="26">
        <v>0</v>
      </c>
      <c r="P313" s="25">
        <f t="shared" si="26"/>
        <v>501000</v>
      </c>
    </row>
    <row r="314" spans="1:16" s="11" customFormat="1" ht="120">
      <c r="A314" s="22"/>
      <c r="B314" s="23"/>
      <c r="C314" s="24"/>
      <c r="D314" s="11" t="s">
        <v>504</v>
      </c>
      <c r="E314" s="59">
        <f t="shared" si="30"/>
        <v>501000</v>
      </c>
      <c r="F314" s="26">
        <f>F313</f>
        <v>501000</v>
      </c>
      <c r="G314" s="26"/>
      <c r="H314" s="26"/>
      <c r="I314" s="26"/>
      <c r="J314" s="59">
        <f t="shared" si="31"/>
        <v>0</v>
      </c>
      <c r="K314" s="26"/>
      <c r="L314" s="26"/>
      <c r="M314" s="26"/>
      <c r="N314" s="26"/>
      <c r="O314" s="26"/>
      <c r="P314" s="25">
        <f t="shared" si="26"/>
        <v>501000</v>
      </c>
    </row>
    <row r="315" spans="1:16" s="11" customFormat="1" ht="15">
      <c r="A315" s="22" t="s">
        <v>457</v>
      </c>
      <c r="B315" s="23" t="s">
        <v>254</v>
      </c>
      <c r="C315" s="24" t="s">
        <v>57</v>
      </c>
      <c r="D315" s="87" t="s">
        <v>255</v>
      </c>
      <c r="E315" s="59">
        <f t="shared" si="30"/>
        <v>220100</v>
      </c>
      <c r="F315" s="26">
        <v>220100</v>
      </c>
      <c r="G315" s="26">
        <v>0</v>
      </c>
      <c r="H315" s="26">
        <v>0</v>
      </c>
      <c r="I315" s="26">
        <v>0</v>
      </c>
      <c r="J315" s="59">
        <f t="shared" si="31"/>
        <v>0</v>
      </c>
      <c r="K315" s="26">
        <v>0</v>
      </c>
      <c r="L315" s="26">
        <v>0</v>
      </c>
      <c r="M315" s="26">
        <v>0</v>
      </c>
      <c r="N315" s="26">
        <v>0</v>
      </c>
      <c r="O315" s="26">
        <v>0</v>
      </c>
      <c r="P315" s="25">
        <f t="shared" si="26"/>
        <v>220100</v>
      </c>
    </row>
    <row r="316" spans="1:16" s="11" customFormat="1" ht="120">
      <c r="A316" s="22"/>
      <c r="B316" s="23"/>
      <c r="C316" s="24"/>
      <c r="D316" s="11" t="s">
        <v>504</v>
      </c>
      <c r="E316" s="59">
        <f t="shared" si="30"/>
        <v>220100</v>
      </c>
      <c r="F316" s="26">
        <f>F315</f>
        <v>220100</v>
      </c>
      <c r="G316" s="26"/>
      <c r="H316" s="26"/>
      <c r="I316" s="26"/>
      <c r="J316" s="59">
        <f t="shared" si="31"/>
        <v>0</v>
      </c>
      <c r="K316" s="26"/>
      <c r="L316" s="26"/>
      <c r="M316" s="26"/>
      <c r="N316" s="26"/>
      <c r="O316" s="26"/>
      <c r="P316" s="25">
        <f t="shared" si="26"/>
        <v>220100</v>
      </c>
    </row>
    <row r="317" spans="1:16" s="11" customFormat="1" ht="30">
      <c r="A317" s="22" t="s">
        <v>458</v>
      </c>
      <c r="B317" s="23" t="s">
        <v>256</v>
      </c>
      <c r="C317" s="24" t="s">
        <v>57</v>
      </c>
      <c r="D317" s="87" t="s">
        <v>257</v>
      </c>
      <c r="E317" s="59">
        <f t="shared" si="30"/>
        <v>7500200</v>
      </c>
      <c r="F317" s="26">
        <v>7500200</v>
      </c>
      <c r="G317" s="26">
        <v>0</v>
      </c>
      <c r="H317" s="26">
        <v>0</v>
      </c>
      <c r="I317" s="26">
        <v>0</v>
      </c>
      <c r="J317" s="59">
        <f t="shared" si="31"/>
        <v>0</v>
      </c>
      <c r="K317" s="26">
        <v>0</v>
      </c>
      <c r="L317" s="26">
        <v>0</v>
      </c>
      <c r="M317" s="26">
        <v>0</v>
      </c>
      <c r="N317" s="26">
        <v>0</v>
      </c>
      <c r="O317" s="26">
        <v>0</v>
      </c>
      <c r="P317" s="25">
        <f t="shared" si="26"/>
        <v>7500200</v>
      </c>
    </row>
    <row r="318" spans="1:16" s="11" customFormat="1" ht="120">
      <c r="A318" s="22"/>
      <c r="B318" s="23"/>
      <c r="C318" s="24"/>
      <c r="D318" s="11" t="s">
        <v>504</v>
      </c>
      <c r="E318" s="59">
        <f t="shared" si="30"/>
        <v>7500200</v>
      </c>
      <c r="F318" s="26">
        <f>F317</f>
        <v>7500200</v>
      </c>
      <c r="G318" s="26"/>
      <c r="H318" s="26"/>
      <c r="I318" s="26"/>
      <c r="J318" s="59">
        <f t="shared" si="31"/>
        <v>0</v>
      </c>
      <c r="K318" s="26"/>
      <c r="L318" s="26"/>
      <c r="M318" s="26"/>
      <c r="N318" s="26"/>
      <c r="O318" s="26"/>
      <c r="P318" s="25">
        <f t="shared" si="26"/>
        <v>7500200</v>
      </c>
    </row>
    <row r="319" spans="1:16" s="11" customFormat="1" ht="30">
      <c r="A319" s="22" t="s">
        <v>459</v>
      </c>
      <c r="B319" s="23" t="s">
        <v>258</v>
      </c>
      <c r="C319" s="24" t="s">
        <v>49</v>
      </c>
      <c r="D319" s="87" t="s">
        <v>259</v>
      </c>
      <c r="E319" s="59">
        <f t="shared" si="30"/>
        <v>13016850</v>
      </c>
      <c r="F319" s="26">
        <v>13016850</v>
      </c>
      <c r="G319" s="26">
        <v>0</v>
      </c>
      <c r="H319" s="26">
        <v>0</v>
      </c>
      <c r="I319" s="26">
        <v>0</v>
      </c>
      <c r="J319" s="59">
        <f t="shared" si="31"/>
        <v>0</v>
      </c>
      <c r="K319" s="26">
        <v>0</v>
      </c>
      <c r="L319" s="26">
        <v>0</v>
      </c>
      <c r="M319" s="26">
        <v>0</v>
      </c>
      <c r="N319" s="26">
        <v>0</v>
      </c>
      <c r="O319" s="26">
        <v>0</v>
      </c>
      <c r="P319" s="25">
        <f t="shared" si="26"/>
        <v>13016850</v>
      </c>
    </row>
    <row r="320" spans="1:16" s="11" customFormat="1" ht="120">
      <c r="A320" s="22"/>
      <c r="B320" s="23"/>
      <c r="C320" s="24"/>
      <c r="D320" s="11" t="s">
        <v>504</v>
      </c>
      <c r="E320" s="59">
        <f t="shared" si="30"/>
        <v>13016850</v>
      </c>
      <c r="F320" s="26">
        <f>F319</f>
        <v>13016850</v>
      </c>
      <c r="G320" s="26"/>
      <c r="H320" s="26"/>
      <c r="I320" s="26"/>
      <c r="J320" s="59">
        <f t="shared" si="31"/>
        <v>0</v>
      </c>
      <c r="K320" s="26"/>
      <c r="L320" s="26"/>
      <c r="M320" s="26"/>
      <c r="N320" s="26"/>
      <c r="O320" s="26"/>
      <c r="P320" s="25">
        <f t="shared" si="26"/>
        <v>13016850</v>
      </c>
    </row>
    <row r="321" spans="1:16" s="11" customFormat="1" ht="42.75">
      <c r="A321" s="3" t="s">
        <v>460</v>
      </c>
      <c r="B321" s="5" t="s">
        <v>260</v>
      </c>
      <c r="C321" s="4" t="s">
        <v>49</v>
      </c>
      <c r="D321" s="73" t="s">
        <v>533</v>
      </c>
      <c r="E321" s="58">
        <f aca="true" t="shared" si="32" ref="E321:E326">F321+I321</f>
        <v>4008000</v>
      </c>
      <c r="F321" s="21">
        <v>4008000</v>
      </c>
      <c r="G321" s="21">
        <v>0</v>
      </c>
      <c r="H321" s="21">
        <v>0</v>
      </c>
      <c r="I321" s="21">
        <v>0</v>
      </c>
      <c r="J321" s="58">
        <f t="shared" si="31"/>
        <v>0</v>
      </c>
      <c r="K321" s="21">
        <v>0</v>
      </c>
      <c r="L321" s="21">
        <v>0</v>
      </c>
      <c r="M321" s="21">
        <v>0</v>
      </c>
      <c r="N321" s="21">
        <v>0</v>
      </c>
      <c r="O321" s="21">
        <v>0</v>
      </c>
      <c r="P321" s="20">
        <f t="shared" si="26"/>
        <v>4008000</v>
      </c>
    </row>
    <row r="322" spans="1:16" s="11" customFormat="1" ht="120">
      <c r="A322" s="22"/>
      <c r="B322" s="23"/>
      <c r="C322" s="24"/>
      <c r="D322" s="11" t="s">
        <v>504</v>
      </c>
      <c r="E322" s="59">
        <f t="shared" si="32"/>
        <v>4008000</v>
      </c>
      <c r="F322" s="26">
        <f>F321</f>
        <v>4008000</v>
      </c>
      <c r="G322" s="26"/>
      <c r="H322" s="26"/>
      <c r="I322" s="26"/>
      <c r="J322" s="59">
        <f t="shared" si="31"/>
        <v>0</v>
      </c>
      <c r="K322" s="26"/>
      <c r="L322" s="26"/>
      <c r="M322" s="26"/>
      <c r="N322" s="26"/>
      <c r="O322" s="26"/>
      <c r="P322" s="25">
        <f t="shared" si="26"/>
        <v>4008000</v>
      </c>
    </row>
    <row r="323" spans="1:17" s="11" customFormat="1" ht="48.75" customHeight="1">
      <c r="A323" s="16" t="s">
        <v>461</v>
      </c>
      <c r="B323" s="17"/>
      <c r="C323" s="18"/>
      <c r="D323" s="74" t="s">
        <v>261</v>
      </c>
      <c r="E323" s="57">
        <f t="shared" si="32"/>
        <v>5778500</v>
      </c>
      <c r="F323" s="19">
        <f>F324</f>
        <v>5778500</v>
      </c>
      <c r="G323" s="19">
        <f>G324</f>
        <v>4270080</v>
      </c>
      <c r="H323" s="19">
        <f>H324</f>
        <v>367000</v>
      </c>
      <c r="I323" s="19">
        <f>I324</f>
        <v>0</v>
      </c>
      <c r="J323" s="57">
        <f t="shared" si="31"/>
        <v>55000</v>
      </c>
      <c r="K323" s="19">
        <f>K324</f>
        <v>55000</v>
      </c>
      <c r="L323" s="19">
        <f>L324</f>
        <v>38900</v>
      </c>
      <c r="M323" s="19">
        <f>M324</f>
        <v>0</v>
      </c>
      <c r="N323" s="19">
        <f>N324</f>
        <v>0</v>
      </c>
      <c r="O323" s="19">
        <f>O324</f>
        <v>0</v>
      </c>
      <c r="P323" s="19">
        <f t="shared" si="26"/>
        <v>5833500</v>
      </c>
      <c r="Q323" s="108">
        <f>P323-'[1]Лист1'!$P$275</f>
        <v>0</v>
      </c>
    </row>
    <row r="324" spans="1:16" s="11" customFormat="1" ht="61.5" customHeight="1">
      <c r="A324" s="22" t="s">
        <v>462</v>
      </c>
      <c r="B324" s="23" t="s">
        <v>262</v>
      </c>
      <c r="C324" s="24" t="s">
        <v>53</v>
      </c>
      <c r="D324" s="75" t="s">
        <v>263</v>
      </c>
      <c r="E324" s="59">
        <f t="shared" si="32"/>
        <v>5778500</v>
      </c>
      <c r="F324" s="26">
        <v>5778500</v>
      </c>
      <c r="G324" s="26">
        <v>4270080</v>
      </c>
      <c r="H324" s="26">
        <v>367000</v>
      </c>
      <c r="I324" s="26">
        <v>0</v>
      </c>
      <c r="J324" s="59">
        <f t="shared" si="31"/>
        <v>55000</v>
      </c>
      <c r="K324" s="26">
        <v>55000</v>
      </c>
      <c r="L324" s="26">
        <v>38900</v>
      </c>
      <c r="M324" s="26">
        <v>0</v>
      </c>
      <c r="N324" s="26">
        <v>0</v>
      </c>
      <c r="O324" s="26">
        <v>0</v>
      </c>
      <c r="P324" s="25">
        <f t="shared" si="26"/>
        <v>5833500</v>
      </c>
    </row>
    <row r="325" spans="1:17" s="11" customFormat="1" ht="85.5">
      <c r="A325" s="16" t="s">
        <v>463</v>
      </c>
      <c r="B325" s="17"/>
      <c r="C325" s="18"/>
      <c r="D325" s="74" t="s">
        <v>264</v>
      </c>
      <c r="E325" s="57">
        <f t="shared" si="32"/>
        <v>322700</v>
      </c>
      <c r="F325" s="19">
        <f>F326</f>
        <v>322700</v>
      </c>
      <c r="G325" s="19">
        <f>G326</f>
        <v>0</v>
      </c>
      <c r="H325" s="19">
        <f>H326</f>
        <v>0</v>
      </c>
      <c r="I325" s="19">
        <f>I326</f>
        <v>0</v>
      </c>
      <c r="J325" s="57">
        <f t="shared" si="31"/>
        <v>0</v>
      </c>
      <c r="K325" s="19">
        <f>K326</f>
        <v>0</v>
      </c>
      <c r="L325" s="19">
        <f>L326</f>
        <v>0</v>
      </c>
      <c r="M325" s="19">
        <f>M326</f>
        <v>0</v>
      </c>
      <c r="N325" s="19">
        <f>N326</f>
        <v>0</v>
      </c>
      <c r="O325" s="19">
        <f>O326</f>
        <v>0</v>
      </c>
      <c r="P325" s="19">
        <f t="shared" si="26"/>
        <v>322700</v>
      </c>
      <c r="Q325" s="108">
        <f>P325-'[1]Лист1'!$P$277</f>
        <v>0</v>
      </c>
    </row>
    <row r="326" spans="1:16" s="11" customFormat="1" ht="84.75" customHeight="1">
      <c r="A326" s="22" t="s">
        <v>464</v>
      </c>
      <c r="B326" s="23" t="s">
        <v>265</v>
      </c>
      <c r="C326" s="24" t="s">
        <v>49</v>
      </c>
      <c r="D326" s="75" t="s">
        <v>266</v>
      </c>
      <c r="E326" s="59">
        <f t="shared" si="32"/>
        <v>322700</v>
      </c>
      <c r="F326" s="26">
        <v>322700</v>
      </c>
      <c r="G326" s="26">
        <v>0</v>
      </c>
      <c r="H326" s="26">
        <v>0</v>
      </c>
      <c r="I326" s="26">
        <v>0</v>
      </c>
      <c r="J326" s="59">
        <f t="shared" si="31"/>
        <v>0</v>
      </c>
      <c r="K326" s="26">
        <v>0</v>
      </c>
      <c r="L326" s="26">
        <v>0</v>
      </c>
      <c r="M326" s="26">
        <v>0</v>
      </c>
      <c r="N326" s="26">
        <v>0</v>
      </c>
      <c r="O326" s="26">
        <v>0</v>
      </c>
      <c r="P326" s="25">
        <f t="shared" si="26"/>
        <v>322700</v>
      </c>
    </row>
    <row r="327" spans="1:17" s="11" customFormat="1" ht="96" customHeight="1">
      <c r="A327" s="3" t="s">
        <v>465</v>
      </c>
      <c r="B327" s="5" t="s">
        <v>267</v>
      </c>
      <c r="C327" s="4" t="s">
        <v>226</v>
      </c>
      <c r="D327" s="73" t="s">
        <v>268</v>
      </c>
      <c r="E327" s="58">
        <f aca="true" t="shared" si="33" ref="E327:E336">F327+I327</f>
        <v>609600</v>
      </c>
      <c r="F327" s="21">
        <v>609600</v>
      </c>
      <c r="G327" s="21">
        <v>0</v>
      </c>
      <c r="H327" s="21">
        <v>0</v>
      </c>
      <c r="I327" s="21">
        <v>0</v>
      </c>
      <c r="J327" s="58">
        <f aca="true" t="shared" si="34" ref="J327:J336">K327+N327</f>
        <v>0</v>
      </c>
      <c r="K327" s="21">
        <v>0</v>
      </c>
      <c r="L327" s="21">
        <v>0</v>
      </c>
      <c r="M327" s="21">
        <v>0</v>
      </c>
      <c r="N327" s="21">
        <v>0</v>
      </c>
      <c r="O327" s="21">
        <v>0</v>
      </c>
      <c r="P327" s="20">
        <f t="shared" si="26"/>
        <v>609600</v>
      </c>
      <c r="Q327" s="108">
        <f>P327-'[1]Лист1'!$P$279</f>
        <v>0</v>
      </c>
    </row>
    <row r="328" spans="1:17" s="11" customFormat="1" ht="28.5">
      <c r="A328" s="16" t="s">
        <v>466</v>
      </c>
      <c r="B328" s="17"/>
      <c r="C328" s="18"/>
      <c r="D328" s="74" t="s">
        <v>211</v>
      </c>
      <c r="E328" s="57">
        <f t="shared" si="33"/>
        <v>56000</v>
      </c>
      <c r="F328" s="19">
        <f>F329</f>
        <v>56000</v>
      </c>
      <c r="G328" s="19">
        <f>G329</f>
        <v>0</v>
      </c>
      <c r="H328" s="19">
        <f>H329</f>
        <v>0</v>
      </c>
      <c r="I328" s="19">
        <f>I329</f>
        <v>0</v>
      </c>
      <c r="J328" s="57">
        <f t="shared" si="34"/>
        <v>0</v>
      </c>
      <c r="K328" s="19">
        <f>K329</f>
        <v>0</v>
      </c>
      <c r="L328" s="19">
        <f>L329</f>
        <v>0</v>
      </c>
      <c r="M328" s="19">
        <f>M329</f>
        <v>0</v>
      </c>
      <c r="N328" s="19">
        <f>N329</f>
        <v>0</v>
      </c>
      <c r="O328" s="19">
        <f>O329</f>
        <v>0</v>
      </c>
      <c r="P328" s="19">
        <f t="shared" si="26"/>
        <v>56000</v>
      </c>
      <c r="Q328" s="108">
        <f>P328-'[1]Лист1'!$P$280</f>
        <v>1000</v>
      </c>
    </row>
    <row r="329" spans="1:16" s="11" customFormat="1" ht="60">
      <c r="A329" s="22" t="s">
        <v>467</v>
      </c>
      <c r="B329" s="23" t="s">
        <v>213</v>
      </c>
      <c r="C329" s="24" t="s">
        <v>186</v>
      </c>
      <c r="D329" s="75" t="s">
        <v>214</v>
      </c>
      <c r="E329" s="59">
        <f t="shared" si="33"/>
        <v>56000</v>
      </c>
      <c r="F329" s="26">
        <f>55000+1000</f>
        <v>56000</v>
      </c>
      <c r="G329" s="26">
        <v>0</v>
      </c>
      <c r="H329" s="26">
        <v>0</v>
      </c>
      <c r="I329" s="26">
        <v>0</v>
      </c>
      <c r="J329" s="59">
        <f t="shared" si="34"/>
        <v>0</v>
      </c>
      <c r="K329" s="26">
        <v>0</v>
      </c>
      <c r="L329" s="26">
        <v>0</v>
      </c>
      <c r="M329" s="26">
        <v>0</v>
      </c>
      <c r="N329" s="26">
        <v>0</v>
      </c>
      <c r="O329" s="26">
        <v>0</v>
      </c>
      <c r="P329" s="25">
        <f t="shared" si="26"/>
        <v>56000</v>
      </c>
    </row>
    <row r="330" spans="1:17" s="11" customFormat="1" ht="28.5">
      <c r="A330" s="3" t="s">
        <v>468</v>
      </c>
      <c r="B330" s="5" t="s">
        <v>219</v>
      </c>
      <c r="C330" s="4" t="s">
        <v>61</v>
      </c>
      <c r="D330" s="73" t="s">
        <v>220</v>
      </c>
      <c r="E330" s="58">
        <f t="shared" si="33"/>
        <v>15800</v>
      </c>
      <c r="F330" s="21">
        <v>15800</v>
      </c>
      <c r="G330" s="21">
        <v>0</v>
      </c>
      <c r="H330" s="21">
        <v>0</v>
      </c>
      <c r="I330" s="21">
        <v>0</v>
      </c>
      <c r="J330" s="58">
        <f t="shared" si="34"/>
        <v>0</v>
      </c>
      <c r="K330" s="21">
        <v>0</v>
      </c>
      <c r="L330" s="21">
        <v>0</v>
      </c>
      <c r="M330" s="21">
        <v>0</v>
      </c>
      <c r="N330" s="21">
        <v>0</v>
      </c>
      <c r="O330" s="21">
        <v>0</v>
      </c>
      <c r="P330" s="20">
        <f t="shared" si="26"/>
        <v>15800</v>
      </c>
      <c r="Q330" s="108">
        <f>P330-'[1]Лист1'!$P$282</f>
        <v>0</v>
      </c>
    </row>
    <row r="331" spans="1:17" s="98" customFormat="1" ht="28.5" customHeight="1">
      <c r="A331" s="66" t="s">
        <v>269</v>
      </c>
      <c r="B331" s="67"/>
      <c r="C331" s="68"/>
      <c r="D331" s="72" t="s">
        <v>270</v>
      </c>
      <c r="E331" s="69">
        <f t="shared" si="33"/>
        <v>6950260</v>
      </c>
      <c r="F331" s="70">
        <f>F332+F339+F343+F347</f>
        <v>6950260</v>
      </c>
      <c r="G331" s="70">
        <f>G332+G339+G343+G347</f>
        <v>4383770</v>
      </c>
      <c r="H331" s="70">
        <f>H332+H339+H343+H347</f>
        <v>497707</v>
      </c>
      <c r="I331" s="70">
        <f>I332+I339+I343+I347</f>
        <v>0</v>
      </c>
      <c r="J331" s="69">
        <f t="shared" si="34"/>
        <v>500000</v>
      </c>
      <c r="K331" s="70">
        <v>0</v>
      </c>
      <c r="L331" s="70">
        <v>0</v>
      </c>
      <c r="M331" s="70">
        <v>0</v>
      </c>
      <c r="N331" s="70">
        <f>N332</f>
        <v>500000</v>
      </c>
      <c r="O331" s="70">
        <v>500000</v>
      </c>
      <c r="P331" s="70">
        <f>E331+J331</f>
        <v>7450260</v>
      </c>
      <c r="Q331" s="118">
        <f>P331-'[1]Лист1'!$P$283</f>
        <v>706900</v>
      </c>
    </row>
    <row r="332" spans="1:16" s="99" customFormat="1" ht="15">
      <c r="A332" s="27" t="s">
        <v>271</v>
      </c>
      <c r="B332" s="28"/>
      <c r="C332" s="29"/>
      <c r="D332" s="78" t="s">
        <v>472</v>
      </c>
      <c r="E332" s="58">
        <f t="shared" si="33"/>
        <v>4641360</v>
      </c>
      <c r="F332" s="20">
        <f>F333+F335+F338</f>
        <v>4641360</v>
      </c>
      <c r="G332" s="20">
        <f>G333+G335+G338</f>
        <v>2661589</v>
      </c>
      <c r="H332" s="20">
        <f>H333+H335+H338</f>
        <v>395230</v>
      </c>
      <c r="I332" s="20">
        <f>I333+I335+I338</f>
        <v>0</v>
      </c>
      <c r="J332" s="58">
        <f>K332+N332</f>
        <v>500000</v>
      </c>
      <c r="K332" s="20">
        <v>0</v>
      </c>
      <c r="L332" s="20">
        <v>0</v>
      </c>
      <c r="M332" s="20">
        <v>0</v>
      </c>
      <c r="N332" s="20">
        <f>N334</f>
        <v>500000</v>
      </c>
      <c r="O332" s="20">
        <f>O334</f>
        <v>500000</v>
      </c>
      <c r="P332" s="20">
        <f>E332+J332</f>
        <v>5141360</v>
      </c>
    </row>
    <row r="333" spans="1:17" s="11" customFormat="1" ht="42.75">
      <c r="A333" s="3" t="s">
        <v>272</v>
      </c>
      <c r="B333" s="30" t="s">
        <v>35</v>
      </c>
      <c r="C333" s="30" t="s">
        <v>20</v>
      </c>
      <c r="D333" s="73" t="s">
        <v>538</v>
      </c>
      <c r="E333" s="58">
        <f t="shared" si="33"/>
        <v>874460</v>
      </c>
      <c r="F333" s="21">
        <f>823560+50900</f>
        <v>874460</v>
      </c>
      <c r="G333" s="21">
        <f>581199+41700</f>
        <v>622899</v>
      </c>
      <c r="H333" s="21">
        <v>51630</v>
      </c>
      <c r="I333" s="21">
        <v>0</v>
      </c>
      <c r="J333" s="58">
        <f t="shared" si="34"/>
        <v>0</v>
      </c>
      <c r="K333" s="21">
        <v>0</v>
      </c>
      <c r="L333" s="21">
        <v>0</v>
      </c>
      <c r="M333" s="21">
        <v>0</v>
      </c>
      <c r="N333" s="21">
        <v>0</v>
      </c>
      <c r="O333" s="21">
        <v>0</v>
      </c>
      <c r="P333" s="20">
        <f t="shared" si="26"/>
        <v>874460</v>
      </c>
      <c r="Q333" s="108">
        <f>P333-'[1]Лист1'!$P$285</f>
        <v>50900</v>
      </c>
    </row>
    <row r="334" spans="1:17" s="11" customFormat="1" ht="88.5" customHeight="1">
      <c r="A334" s="3">
        <v>2011060</v>
      </c>
      <c r="B334" s="5" t="s">
        <v>226</v>
      </c>
      <c r="C334" s="4" t="s">
        <v>48</v>
      </c>
      <c r="D334" s="73" t="s">
        <v>478</v>
      </c>
      <c r="E334" s="58">
        <f t="shared" si="33"/>
        <v>0</v>
      </c>
      <c r="F334" s="21"/>
      <c r="G334" s="21"/>
      <c r="H334" s="21"/>
      <c r="I334" s="21"/>
      <c r="J334" s="58">
        <f t="shared" si="34"/>
        <v>500000</v>
      </c>
      <c r="K334" s="21"/>
      <c r="L334" s="21"/>
      <c r="M334" s="21"/>
      <c r="N334" s="21">
        <v>500000</v>
      </c>
      <c r="O334" s="21">
        <v>500000</v>
      </c>
      <c r="P334" s="20">
        <f t="shared" si="26"/>
        <v>500000</v>
      </c>
      <c r="Q334" s="108"/>
    </row>
    <row r="335" spans="1:17" s="11" customFormat="1" ht="28.5">
      <c r="A335" s="16" t="s">
        <v>273</v>
      </c>
      <c r="B335" s="17"/>
      <c r="C335" s="18"/>
      <c r="D335" s="74" t="s">
        <v>274</v>
      </c>
      <c r="E335" s="57">
        <f t="shared" si="33"/>
        <v>3721900</v>
      </c>
      <c r="F335" s="19">
        <f>F336+F337</f>
        <v>3721900</v>
      </c>
      <c r="G335" s="19">
        <f>G336+G337</f>
        <v>2038690</v>
      </c>
      <c r="H335" s="19">
        <f>H336+H337</f>
        <v>343600</v>
      </c>
      <c r="I335" s="19">
        <f>I336+I337</f>
        <v>0</v>
      </c>
      <c r="J335" s="57">
        <f t="shared" si="34"/>
        <v>0</v>
      </c>
      <c r="K335" s="19">
        <f>K336+K337</f>
        <v>0</v>
      </c>
      <c r="L335" s="19">
        <f>L336+L337</f>
        <v>0</v>
      </c>
      <c r="M335" s="19">
        <f>M336+M337</f>
        <v>0</v>
      </c>
      <c r="N335" s="19">
        <f>N336+N337</f>
        <v>0</v>
      </c>
      <c r="O335" s="19">
        <f>O336+O337</f>
        <v>0</v>
      </c>
      <c r="P335" s="19">
        <f t="shared" si="26"/>
        <v>3721900</v>
      </c>
      <c r="Q335" s="108">
        <f>P335-'[1]Лист1'!$P$286</f>
        <v>0</v>
      </c>
    </row>
    <row r="336" spans="1:16" s="11" customFormat="1" ht="45">
      <c r="A336" s="22" t="s">
        <v>275</v>
      </c>
      <c r="B336" s="23" t="s">
        <v>276</v>
      </c>
      <c r="C336" s="24" t="s">
        <v>57</v>
      </c>
      <c r="D336" s="75" t="s">
        <v>277</v>
      </c>
      <c r="E336" s="59">
        <f t="shared" si="33"/>
        <v>3624100</v>
      </c>
      <c r="F336" s="26">
        <v>3624100</v>
      </c>
      <c r="G336" s="26">
        <v>2038690</v>
      </c>
      <c r="H336" s="26">
        <v>343600</v>
      </c>
      <c r="I336" s="26">
        <v>0</v>
      </c>
      <c r="J336" s="59">
        <f t="shared" si="34"/>
        <v>0</v>
      </c>
      <c r="K336" s="26">
        <v>0</v>
      </c>
      <c r="L336" s="26">
        <v>0</v>
      </c>
      <c r="M336" s="26">
        <v>0</v>
      </c>
      <c r="N336" s="26">
        <v>0</v>
      </c>
      <c r="O336" s="26">
        <v>0</v>
      </c>
      <c r="P336" s="25">
        <f t="shared" si="26"/>
        <v>3624100</v>
      </c>
    </row>
    <row r="337" spans="1:16" s="11" customFormat="1" ht="30">
      <c r="A337" s="22" t="s">
        <v>278</v>
      </c>
      <c r="B337" s="23" t="s">
        <v>279</v>
      </c>
      <c r="C337" s="24" t="s">
        <v>57</v>
      </c>
      <c r="D337" s="75" t="s">
        <v>280</v>
      </c>
      <c r="E337" s="59">
        <f aca="true" t="shared" si="35" ref="E337:E346">F337+I337</f>
        <v>97800</v>
      </c>
      <c r="F337" s="26">
        <v>97800</v>
      </c>
      <c r="G337" s="26">
        <v>0</v>
      </c>
      <c r="H337" s="26">
        <v>0</v>
      </c>
      <c r="I337" s="26">
        <v>0</v>
      </c>
      <c r="J337" s="59">
        <f aca="true" t="shared" si="36" ref="J337:J356">K337+N337</f>
        <v>0</v>
      </c>
      <c r="K337" s="26">
        <v>0</v>
      </c>
      <c r="L337" s="26">
        <v>0</v>
      </c>
      <c r="M337" s="26">
        <v>0</v>
      </c>
      <c r="N337" s="26">
        <v>0</v>
      </c>
      <c r="O337" s="26">
        <v>0</v>
      </c>
      <c r="P337" s="25">
        <f t="shared" si="26"/>
        <v>97800</v>
      </c>
    </row>
    <row r="338" spans="1:17" s="53" customFormat="1" ht="14.25">
      <c r="A338" s="3" t="s">
        <v>281</v>
      </c>
      <c r="B338" s="5" t="s">
        <v>84</v>
      </c>
      <c r="C338" s="4" t="s">
        <v>57</v>
      </c>
      <c r="D338" s="73" t="s">
        <v>33</v>
      </c>
      <c r="E338" s="58">
        <f t="shared" si="35"/>
        <v>45000</v>
      </c>
      <c r="F338" s="21">
        <v>45000</v>
      </c>
      <c r="G338" s="21">
        <v>0</v>
      </c>
      <c r="H338" s="21">
        <v>0</v>
      </c>
      <c r="I338" s="21">
        <v>0</v>
      </c>
      <c r="J338" s="58">
        <f t="shared" si="36"/>
        <v>0</v>
      </c>
      <c r="K338" s="21">
        <v>0</v>
      </c>
      <c r="L338" s="21">
        <v>0</v>
      </c>
      <c r="M338" s="21">
        <v>0</v>
      </c>
      <c r="N338" s="21">
        <v>0</v>
      </c>
      <c r="O338" s="21">
        <v>0</v>
      </c>
      <c r="P338" s="20">
        <f t="shared" si="26"/>
        <v>45000</v>
      </c>
      <c r="Q338" s="119">
        <f>P338-'[1]Лист1'!$P$289</f>
        <v>0</v>
      </c>
    </row>
    <row r="339" spans="1:17" s="100" customFormat="1" ht="28.5">
      <c r="A339" s="27" t="s">
        <v>271</v>
      </c>
      <c r="B339" s="28"/>
      <c r="C339" s="29"/>
      <c r="D339" s="78" t="s">
        <v>473</v>
      </c>
      <c r="E339" s="58">
        <f t="shared" si="35"/>
        <v>763979</v>
      </c>
      <c r="F339" s="20">
        <f>F340+F341</f>
        <v>763979</v>
      </c>
      <c r="G339" s="20">
        <f>G340+G341</f>
        <v>577641</v>
      </c>
      <c r="H339" s="20">
        <f>H340+H341</f>
        <v>20251</v>
      </c>
      <c r="I339" s="20">
        <f>I340+I341</f>
        <v>0</v>
      </c>
      <c r="J339" s="58">
        <f t="shared" si="36"/>
        <v>0</v>
      </c>
      <c r="K339" s="20">
        <f>K340+K341</f>
        <v>0</v>
      </c>
      <c r="L339" s="20">
        <f>L340+L341</f>
        <v>0</v>
      </c>
      <c r="M339" s="20">
        <f>M340+M341</f>
        <v>0</v>
      </c>
      <c r="N339" s="20">
        <f>N340+N341</f>
        <v>0</v>
      </c>
      <c r="O339" s="20">
        <f>O340+O341</f>
        <v>0</v>
      </c>
      <c r="P339" s="20">
        <f t="shared" si="26"/>
        <v>763979</v>
      </c>
      <c r="Q339" s="121">
        <f>P339-'[1]Лист1'!$P$290</f>
        <v>52000</v>
      </c>
    </row>
    <row r="340" spans="1:17" s="53" customFormat="1" ht="42.75">
      <c r="A340" s="3" t="s">
        <v>272</v>
      </c>
      <c r="B340" s="30" t="s">
        <v>35</v>
      </c>
      <c r="C340" s="30" t="s">
        <v>20</v>
      </c>
      <c r="D340" s="73" t="s">
        <v>538</v>
      </c>
      <c r="E340" s="58">
        <f t="shared" si="35"/>
        <v>745079</v>
      </c>
      <c r="F340" s="21">
        <f>693079+52000</f>
        <v>745079</v>
      </c>
      <c r="G340" s="21">
        <f>535041+42600</f>
        <v>577641</v>
      </c>
      <c r="H340" s="21">
        <v>20251</v>
      </c>
      <c r="I340" s="21">
        <v>0</v>
      </c>
      <c r="J340" s="58">
        <f t="shared" si="36"/>
        <v>0</v>
      </c>
      <c r="K340" s="21">
        <v>0</v>
      </c>
      <c r="L340" s="21">
        <v>0</v>
      </c>
      <c r="M340" s="21">
        <v>0</v>
      </c>
      <c r="N340" s="21">
        <v>0</v>
      </c>
      <c r="O340" s="21">
        <v>0</v>
      </c>
      <c r="P340" s="20">
        <f aca="true" t="shared" si="37" ref="P340:P356">E340+J340</f>
        <v>745079</v>
      </c>
      <c r="Q340" s="119">
        <f>P340-'[1]Лист1'!$P$291</f>
        <v>52000</v>
      </c>
    </row>
    <row r="341" spans="1:17" s="53" customFormat="1" ht="28.5">
      <c r="A341" s="16" t="s">
        <v>273</v>
      </c>
      <c r="B341" s="17"/>
      <c r="C341" s="18"/>
      <c r="D341" s="74" t="s">
        <v>274</v>
      </c>
      <c r="E341" s="57">
        <f t="shared" si="35"/>
        <v>18900</v>
      </c>
      <c r="F341" s="19">
        <f>F342</f>
        <v>18900</v>
      </c>
      <c r="G341" s="19">
        <f>G342</f>
        <v>0</v>
      </c>
      <c r="H341" s="19">
        <f>H342</f>
        <v>0</v>
      </c>
      <c r="I341" s="19">
        <f>I342</f>
        <v>0</v>
      </c>
      <c r="J341" s="57">
        <f t="shared" si="36"/>
        <v>0</v>
      </c>
      <c r="K341" s="19">
        <f>K342</f>
        <v>0</v>
      </c>
      <c r="L341" s="19">
        <f>L342</f>
        <v>0</v>
      </c>
      <c r="M341" s="19">
        <f>M342</f>
        <v>0</v>
      </c>
      <c r="N341" s="19">
        <f>N342</f>
        <v>0</v>
      </c>
      <c r="O341" s="19">
        <v>0</v>
      </c>
      <c r="P341" s="19">
        <f t="shared" si="37"/>
        <v>18900</v>
      </c>
      <c r="Q341" s="119">
        <f>P341-'[1]Лист1'!$P$292</f>
        <v>0</v>
      </c>
    </row>
    <row r="342" spans="1:16" s="11" customFormat="1" ht="30">
      <c r="A342" s="22" t="s">
        <v>278</v>
      </c>
      <c r="B342" s="23" t="s">
        <v>279</v>
      </c>
      <c r="C342" s="24" t="s">
        <v>57</v>
      </c>
      <c r="D342" s="75" t="s">
        <v>280</v>
      </c>
      <c r="E342" s="59">
        <f t="shared" si="35"/>
        <v>18900</v>
      </c>
      <c r="F342" s="26">
        <v>18900</v>
      </c>
      <c r="G342" s="26">
        <v>0</v>
      </c>
      <c r="H342" s="26">
        <v>0</v>
      </c>
      <c r="I342" s="26">
        <v>0</v>
      </c>
      <c r="J342" s="59">
        <f t="shared" si="36"/>
        <v>0</v>
      </c>
      <c r="K342" s="26">
        <v>0</v>
      </c>
      <c r="L342" s="26">
        <v>0</v>
      </c>
      <c r="M342" s="26">
        <v>0</v>
      </c>
      <c r="N342" s="26">
        <v>0</v>
      </c>
      <c r="O342" s="26">
        <v>0</v>
      </c>
      <c r="P342" s="25">
        <f t="shared" si="37"/>
        <v>18900</v>
      </c>
    </row>
    <row r="343" spans="1:17" s="100" customFormat="1" ht="28.5">
      <c r="A343" s="27" t="s">
        <v>271</v>
      </c>
      <c r="B343" s="28"/>
      <c r="C343" s="29"/>
      <c r="D343" s="78" t="s">
        <v>474</v>
      </c>
      <c r="E343" s="58">
        <f t="shared" si="35"/>
        <v>781412</v>
      </c>
      <c r="F343" s="20">
        <f>F344+F345</f>
        <v>781412</v>
      </c>
      <c r="G343" s="20">
        <f>G344+G345</f>
        <v>568925</v>
      </c>
      <c r="H343" s="20">
        <f>H344+H345</f>
        <v>50295</v>
      </c>
      <c r="I343" s="20">
        <f>I344+I345</f>
        <v>0</v>
      </c>
      <c r="J343" s="58">
        <f t="shared" si="36"/>
        <v>0</v>
      </c>
      <c r="K343" s="20">
        <f>K344+K345</f>
        <v>0</v>
      </c>
      <c r="L343" s="20">
        <f>L344+L345</f>
        <v>0</v>
      </c>
      <c r="M343" s="20">
        <f>M344+M345</f>
        <v>0</v>
      </c>
      <c r="N343" s="20">
        <f>N344+N345</f>
        <v>0</v>
      </c>
      <c r="O343" s="20">
        <f>O344+O345</f>
        <v>0</v>
      </c>
      <c r="P343" s="20">
        <f t="shared" si="37"/>
        <v>781412</v>
      </c>
      <c r="Q343" s="121">
        <f>P343-'[1]Лист1'!$P$294</f>
        <v>52000</v>
      </c>
    </row>
    <row r="344" spans="1:17" s="53" customFormat="1" ht="42.75">
      <c r="A344" s="3" t="s">
        <v>272</v>
      </c>
      <c r="B344" s="30" t="s">
        <v>35</v>
      </c>
      <c r="C344" s="30" t="s">
        <v>20</v>
      </c>
      <c r="D344" s="73" t="s">
        <v>538</v>
      </c>
      <c r="E344" s="58">
        <f t="shared" si="35"/>
        <v>771412</v>
      </c>
      <c r="F344" s="21">
        <f>719412+52000</f>
        <v>771412</v>
      </c>
      <c r="G344" s="21">
        <f>526325+42600</f>
        <v>568925</v>
      </c>
      <c r="H344" s="21">
        <v>50295</v>
      </c>
      <c r="I344" s="21">
        <v>0</v>
      </c>
      <c r="J344" s="58">
        <f t="shared" si="36"/>
        <v>0</v>
      </c>
      <c r="K344" s="21">
        <v>0</v>
      </c>
      <c r="L344" s="21">
        <v>0</v>
      </c>
      <c r="M344" s="21">
        <v>0</v>
      </c>
      <c r="N344" s="21">
        <v>0</v>
      </c>
      <c r="O344" s="21">
        <v>0</v>
      </c>
      <c r="P344" s="20">
        <f t="shared" si="37"/>
        <v>771412</v>
      </c>
      <c r="Q344" s="119">
        <f>P344-'[1]Лист1'!$P$295</f>
        <v>52000</v>
      </c>
    </row>
    <row r="345" spans="1:16" s="53" customFormat="1" ht="28.5">
      <c r="A345" s="16" t="s">
        <v>273</v>
      </c>
      <c r="B345" s="17"/>
      <c r="C345" s="18"/>
      <c r="D345" s="74" t="s">
        <v>274</v>
      </c>
      <c r="E345" s="57">
        <f t="shared" si="35"/>
        <v>10000</v>
      </c>
      <c r="F345" s="19">
        <f>F346</f>
        <v>10000</v>
      </c>
      <c r="G345" s="19">
        <f>G346</f>
        <v>0</v>
      </c>
      <c r="H345" s="19">
        <f>H346</f>
        <v>0</v>
      </c>
      <c r="I345" s="19">
        <f>I346</f>
        <v>0</v>
      </c>
      <c r="J345" s="57">
        <f t="shared" si="36"/>
        <v>0</v>
      </c>
      <c r="K345" s="19">
        <f>K346</f>
        <v>0</v>
      </c>
      <c r="L345" s="19">
        <f>L346</f>
        <v>0</v>
      </c>
      <c r="M345" s="19">
        <f>M346</f>
        <v>0</v>
      </c>
      <c r="N345" s="19">
        <f>N346</f>
        <v>0</v>
      </c>
      <c r="O345" s="19">
        <f>O346</f>
        <v>0</v>
      </c>
      <c r="P345" s="19">
        <f t="shared" si="37"/>
        <v>10000</v>
      </c>
    </row>
    <row r="346" spans="1:16" s="11" customFormat="1" ht="30">
      <c r="A346" s="22" t="s">
        <v>278</v>
      </c>
      <c r="B346" s="23" t="s">
        <v>279</v>
      </c>
      <c r="C346" s="24" t="s">
        <v>57</v>
      </c>
      <c r="D346" s="75" t="s">
        <v>280</v>
      </c>
      <c r="E346" s="59">
        <f t="shared" si="35"/>
        <v>10000</v>
      </c>
      <c r="F346" s="26">
        <v>10000</v>
      </c>
      <c r="G346" s="26">
        <v>0</v>
      </c>
      <c r="H346" s="26">
        <v>0</v>
      </c>
      <c r="I346" s="26">
        <v>0</v>
      </c>
      <c r="J346" s="59">
        <f t="shared" si="36"/>
        <v>0</v>
      </c>
      <c r="K346" s="26">
        <v>0</v>
      </c>
      <c r="L346" s="26">
        <v>0</v>
      </c>
      <c r="M346" s="26">
        <v>0</v>
      </c>
      <c r="N346" s="26">
        <v>0</v>
      </c>
      <c r="O346" s="26">
        <v>0</v>
      </c>
      <c r="P346" s="25">
        <f t="shared" si="37"/>
        <v>10000</v>
      </c>
    </row>
    <row r="347" spans="1:17" s="99" customFormat="1" ht="28.5">
      <c r="A347" s="27" t="s">
        <v>271</v>
      </c>
      <c r="B347" s="28"/>
      <c r="C347" s="29"/>
      <c r="D347" s="78" t="s">
        <v>475</v>
      </c>
      <c r="E347" s="58">
        <f aca="true" t="shared" si="38" ref="E347:E356">F347+I347</f>
        <v>763509</v>
      </c>
      <c r="F347" s="20">
        <f>F348+F349</f>
        <v>763509</v>
      </c>
      <c r="G347" s="20">
        <f>G348+G349</f>
        <v>575615</v>
      </c>
      <c r="H347" s="20">
        <f>H348+H349</f>
        <v>31931</v>
      </c>
      <c r="I347" s="20">
        <f>I348+I349</f>
        <v>0</v>
      </c>
      <c r="J347" s="58">
        <f t="shared" si="36"/>
        <v>0</v>
      </c>
      <c r="K347" s="20">
        <v>0</v>
      </c>
      <c r="L347" s="20">
        <v>0</v>
      </c>
      <c r="M347" s="20">
        <v>0</v>
      </c>
      <c r="N347" s="20">
        <v>0</v>
      </c>
      <c r="O347" s="20">
        <v>0</v>
      </c>
      <c r="P347" s="20">
        <f t="shared" si="37"/>
        <v>763509</v>
      </c>
      <c r="Q347" s="122">
        <f>P347-'[1]Лист1'!$P$298</f>
        <v>52000</v>
      </c>
    </row>
    <row r="348" spans="1:17" s="11" customFormat="1" ht="42.75">
      <c r="A348" s="3" t="s">
        <v>272</v>
      </c>
      <c r="B348" s="30" t="s">
        <v>35</v>
      </c>
      <c r="C348" s="30" t="s">
        <v>20</v>
      </c>
      <c r="D348" s="73" t="s">
        <v>538</v>
      </c>
      <c r="E348" s="58">
        <f t="shared" si="38"/>
        <v>748509</v>
      </c>
      <c r="F348" s="21">
        <f>696509+52000</f>
        <v>748509</v>
      </c>
      <c r="G348" s="21">
        <f>533015+42600</f>
        <v>575615</v>
      </c>
      <c r="H348" s="21">
        <v>31931</v>
      </c>
      <c r="I348" s="21">
        <v>0</v>
      </c>
      <c r="J348" s="58">
        <f t="shared" si="36"/>
        <v>0</v>
      </c>
      <c r="K348" s="21">
        <v>0</v>
      </c>
      <c r="L348" s="21">
        <v>0</v>
      </c>
      <c r="M348" s="21">
        <v>0</v>
      </c>
      <c r="N348" s="21">
        <v>0</v>
      </c>
      <c r="O348" s="21">
        <v>0</v>
      </c>
      <c r="P348" s="20">
        <f t="shared" si="37"/>
        <v>748509</v>
      </c>
      <c r="Q348" s="108">
        <f>P348-'[1]Лист1'!$P$299</f>
        <v>52000</v>
      </c>
    </row>
    <row r="349" spans="1:16" s="11" customFormat="1" ht="28.5">
      <c r="A349" s="16" t="s">
        <v>273</v>
      </c>
      <c r="B349" s="17"/>
      <c r="C349" s="18"/>
      <c r="D349" s="74" t="s">
        <v>274</v>
      </c>
      <c r="E349" s="57">
        <f t="shared" si="38"/>
        <v>15000</v>
      </c>
      <c r="F349" s="19">
        <f>F350</f>
        <v>15000</v>
      </c>
      <c r="G349" s="19">
        <f>G350</f>
        <v>0</v>
      </c>
      <c r="H349" s="19">
        <f>H350</f>
        <v>0</v>
      </c>
      <c r="I349" s="19">
        <f>I350</f>
        <v>0</v>
      </c>
      <c r="J349" s="57">
        <f t="shared" si="36"/>
        <v>0</v>
      </c>
      <c r="K349" s="19">
        <f>K350</f>
        <v>0</v>
      </c>
      <c r="L349" s="19">
        <f>L350</f>
        <v>0</v>
      </c>
      <c r="M349" s="19">
        <f>M350</f>
        <v>0</v>
      </c>
      <c r="N349" s="19">
        <f>N350</f>
        <v>0</v>
      </c>
      <c r="O349" s="19">
        <f>O350</f>
        <v>0</v>
      </c>
      <c r="P349" s="19">
        <f t="shared" si="37"/>
        <v>15000</v>
      </c>
    </row>
    <row r="350" spans="1:16" s="11" customFormat="1" ht="30">
      <c r="A350" s="22" t="s">
        <v>278</v>
      </c>
      <c r="B350" s="23" t="s">
        <v>279</v>
      </c>
      <c r="C350" s="24" t="s">
        <v>57</v>
      </c>
      <c r="D350" s="75" t="s">
        <v>280</v>
      </c>
      <c r="E350" s="59">
        <f t="shared" si="38"/>
        <v>15000</v>
      </c>
      <c r="F350" s="26">
        <v>15000</v>
      </c>
      <c r="G350" s="26">
        <v>0</v>
      </c>
      <c r="H350" s="26">
        <v>0</v>
      </c>
      <c r="I350" s="26">
        <v>0</v>
      </c>
      <c r="J350" s="59">
        <f t="shared" si="36"/>
        <v>0</v>
      </c>
      <c r="K350" s="26">
        <v>0</v>
      </c>
      <c r="L350" s="26">
        <v>0</v>
      </c>
      <c r="M350" s="26">
        <v>0</v>
      </c>
      <c r="N350" s="26">
        <v>0</v>
      </c>
      <c r="O350" s="26">
        <v>0</v>
      </c>
      <c r="P350" s="25">
        <f t="shared" si="37"/>
        <v>15000</v>
      </c>
    </row>
    <row r="351" spans="1:17" s="98" customFormat="1" ht="24" customHeight="1">
      <c r="A351" s="66" t="s">
        <v>282</v>
      </c>
      <c r="B351" s="67"/>
      <c r="C351" s="68"/>
      <c r="D351" s="72" t="s">
        <v>283</v>
      </c>
      <c r="E351" s="69">
        <f t="shared" si="38"/>
        <v>1074531</v>
      </c>
      <c r="F351" s="70">
        <f>F352</f>
        <v>1074531</v>
      </c>
      <c r="G351" s="70">
        <f aca="true" t="shared" si="39" ref="G351:I352">G352</f>
        <v>684758</v>
      </c>
      <c r="H351" s="70">
        <f t="shared" si="39"/>
        <v>207301</v>
      </c>
      <c r="I351" s="70">
        <f t="shared" si="39"/>
        <v>0</v>
      </c>
      <c r="J351" s="69">
        <f t="shared" si="36"/>
        <v>10000</v>
      </c>
      <c r="K351" s="70">
        <f aca="true" t="shared" si="40" ref="K351:O352">K352</f>
        <v>10000</v>
      </c>
      <c r="L351" s="70">
        <f t="shared" si="40"/>
        <v>0</v>
      </c>
      <c r="M351" s="70">
        <f t="shared" si="40"/>
        <v>0</v>
      </c>
      <c r="N351" s="70">
        <f t="shared" si="40"/>
        <v>0</v>
      </c>
      <c r="O351" s="70">
        <f t="shared" si="40"/>
        <v>0</v>
      </c>
      <c r="P351" s="70">
        <f t="shared" si="37"/>
        <v>1084531</v>
      </c>
      <c r="Q351" s="118">
        <f>P351-'[1]Лист1'!$P$302</f>
        <v>33900</v>
      </c>
    </row>
    <row r="352" spans="1:16" s="99" customFormat="1" ht="15">
      <c r="A352" s="27" t="s">
        <v>284</v>
      </c>
      <c r="B352" s="28"/>
      <c r="C352" s="29"/>
      <c r="D352" s="96" t="s">
        <v>476</v>
      </c>
      <c r="E352" s="58">
        <f t="shared" si="38"/>
        <v>1074531</v>
      </c>
      <c r="F352" s="20">
        <f>F353</f>
        <v>1074531</v>
      </c>
      <c r="G352" s="20">
        <f t="shared" si="39"/>
        <v>684758</v>
      </c>
      <c r="H352" s="20">
        <f t="shared" si="39"/>
        <v>207301</v>
      </c>
      <c r="I352" s="20">
        <f t="shared" si="39"/>
        <v>0</v>
      </c>
      <c r="J352" s="58">
        <f t="shared" si="36"/>
        <v>10000</v>
      </c>
      <c r="K352" s="20">
        <f t="shared" si="40"/>
        <v>10000</v>
      </c>
      <c r="L352" s="20">
        <f t="shared" si="40"/>
        <v>0</v>
      </c>
      <c r="M352" s="20">
        <f t="shared" si="40"/>
        <v>0</v>
      </c>
      <c r="N352" s="20">
        <f t="shared" si="40"/>
        <v>0</v>
      </c>
      <c r="O352" s="20">
        <f t="shared" si="40"/>
        <v>0</v>
      </c>
      <c r="P352" s="20">
        <f t="shared" si="37"/>
        <v>1084531</v>
      </c>
    </row>
    <row r="353" spans="1:17" s="11" customFormat="1" ht="42.75">
      <c r="A353" s="3" t="s">
        <v>285</v>
      </c>
      <c r="B353" s="30" t="s">
        <v>35</v>
      </c>
      <c r="C353" s="30" t="s">
        <v>20</v>
      </c>
      <c r="D353" s="73" t="s">
        <v>538</v>
      </c>
      <c r="E353" s="58">
        <f t="shared" si="38"/>
        <v>1074531</v>
      </c>
      <c r="F353" s="21">
        <f>1040631+33900</f>
        <v>1074531</v>
      </c>
      <c r="G353" s="21">
        <f>656958+27800</f>
        <v>684758</v>
      </c>
      <c r="H353" s="21">
        <v>207301</v>
      </c>
      <c r="I353" s="21">
        <v>0</v>
      </c>
      <c r="J353" s="58">
        <f t="shared" si="36"/>
        <v>10000</v>
      </c>
      <c r="K353" s="21">
        <v>10000</v>
      </c>
      <c r="L353" s="21">
        <v>0</v>
      </c>
      <c r="M353" s="21">
        <v>0</v>
      </c>
      <c r="N353" s="21">
        <v>0</v>
      </c>
      <c r="O353" s="21">
        <v>0</v>
      </c>
      <c r="P353" s="20">
        <f t="shared" si="37"/>
        <v>1084531</v>
      </c>
      <c r="Q353" s="108">
        <f>P353-'[1]Лист1'!$P$304</f>
        <v>33900</v>
      </c>
    </row>
    <row r="354" spans="1:17" s="98" customFormat="1" ht="28.5" customHeight="1">
      <c r="A354" s="66" t="s">
        <v>286</v>
      </c>
      <c r="B354" s="67"/>
      <c r="C354" s="68"/>
      <c r="D354" s="72" t="s">
        <v>287</v>
      </c>
      <c r="E354" s="69">
        <f t="shared" si="38"/>
        <v>544714</v>
      </c>
      <c r="F354" s="70">
        <f>F355</f>
        <v>544714</v>
      </c>
      <c r="G354" s="70">
        <f>G355</f>
        <v>231544</v>
      </c>
      <c r="H354" s="70">
        <f>H355</f>
        <v>24800</v>
      </c>
      <c r="I354" s="70">
        <f>I355</f>
        <v>0</v>
      </c>
      <c r="J354" s="69">
        <f t="shared" si="36"/>
        <v>0</v>
      </c>
      <c r="K354" s="70">
        <f>K355</f>
        <v>0</v>
      </c>
      <c r="L354" s="70">
        <f>L355</f>
        <v>0</v>
      </c>
      <c r="M354" s="70">
        <f>M355</f>
        <v>0</v>
      </c>
      <c r="N354" s="70">
        <f>N355</f>
        <v>0</v>
      </c>
      <c r="O354" s="70">
        <f>O355</f>
        <v>0</v>
      </c>
      <c r="P354" s="70">
        <f t="shared" si="37"/>
        <v>544714</v>
      </c>
      <c r="Q354" s="118">
        <f>P354-'[1]Лист1'!$P$305</f>
        <v>60100</v>
      </c>
    </row>
    <row r="355" spans="1:16" s="99" customFormat="1" ht="15">
      <c r="A355" s="27" t="s">
        <v>288</v>
      </c>
      <c r="B355" s="28"/>
      <c r="C355" s="29"/>
      <c r="D355" s="78" t="s">
        <v>289</v>
      </c>
      <c r="E355" s="58">
        <f t="shared" si="38"/>
        <v>544714</v>
      </c>
      <c r="F355" s="20">
        <f>F356+F357</f>
        <v>544714</v>
      </c>
      <c r="G355" s="20">
        <f>G356+G357</f>
        <v>231544</v>
      </c>
      <c r="H355" s="20">
        <f>H356+H357</f>
        <v>24800</v>
      </c>
      <c r="I355" s="20">
        <f>I356+I357</f>
        <v>0</v>
      </c>
      <c r="J355" s="58">
        <f t="shared" si="36"/>
        <v>0</v>
      </c>
      <c r="K355" s="20">
        <f>K356+K357</f>
        <v>0</v>
      </c>
      <c r="L355" s="20">
        <f>L356+L357</f>
        <v>0</v>
      </c>
      <c r="M355" s="20">
        <f>M356+M357</f>
        <v>0</v>
      </c>
      <c r="N355" s="20">
        <f>N356+N357</f>
        <v>0</v>
      </c>
      <c r="O355" s="20">
        <f>O356+O357</f>
        <v>0</v>
      </c>
      <c r="P355" s="20">
        <f t="shared" si="37"/>
        <v>544714</v>
      </c>
    </row>
    <row r="356" spans="1:17" s="11" customFormat="1" ht="42.75">
      <c r="A356" s="3" t="s">
        <v>290</v>
      </c>
      <c r="B356" s="30" t="s">
        <v>35</v>
      </c>
      <c r="C356" s="30" t="s">
        <v>20</v>
      </c>
      <c r="D356" s="73" t="s">
        <v>538</v>
      </c>
      <c r="E356" s="58">
        <f t="shared" si="38"/>
        <v>397798</v>
      </c>
      <c r="F356" s="21">
        <f>387698+10100</f>
        <v>397798</v>
      </c>
      <c r="G356" s="21">
        <f>223244+8300</f>
        <v>231544</v>
      </c>
      <c r="H356" s="21">
        <v>24800</v>
      </c>
      <c r="I356" s="21">
        <v>0</v>
      </c>
      <c r="J356" s="58">
        <f t="shared" si="36"/>
        <v>0</v>
      </c>
      <c r="K356" s="21">
        <v>0</v>
      </c>
      <c r="L356" s="21">
        <v>0</v>
      </c>
      <c r="M356" s="21">
        <v>0</v>
      </c>
      <c r="N356" s="21">
        <v>0</v>
      </c>
      <c r="O356" s="21">
        <v>0</v>
      </c>
      <c r="P356" s="20">
        <f t="shared" si="37"/>
        <v>397798</v>
      </c>
      <c r="Q356" s="108">
        <f>P356-'[1]Лист1'!$P$307</f>
        <v>10100</v>
      </c>
    </row>
    <row r="357" spans="1:17" s="11" customFormat="1" ht="15">
      <c r="A357" s="17" t="s">
        <v>513</v>
      </c>
      <c r="B357" s="17" t="s">
        <v>32</v>
      </c>
      <c r="C357" s="17" t="s">
        <v>31</v>
      </c>
      <c r="D357" s="76" t="s">
        <v>511</v>
      </c>
      <c r="E357" s="57">
        <f>F357+I357</f>
        <v>146916</v>
      </c>
      <c r="F357" s="19">
        <f>SUM(F359+F358)</f>
        <v>146916</v>
      </c>
      <c r="G357" s="19">
        <f>SUM(G359+G358)</f>
        <v>0</v>
      </c>
      <c r="H357" s="19">
        <f>SUM(H359+H358)</f>
        <v>0</v>
      </c>
      <c r="I357" s="19">
        <f>SUM(I359+I358)</f>
        <v>0</v>
      </c>
      <c r="J357" s="57">
        <f>K357+N357</f>
        <v>0</v>
      </c>
      <c r="K357" s="19">
        <f>SUM(K359+K358)</f>
        <v>0</v>
      </c>
      <c r="L357" s="19">
        <f>SUM(L359+L358)</f>
        <v>0</v>
      </c>
      <c r="M357" s="19">
        <f>SUM(M359+M358)</f>
        <v>0</v>
      </c>
      <c r="N357" s="19">
        <f>SUM(N359+N358)</f>
        <v>0</v>
      </c>
      <c r="O357" s="19">
        <f>SUM(O359+O358)</f>
        <v>0</v>
      </c>
      <c r="P357" s="19">
        <f>E357+J357</f>
        <v>146916</v>
      </c>
      <c r="Q357" s="108">
        <f>P357-'[1]Лист1'!$P$308</f>
        <v>50000</v>
      </c>
    </row>
    <row r="358" spans="1:16" s="47" customFormat="1" ht="32.25" customHeight="1">
      <c r="A358" s="42"/>
      <c r="B358" s="43"/>
      <c r="C358" s="44"/>
      <c r="D358" s="113" t="s">
        <v>495</v>
      </c>
      <c r="E358" s="61">
        <f aca="true" t="shared" si="41" ref="E358:E366">F358+I358</f>
        <v>46916</v>
      </c>
      <c r="F358" s="46">
        <f>46916+50000-50000</f>
        <v>46916</v>
      </c>
      <c r="G358" s="46">
        <v>0</v>
      </c>
      <c r="H358" s="46">
        <v>0</v>
      </c>
      <c r="I358" s="46">
        <v>0</v>
      </c>
      <c r="J358" s="61">
        <f aca="true" t="shared" si="42" ref="J358:J366">K358+N358</f>
        <v>0</v>
      </c>
      <c r="K358" s="46">
        <v>0</v>
      </c>
      <c r="L358" s="46">
        <v>0</v>
      </c>
      <c r="M358" s="46">
        <v>0</v>
      </c>
      <c r="N358" s="46">
        <v>0</v>
      </c>
      <c r="O358" s="46">
        <v>0</v>
      </c>
      <c r="P358" s="45">
        <f>E358+J358</f>
        <v>46916</v>
      </c>
    </row>
    <row r="359" spans="1:16" s="47" customFormat="1" ht="77.25" customHeight="1">
      <c r="A359" s="42"/>
      <c r="B359" s="126"/>
      <c r="C359" s="126"/>
      <c r="D359" s="113" t="s">
        <v>543</v>
      </c>
      <c r="E359" s="61">
        <f t="shared" si="41"/>
        <v>100000</v>
      </c>
      <c r="F359" s="46">
        <f>50000+50000</f>
        <v>100000</v>
      </c>
      <c r="G359" s="46"/>
      <c r="H359" s="46"/>
      <c r="I359" s="46">
        <v>0</v>
      </c>
      <c r="J359" s="61">
        <f t="shared" si="42"/>
        <v>0</v>
      </c>
      <c r="K359" s="46"/>
      <c r="L359" s="46"/>
      <c r="M359" s="46"/>
      <c r="N359" s="46"/>
      <c r="O359" s="46"/>
      <c r="P359" s="45">
        <f>E359+J359</f>
        <v>100000</v>
      </c>
    </row>
    <row r="360" spans="1:17" s="98" customFormat="1" ht="38.25" customHeight="1">
      <c r="A360" s="66" t="s">
        <v>291</v>
      </c>
      <c r="B360" s="67"/>
      <c r="C360" s="68"/>
      <c r="D360" s="72" t="s">
        <v>292</v>
      </c>
      <c r="E360" s="69">
        <f t="shared" si="41"/>
        <v>5375366</v>
      </c>
      <c r="F360" s="70">
        <f>F361</f>
        <v>5375366</v>
      </c>
      <c r="G360" s="70">
        <f>G361</f>
        <v>3249340</v>
      </c>
      <c r="H360" s="70">
        <f>H361</f>
        <v>252060</v>
      </c>
      <c r="I360" s="70">
        <f>I361</f>
        <v>0</v>
      </c>
      <c r="J360" s="69">
        <f t="shared" si="42"/>
        <v>823520</v>
      </c>
      <c r="K360" s="70">
        <f>K361</f>
        <v>23000</v>
      </c>
      <c r="L360" s="70">
        <f>L361</f>
        <v>0</v>
      </c>
      <c r="M360" s="70">
        <f>M361</f>
        <v>0</v>
      </c>
      <c r="N360" s="70">
        <f>N361</f>
        <v>800520</v>
      </c>
      <c r="O360" s="70">
        <f>O361</f>
        <v>800520</v>
      </c>
      <c r="P360" s="70">
        <f>E360+J360</f>
        <v>6198886</v>
      </c>
      <c r="Q360" s="118">
        <f>P360-'[1]Лист1'!$P$310</f>
        <v>1130820</v>
      </c>
    </row>
    <row r="361" spans="1:17" s="99" customFormat="1" ht="30.75" customHeight="1">
      <c r="A361" s="27" t="s">
        <v>293</v>
      </c>
      <c r="B361" s="28"/>
      <c r="C361" s="29"/>
      <c r="D361" s="78" t="s">
        <v>294</v>
      </c>
      <c r="E361" s="58">
        <f t="shared" si="41"/>
        <v>5375366</v>
      </c>
      <c r="F361" s="20">
        <f>F362+F363+F364+F365</f>
        <v>5375366</v>
      </c>
      <c r="G361" s="20">
        <f>G362+G363+G364+G365</f>
        <v>3249340</v>
      </c>
      <c r="H361" s="20">
        <f>H362+H363+H364+H365</f>
        <v>252060</v>
      </c>
      <c r="I361" s="20">
        <f>I362+I363+I364+I365</f>
        <v>0</v>
      </c>
      <c r="J361" s="58">
        <f t="shared" si="42"/>
        <v>823520</v>
      </c>
      <c r="K361" s="20">
        <f>K362+K363+K364+K365</f>
        <v>23000</v>
      </c>
      <c r="L361" s="20">
        <f>L362+L363+L364+L365</f>
        <v>0</v>
      </c>
      <c r="M361" s="20">
        <f>M362+M363+M364+M365</f>
        <v>0</v>
      </c>
      <c r="N361" s="20">
        <f>N362+N363+N364+N365</f>
        <v>800520</v>
      </c>
      <c r="O361" s="20">
        <f>O362+O363+O364+O365</f>
        <v>800520</v>
      </c>
      <c r="P361" s="20">
        <f>P362+P363</f>
        <v>5802366</v>
      </c>
      <c r="Q361" s="122">
        <f>P361-'[1]Лист1'!$P$311</f>
        <v>734300</v>
      </c>
    </row>
    <row r="362" spans="1:17" s="11" customFormat="1" ht="36" customHeight="1">
      <c r="A362" s="3" t="s">
        <v>295</v>
      </c>
      <c r="B362" s="30" t="s">
        <v>35</v>
      </c>
      <c r="C362" s="30" t="s">
        <v>20</v>
      </c>
      <c r="D362" s="73" t="s">
        <v>538</v>
      </c>
      <c r="E362" s="58">
        <f t="shared" si="41"/>
        <v>5365366</v>
      </c>
      <c r="F362" s="21">
        <f>4885066+100000+131600+248700</f>
        <v>5365366</v>
      </c>
      <c r="G362" s="21">
        <f>3045540+203800</f>
        <v>3249340</v>
      </c>
      <c r="H362" s="21">
        <v>252060</v>
      </c>
      <c r="I362" s="21">
        <v>0</v>
      </c>
      <c r="J362" s="58">
        <f t="shared" si="42"/>
        <v>427000</v>
      </c>
      <c r="K362" s="21">
        <v>23000</v>
      </c>
      <c r="L362" s="21">
        <v>0</v>
      </c>
      <c r="M362" s="21">
        <v>0</v>
      </c>
      <c r="N362" s="21">
        <f>50000+354000</f>
        <v>404000</v>
      </c>
      <c r="O362" s="21">
        <f>50000+354000</f>
        <v>404000</v>
      </c>
      <c r="P362" s="20">
        <f aca="true" t="shared" si="43" ref="P362:P371">E362+J362</f>
        <v>5792366</v>
      </c>
      <c r="Q362" s="108">
        <f>P362-'[1]Лист1'!$P$312</f>
        <v>734300</v>
      </c>
    </row>
    <row r="363" spans="1:17" s="11" customFormat="1" ht="35.25" customHeight="1">
      <c r="A363" s="3" t="s">
        <v>296</v>
      </c>
      <c r="B363" s="5" t="s">
        <v>298</v>
      </c>
      <c r="C363" s="4" t="s">
        <v>297</v>
      </c>
      <c r="D363" s="73" t="s">
        <v>299</v>
      </c>
      <c r="E363" s="58">
        <f t="shared" si="41"/>
        <v>10000</v>
      </c>
      <c r="F363" s="21">
        <f>10000-10000+10000</f>
        <v>10000</v>
      </c>
      <c r="G363" s="21">
        <v>0</v>
      </c>
      <c r="H363" s="21">
        <v>0</v>
      </c>
      <c r="I363" s="21">
        <v>0</v>
      </c>
      <c r="J363" s="58">
        <f t="shared" si="42"/>
        <v>0</v>
      </c>
      <c r="K363" s="21">
        <v>0</v>
      </c>
      <c r="L363" s="21">
        <v>0</v>
      </c>
      <c r="M363" s="21">
        <v>0</v>
      </c>
      <c r="N363" s="21">
        <v>0</v>
      </c>
      <c r="O363" s="21">
        <v>0</v>
      </c>
      <c r="P363" s="20">
        <f t="shared" si="43"/>
        <v>10000</v>
      </c>
      <c r="Q363" s="108">
        <f>P363-'[1]Лист1'!$P$313</f>
        <v>0</v>
      </c>
    </row>
    <row r="364" spans="1:18" s="114" customFormat="1" ht="39" customHeight="1">
      <c r="A364" s="3" t="s">
        <v>550</v>
      </c>
      <c r="B364" s="5" t="s">
        <v>222</v>
      </c>
      <c r="C364" s="4" t="s">
        <v>147</v>
      </c>
      <c r="D364" s="73" t="s">
        <v>223</v>
      </c>
      <c r="E364" s="58">
        <f t="shared" si="41"/>
        <v>0</v>
      </c>
      <c r="F364" s="21">
        <v>0</v>
      </c>
      <c r="G364" s="21">
        <v>0</v>
      </c>
      <c r="H364" s="21">
        <v>0</v>
      </c>
      <c r="I364" s="21">
        <v>0</v>
      </c>
      <c r="J364" s="58">
        <f t="shared" si="42"/>
        <v>0</v>
      </c>
      <c r="K364" s="21">
        <v>0</v>
      </c>
      <c r="L364" s="21">
        <v>0</v>
      </c>
      <c r="M364" s="21">
        <v>0</v>
      </c>
      <c r="N364" s="21">
        <f>0+338405+100000-438405</f>
        <v>0</v>
      </c>
      <c r="O364" s="21">
        <f>0+338405+100000-438405</f>
        <v>0</v>
      </c>
      <c r="P364" s="20">
        <f t="shared" si="43"/>
        <v>0</v>
      </c>
      <c r="Q364" s="108">
        <f>P364</f>
        <v>0</v>
      </c>
      <c r="R364" s="11"/>
    </row>
    <row r="365" spans="1:18" s="114" customFormat="1" ht="28.5">
      <c r="A365" s="3" t="s">
        <v>548</v>
      </c>
      <c r="B365" s="5" t="s">
        <v>148</v>
      </c>
      <c r="C365" s="4" t="s">
        <v>147</v>
      </c>
      <c r="D365" s="73" t="s">
        <v>149</v>
      </c>
      <c r="E365" s="58">
        <f t="shared" si="41"/>
        <v>0</v>
      </c>
      <c r="F365" s="21">
        <v>0</v>
      </c>
      <c r="G365" s="21">
        <v>0</v>
      </c>
      <c r="H365" s="21">
        <v>0</v>
      </c>
      <c r="I365" s="21">
        <v>0</v>
      </c>
      <c r="J365" s="58">
        <f t="shared" si="42"/>
        <v>396520</v>
      </c>
      <c r="K365" s="21">
        <v>0</v>
      </c>
      <c r="L365" s="21">
        <v>0</v>
      </c>
      <c r="M365" s="21">
        <v>0</v>
      </c>
      <c r="N365" s="21">
        <v>396520</v>
      </c>
      <c r="O365" s="21">
        <v>396520</v>
      </c>
      <c r="P365" s="20">
        <f t="shared" si="43"/>
        <v>396520</v>
      </c>
      <c r="Q365" s="108">
        <f>P365</f>
        <v>396520</v>
      </c>
      <c r="R365" s="11"/>
    </row>
    <row r="366" spans="1:18" s="98" customFormat="1" ht="31.5">
      <c r="A366" s="66" t="s">
        <v>300</v>
      </c>
      <c r="B366" s="67"/>
      <c r="C366" s="68"/>
      <c r="D366" s="72" t="s">
        <v>301</v>
      </c>
      <c r="E366" s="69">
        <f t="shared" si="41"/>
        <v>5832002</v>
      </c>
      <c r="F366" s="70">
        <f aca="true" t="shared" si="44" ref="F366:O366">F367</f>
        <v>5732002</v>
      </c>
      <c r="G366" s="70">
        <f t="shared" si="44"/>
        <v>3207440</v>
      </c>
      <c r="H366" s="70">
        <f t="shared" si="44"/>
        <v>225392</v>
      </c>
      <c r="I366" s="70">
        <f t="shared" si="44"/>
        <v>100000</v>
      </c>
      <c r="J366" s="69">
        <f t="shared" si="42"/>
        <v>240000</v>
      </c>
      <c r="K366" s="70">
        <f>K367</f>
        <v>0</v>
      </c>
      <c r="L366" s="70">
        <f t="shared" si="44"/>
        <v>0</v>
      </c>
      <c r="M366" s="70">
        <f t="shared" si="44"/>
        <v>0</v>
      </c>
      <c r="N366" s="70">
        <f t="shared" si="44"/>
        <v>240000</v>
      </c>
      <c r="O366" s="70">
        <f t="shared" si="44"/>
        <v>240000</v>
      </c>
      <c r="P366" s="70">
        <f t="shared" si="43"/>
        <v>6072002</v>
      </c>
      <c r="Q366" s="118">
        <f>P366-'[1]Лист1'!$P$314</f>
        <v>-576000</v>
      </c>
      <c r="R366" s="98" t="s">
        <v>552</v>
      </c>
    </row>
    <row r="367" spans="1:16" s="99" customFormat="1" ht="52.5" customHeight="1">
      <c r="A367" s="27" t="s">
        <v>302</v>
      </c>
      <c r="B367" s="28"/>
      <c r="C367" s="29"/>
      <c r="D367" s="78" t="s">
        <v>303</v>
      </c>
      <c r="E367" s="58">
        <f>F367+I367</f>
        <v>5832002</v>
      </c>
      <c r="F367" s="20">
        <f>F368+F369+F371</f>
        <v>5732002</v>
      </c>
      <c r="G367" s="20">
        <f>G368+G369+G370+G371</f>
        <v>3207440</v>
      </c>
      <c r="H367" s="20">
        <f>H368+H369+H370+H371</f>
        <v>225392</v>
      </c>
      <c r="I367" s="20">
        <f>I368+I369+I370+I371</f>
        <v>100000</v>
      </c>
      <c r="J367" s="58">
        <f>K367+N367</f>
        <v>240000</v>
      </c>
      <c r="K367" s="20">
        <f>K368+K369+K370+K371</f>
        <v>0</v>
      </c>
      <c r="L367" s="20">
        <f>L368+L369+L370+L371</f>
        <v>0</v>
      </c>
      <c r="M367" s="20">
        <f>M368+M369+M370+M371</f>
        <v>0</v>
      </c>
      <c r="N367" s="20">
        <f>N368+N369+N370+N371</f>
        <v>240000</v>
      </c>
      <c r="O367" s="20">
        <f>O368+O369+O370+O371</f>
        <v>240000</v>
      </c>
      <c r="P367" s="20">
        <f>E367+J367</f>
        <v>6072002</v>
      </c>
    </row>
    <row r="368" spans="1:17" s="11" customFormat="1" ht="42.75">
      <c r="A368" s="3" t="s">
        <v>304</v>
      </c>
      <c r="B368" s="30" t="s">
        <v>35</v>
      </c>
      <c r="C368" s="30" t="s">
        <v>20</v>
      </c>
      <c r="D368" s="73" t="s">
        <v>538</v>
      </c>
      <c r="E368" s="58">
        <f>F368+I368</f>
        <v>4532002</v>
      </c>
      <c r="F368" s="21">
        <f>4308002+224000</f>
        <v>4532002</v>
      </c>
      <c r="G368" s="21">
        <f>3023840+183600</f>
        <v>3207440</v>
      </c>
      <c r="H368" s="21">
        <v>225392</v>
      </c>
      <c r="I368" s="21">
        <v>0</v>
      </c>
      <c r="J368" s="58">
        <f>K368+N368</f>
        <v>0</v>
      </c>
      <c r="K368" s="21">
        <v>0</v>
      </c>
      <c r="L368" s="21">
        <v>0</v>
      </c>
      <c r="M368" s="21">
        <v>0</v>
      </c>
      <c r="N368" s="21">
        <v>0</v>
      </c>
      <c r="O368" s="21">
        <v>0</v>
      </c>
      <c r="P368" s="20">
        <f t="shared" si="43"/>
        <v>4532002</v>
      </c>
      <c r="Q368" s="108">
        <f>P368-'[1]Лист1'!$P$316</f>
        <v>224000</v>
      </c>
    </row>
    <row r="369" spans="1:16" s="11" customFormat="1" ht="15">
      <c r="A369" s="3" t="s">
        <v>305</v>
      </c>
      <c r="B369" s="5" t="s">
        <v>307</v>
      </c>
      <c r="C369" s="4" t="s">
        <v>306</v>
      </c>
      <c r="D369" s="73" t="s">
        <v>308</v>
      </c>
      <c r="E369" s="58">
        <f>F369+I369</f>
        <v>100000</v>
      </c>
      <c r="F369" s="21">
        <v>0</v>
      </c>
      <c r="G369" s="21">
        <v>0</v>
      </c>
      <c r="H369" s="21">
        <v>0</v>
      </c>
      <c r="I369" s="21">
        <f>1550000-150000-500000-800000</f>
        <v>100000</v>
      </c>
      <c r="J369" s="58">
        <f>K369+N369</f>
        <v>90000</v>
      </c>
      <c r="K369" s="21">
        <v>0</v>
      </c>
      <c r="L369" s="21">
        <v>0</v>
      </c>
      <c r="M369" s="21">
        <v>0</v>
      </c>
      <c r="N369" s="21">
        <v>90000</v>
      </c>
      <c r="O369" s="21">
        <v>90000</v>
      </c>
      <c r="P369" s="20">
        <f t="shared" si="43"/>
        <v>190000</v>
      </c>
    </row>
    <row r="370" spans="1:16" s="11" customFormat="1" ht="75" customHeight="1">
      <c r="A370" s="3">
        <v>4518070</v>
      </c>
      <c r="B370" s="30" t="s">
        <v>539</v>
      </c>
      <c r="C370" s="4" t="s">
        <v>147</v>
      </c>
      <c r="D370" s="73" t="s">
        <v>540</v>
      </c>
      <c r="E370" s="58">
        <f>F370+I370</f>
        <v>0</v>
      </c>
      <c r="F370" s="21">
        <v>0</v>
      </c>
      <c r="G370" s="21">
        <v>0</v>
      </c>
      <c r="H370" s="21">
        <v>0</v>
      </c>
      <c r="I370" s="21">
        <v>0</v>
      </c>
      <c r="J370" s="58">
        <f>K370+N370</f>
        <v>150000</v>
      </c>
      <c r="K370" s="21">
        <v>0</v>
      </c>
      <c r="L370" s="21">
        <v>0</v>
      </c>
      <c r="M370" s="21">
        <v>0</v>
      </c>
      <c r="N370" s="21">
        <f>150000</f>
        <v>150000</v>
      </c>
      <c r="O370" s="21">
        <f>150000</f>
        <v>150000</v>
      </c>
      <c r="P370" s="20">
        <f t="shared" si="43"/>
        <v>150000</v>
      </c>
    </row>
    <row r="371" spans="1:16" s="11" customFormat="1" ht="15">
      <c r="A371" s="16" t="s">
        <v>479</v>
      </c>
      <c r="B371" s="64" t="s">
        <v>32</v>
      </c>
      <c r="C371" s="65" t="s">
        <v>31</v>
      </c>
      <c r="D371" s="74" t="s">
        <v>33</v>
      </c>
      <c r="E371" s="57">
        <f>F371+I371</f>
        <v>1200000</v>
      </c>
      <c r="F371" s="19">
        <f>F373+F374</f>
        <v>1200000</v>
      </c>
      <c r="G371" s="19">
        <f>G373+G374</f>
        <v>0</v>
      </c>
      <c r="H371" s="19">
        <f>H373+H374</f>
        <v>0</v>
      </c>
      <c r="I371" s="19">
        <f>I373+I374</f>
        <v>0</v>
      </c>
      <c r="J371" s="57">
        <f>K371+N371</f>
        <v>0</v>
      </c>
      <c r="K371" s="19">
        <f>K373+K374</f>
        <v>0</v>
      </c>
      <c r="L371" s="19">
        <f>L373+L374</f>
        <v>0</v>
      </c>
      <c r="M371" s="19">
        <f>M373+M374</f>
        <v>0</v>
      </c>
      <c r="N371" s="19">
        <f>N373+N374</f>
        <v>0</v>
      </c>
      <c r="O371" s="19">
        <f>O373+O374</f>
        <v>0</v>
      </c>
      <c r="P371" s="19">
        <f t="shared" si="43"/>
        <v>1200000</v>
      </c>
    </row>
    <row r="372" spans="1:16" s="47" customFormat="1" ht="15">
      <c r="A372" s="42"/>
      <c r="B372" s="43"/>
      <c r="C372" s="44"/>
      <c r="D372" s="94" t="s">
        <v>488</v>
      </c>
      <c r="E372" s="61"/>
      <c r="F372" s="46"/>
      <c r="G372" s="46"/>
      <c r="H372" s="46"/>
      <c r="I372" s="46"/>
      <c r="J372" s="61"/>
      <c r="K372" s="46"/>
      <c r="L372" s="46"/>
      <c r="M372" s="46"/>
      <c r="N372" s="46"/>
      <c r="O372" s="46"/>
      <c r="P372" s="45"/>
    </row>
    <row r="373" spans="1:16" s="47" customFormat="1" ht="75" customHeight="1">
      <c r="A373" s="42"/>
      <c r="B373" s="43"/>
      <c r="C373" s="44"/>
      <c r="D373" s="113" t="s">
        <v>494</v>
      </c>
      <c r="E373" s="61">
        <f>F373+I373</f>
        <v>200000</v>
      </c>
      <c r="F373" s="46">
        <v>200000</v>
      </c>
      <c r="G373" s="46">
        <v>0</v>
      </c>
      <c r="H373" s="46">
        <v>0</v>
      </c>
      <c r="I373" s="46">
        <v>0</v>
      </c>
      <c r="J373" s="61">
        <f>K373+N373</f>
        <v>0</v>
      </c>
      <c r="K373" s="46">
        <v>0</v>
      </c>
      <c r="L373" s="46">
        <v>0</v>
      </c>
      <c r="M373" s="46">
        <v>0</v>
      </c>
      <c r="N373" s="46">
        <v>0</v>
      </c>
      <c r="O373" s="46">
        <v>0</v>
      </c>
      <c r="P373" s="45">
        <f>E373+J373</f>
        <v>200000</v>
      </c>
    </row>
    <row r="374" spans="1:16" s="47" customFormat="1" ht="61.5" customHeight="1">
      <c r="A374" s="42"/>
      <c r="B374" s="43"/>
      <c r="C374" s="44"/>
      <c r="D374" s="113" t="s">
        <v>522</v>
      </c>
      <c r="E374" s="61">
        <f>F374+I374</f>
        <v>1000000</v>
      </c>
      <c r="F374" s="46">
        <v>1000000</v>
      </c>
      <c r="G374" s="46">
        <v>0</v>
      </c>
      <c r="H374" s="46">
        <v>0</v>
      </c>
      <c r="I374" s="46">
        <v>0</v>
      </c>
      <c r="J374" s="61">
        <f>K374+N374</f>
        <v>0</v>
      </c>
      <c r="K374" s="46">
        <v>0</v>
      </c>
      <c r="L374" s="46">
        <v>0</v>
      </c>
      <c r="M374" s="46">
        <v>0</v>
      </c>
      <c r="N374" s="46">
        <v>0</v>
      </c>
      <c r="O374" s="46">
        <v>0</v>
      </c>
      <c r="P374" s="45">
        <f>E374+J374</f>
        <v>1000000</v>
      </c>
    </row>
    <row r="375" spans="1:17" s="98" customFormat="1" ht="18.75" customHeight="1">
      <c r="A375" s="66" t="s">
        <v>309</v>
      </c>
      <c r="B375" s="67"/>
      <c r="C375" s="68"/>
      <c r="D375" s="72" t="s">
        <v>310</v>
      </c>
      <c r="E375" s="69">
        <f>F375+I375</f>
        <v>165418242.82999998</v>
      </c>
      <c r="F375" s="70">
        <f aca="true" t="shared" si="45" ref="F375:O375">F376</f>
        <v>165418242.82999998</v>
      </c>
      <c r="G375" s="70">
        <f t="shared" si="45"/>
        <v>3379100</v>
      </c>
      <c r="H375" s="70">
        <f t="shared" si="45"/>
        <v>7509475</v>
      </c>
      <c r="I375" s="70">
        <f t="shared" si="45"/>
        <v>0</v>
      </c>
      <c r="J375" s="69">
        <f>K375+N375</f>
        <v>167486597.07</v>
      </c>
      <c r="K375" s="70">
        <f t="shared" si="45"/>
        <v>492700</v>
      </c>
      <c r="L375" s="70">
        <f t="shared" si="45"/>
        <v>0</v>
      </c>
      <c r="M375" s="70">
        <f t="shared" si="45"/>
        <v>50000</v>
      </c>
      <c r="N375" s="70">
        <f t="shared" si="45"/>
        <v>166993897.07</v>
      </c>
      <c r="O375" s="70">
        <f t="shared" si="45"/>
        <v>166708897.07</v>
      </c>
      <c r="P375" s="70">
        <f>E375+J375</f>
        <v>332904839.9</v>
      </c>
      <c r="Q375" s="123">
        <f>P375-'[1]Лист1'!$P$323</f>
        <v>23516580.899999976</v>
      </c>
    </row>
    <row r="376" spans="1:16" s="99" customFormat="1" ht="45" customHeight="1">
      <c r="A376" s="27" t="s">
        <v>311</v>
      </c>
      <c r="B376" s="28"/>
      <c r="C376" s="29"/>
      <c r="D376" s="78" t="s">
        <v>312</v>
      </c>
      <c r="E376" s="58">
        <f>F376+I376</f>
        <v>165418242.82999998</v>
      </c>
      <c r="F376" s="20">
        <f>F377+F378+F379+F380+F383+F385+F387+F388+F389+F390+F391+F392+F393+F394+F396+F401+F404</f>
        <v>165418242.82999998</v>
      </c>
      <c r="G376" s="20">
        <f>G377+G378+G379+G380+G383+G385+G387+G388+G389+G390+G391+G392+G393+G394+G396+G401+G404</f>
        <v>3379100</v>
      </c>
      <c r="H376" s="20">
        <f>H377+H378+H379+H380+H383+H385+H387+H388+H389+H390+H391+H392+H393+H394+H396+H401+H404</f>
        <v>7509475</v>
      </c>
      <c r="I376" s="20">
        <f>I377+I378+I379+I380+I383+I385+I387+I388+I389+I390+I391+I392+I393+I394+I396+I401+I404</f>
        <v>0</v>
      </c>
      <c r="J376" s="58">
        <f>K376+N376</f>
        <v>167486597.07</v>
      </c>
      <c r="K376" s="20">
        <f>K377+K378+K379+K380+K383+K385+K387+K388+K389+K390+K391+K392+K393+K394+K396+K401+K404</f>
        <v>492700</v>
      </c>
      <c r="L376" s="20">
        <f>L377+L378+L379+L380+L383+L385+L387+L388+L389+L390+L391+L392+L393+L394+L396+L401+L404</f>
        <v>0</v>
      </c>
      <c r="M376" s="20">
        <f>M377+M378+M379+M380+M383+M385+M387+M388+M389+M390+M391+M392+M393+M394+M396+M401+M404</f>
        <v>50000</v>
      </c>
      <c r="N376" s="20">
        <f>N377+N378+N379+N380+N383+N385+N387+N388+N389+N390+N391+N392+N393+N394+N396+N401+N404</f>
        <v>166993897.07</v>
      </c>
      <c r="O376" s="20">
        <f>O377+O378+O379+O380+O383+O385+O387+O388+O389+O390+O391+O392+O393+O394+O396+O401+O404</f>
        <v>166708897.07</v>
      </c>
      <c r="P376" s="20">
        <f>E376+J376</f>
        <v>332904839.9</v>
      </c>
    </row>
    <row r="377" spans="1:17" s="11" customFormat="1" ht="42.75">
      <c r="A377" s="3" t="s">
        <v>313</v>
      </c>
      <c r="B377" s="30" t="s">
        <v>35</v>
      </c>
      <c r="C377" s="30" t="s">
        <v>20</v>
      </c>
      <c r="D377" s="73" t="s">
        <v>538</v>
      </c>
      <c r="E377" s="58">
        <f>F377+I377</f>
        <v>5618179</v>
      </c>
      <c r="F377" s="21">
        <f>4735359+430620+123000+329200</f>
        <v>5618179</v>
      </c>
      <c r="G377" s="21">
        <f>3109300+269800</f>
        <v>3379100</v>
      </c>
      <c r="H377" s="21">
        <v>309475</v>
      </c>
      <c r="I377" s="21">
        <v>0</v>
      </c>
      <c r="J377" s="58">
        <f>K377+N377</f>
        <v>130700</v>
      </c>
      <c r="K377" s="21">
        <v>92700</v>
      </c>
      <c r="L377" s="21">
        <v>0</v>
      </c>
      <c r="M377" s="21">
        <v>50000</v>
      </c>
      <c r="N377" s="21">
        <v>38000</v>
      </c>
      <c r="O377" s="21">
        <v>38000</v>
      </c>
      <c r="P377" s="20">
        <f>E377+J377</f>
        <v>5748879</v>
      </c>
      <c r="Q377" s="108">
        <f>P377-'[1]Лист1'!$P$325</f>
        <v>452200</v>
      </c>
    </row>
    <row r="378" spans="1:17" s="11" customFormat="1" ht="28.5">
      <c r="A378" s="3" t="s">
        <v>314</v>
      </c>
      <c r="B378" s="5" t="s">
        <v>37</v>
      </c>
      <c r="C378" s="4" t="s">
        <v>36</v>
      </c>
      <c r="D378" s="73" t="s">
        <v>38</v>
      </c>
      <c r="E378" s="58">
        <f aca="true" t="shared" si="46" ref="E378:E404">F378+I378</f>
        <v>400000</v>
      </c>
      <c r="F378" s="21">
        <v>400000</v>
      </c>
      <c r="G378" s="21">
        <v>0</v>
      </c>
      <c r="H378" s="21">
        <v>0</v>
      </c>
      <c r="I378" s="21">
        <v>0</v>
      </c>
      <c r="J378" s="58">
        <f aca="true" t="shared" si="47" ref="J378:J404">K378+N378</f>
        <v>0</v>
      </c>
      <c r="K378" s="21">
        <v>0</v>
      </c>
      <c r="L378" s="21">
        <v>0</v>
      </c>
      <c r="M378" s="21">
        <v>0</v>
      </c>
      <c r="N378" s="21">
        <v>0</v>
      </c>
      <c r="O378" s="21">
        <v>0</v>
      </c>
      <c r="P378" s="20">
        <f aca="true" t="shared" si="48" ref="P378:P403">E378+J378</f>
        <v>400000</v>
      </c>
      <c r="Q378" s="108">
        <f>P378-'[1]Лист1'!$P$326</f>
        <v>0</v>
      </c>
    </row>
    <row r="379" spans="1:17" s="11" customFormat="1" ht="57">
      <c r="A379" s="3" t="s">
        <v>315</v>
      </c>
      <c r="B379" s="5" t="s">
        <v>317</v>
      </c>
      <c r="C379" s="4" t="s">
        <v>316</v>
      </c>
      <c r="D379" s="73" t="s">
        <v>318</v>
      </c>
      <c r="E379" s="58">
        <f t="shared" si="46"/>
        <v>26674450.290000003</v>
      </c>
      <c r="F379" s="21">
        <f>28200000-430620-450000+75200+6000+73521.57-59756+26500+7000+1950+7800-250000-196000+150000-22206.32+61318.21-150000-855000+106318.21-198000+94500+52019.8+423904.82</f>
        <v>26674450.290000003</v>
      </c>
      <c r="G379" s="21">
        <v>0</v>
      </c>
      <c r="H379" s="21">
        <v>0</v>
      </c>
      <c r="I379" s="21">
        <v>0</v>
      </c>
      <c r="J379" s="58">
        <f t="shared" si="47"/>
        <v>1324600</v>
      </c>
      <c r="K379" s="21">
        <v>0</v>
      </c>
      <c r="L379" s="21">
        <v>0</v>
      </c>
      <c r="M379" s="21">
        <v>0</v>
      </c>
      <c r="N379" s="21">
        <f>1200000-50000-200000+50000+41500+28600+115520-75520+214500</f>
        <v>1324600</v>
      </c>
      <c r="O379" s="21">
        <f>1200000-50000-200000+50000+41500+28600+115520-75520+214500</f>
        <v>1324600</v>
      </c>
      <c r="P379" s="20">
        <f t="shared" si="48"/>
        <v>27999050.290000003</v>
      </c>
      <c r="Q379" s="108">
        <f>P379-'[1]Лист1'!$P$327</f>
        <v>-551529.7099999972</v>
      </c>
    </row>
    <row r="380" spans="1:17" s="11" customFormat="1" ht="28.5">
      <c r="A380" s="16" t="s">
        <v>319</v>
      </c>
      <c r="B380" s="17"/>
      <c r="C380" s="18"/>
      <c r="D380" s="74" t="s">
        <v>320</v>
      </c>
      <c r="E380" s="57">
        <f>F380+I380</f>
        <v>0</v>
      </c>
      <c r="F380" s="19">
        <f>F381</f>
        <v>0</v>
      </c>
      <c r="G380" s="19">
        <f>G381</f>
        <v>0</v>
      </c>
      <c r="H380" s="19">
        <f>H381</f>
        <v>0</v>
      </c>
      <c r="I380" s="19">
        <f>I381</f>
        <v>0</v>
      </c>
      <c r="J380" s="57">
        <f>K380+N380</f>
        <v>18893709</v>
      </c>
      <c r="K380" s="19">
        <f>K381</f>
        <v>0</v>
      </c>
      <c r="L380" s="19">
        <f>L381</f>
        <v>0</v>
      </c>
      <c r="M380" s="19">
        <f>M381</f>
        <v>0</v>
      </c>
      <c r="N380" s="19">
        <f>N381</f>
        <v>18893709</v>
      </c>
      <c r="O380" s="19">
        <f>O381</f>
        <v>18608709</v>
      </c>
      <c r="P380" s="19">
        <f t="shared" si="48"/>
        <v>18893709</v>
      </c>
      <c r="Q380" s="108">
        <f>P380-'[1]Лист1'!$P$328</f>
        <v>15508709</v>
      </c>
    </row>
    <row r="381" spans="1:16" s="11" customFormat="1" ht="15">
      <c r="A381" s="22" t="s">
        <v>321</v>
      </c>
      <c r="B381" s="23" t="s">
        <v>322</v>
      </c>
      <c r="C381" s="24" t="s">
        <v>316</v>
      </c>
      <c r="D381" s="75" t="s">
        <v>323</v>
      </c>
      <c r="E381" s="59">
        <f t="shared" si="46"/>
        <v>0</v>
      </c>
      <c r="F381" s="26">
        <v>0</v>
      </c>
      <c r="G381" s="26">
        <v>0</v>
      </c>
      <c r="H381" s="26">
        <v>0</v>
      </c>
      <c r="I381" s="26">
        <v>0</v>
      </c>
      <c r="J381" s="59">
        <f t="shared" si="47"/>
        <v>18893709</v>
      </c>
      <c r="K381" s="26">
        <v>0</v>
      </c>
      <c r="L381" s="26">
        <v>0</v>
      </c>
      <c r="M381" s="26">
        <v>0</v>
      </c>
      <c r="N381" s="26">
        <f>3385000+7352436-190000+7642060+764213-60000</f>
        <v>18893709</v>
      </c>
      <c r="O381" s="26">
        <f>3100000+7352436-190000+7642060+764213-60000</f>
        <v>18608709</v>
      </c>
      <c r="P381" s="25">
        <f t="shared" si="48"/>
        <v>18893709</v>
      </c>
    </row>
    <row r="382" spans="1:16" s="47" customFormat="1" ht="75">
      <c r="A382" s="42"/>
      <c r="B382" s="43"/>
      <c r="C382" s="44"/>
      <c r="D382" s="113" t="s">
        <v>556</v>
      </c>
      <c r="E382" s="61">
        <f t="shared" si="46"/>
        <v>0</v>
      </c>
      <c r="F382" s="46">
        <v>0</v>
      </c>
      <c r="G382" s="46">
        <v>0</v>
      </c>
      <c r="H382" s="46">
        <v>0</v>
      </c>
      <c r="I382" s="46">
        <v>0</v>
      </c>
      <c r="J382" s="61">
        <f t="shared" si="47"/>
        <v>7642060</v>
      </c>
      <c r="K382" s="46">
        <v>0</v>
      </c>
      <c r="L382" s="46">
        <v>0</v>
      </c>
      <c r="M382" s="46">
        <v>0</v>
      </c>
      <c r="N382" s="46">
        <v>7642060</v>
      </c>
      <c r="O382" s="46">
        <v>7642060</v>
      </c>
      <c r="P382" s="45">
        <f t="shared" si="48"/>
        <v>7642060</v>
      </c>
    </row>
    <row r="383" spans="1:17" s="11" customFormat="1" ht="28.5">
      <c r="A383" s="3" t="s">
        <v>324</v>
      </c>
      <c r="B383" s="30"/>
      <c r="C383" s="31"/>
      <c r="D383" s="73" t="s">
        <v>325</v>
      </c>
      <c r="E383" s="58">
        <f t="shared" si="46"/>
        <v>0</v>
      </c>
      <c r="F383" s="21">
        <f>F384</f>
        <v>0</v>
      </c>
      <c r="G383" s="21">
        <f>G384</f>
        <v>0</v>
      </c>
      <c r="H383" s="21">
        <f>H384</f>
        <v>0</v>
      </c>
      <c r="I383" s="21">
        <f>I384</f>
        <v>0</v>
      </c>
      <c r="J383" s="58">
        <f t="shared" si="47"/>
        <v>0</v>
      </c>
      <c r="K383" s="21">
        <f>K384</f>
        <v>0</v>
      </c>
      <c r="L383" s="21">
        <f>L384</f>
        <v>0</v>
      </c>
      <c r="M383" s="21">
        <f>M384</f>
        <v>0</v>
      </c>
      <c r="N383" s="21">
        <f>N384</f>
        <v>0</v>
      </c>
      <c r="O383" s="21">
        <f>O384</f>
        <v>0</v>
      </c>
      <c r="P383" s="20">
        <f t="shared" si="48"/>
        <v>0</v>
      </c>
      <c r="Q383" s="108">
        <f>P383-'[1]Лист1'!$P$330</f>
        <v>-1000000</v>
      </c>
    </row>
    <row r="384" spans="1:16" s="11" customFormat="1" ht="30">
      <c r="A384" s="22" t="s">
        <v>326</v>
      </c>
      <c r="B384" s="23" t="s">
        <v>327</v>
      </c>
      <c r="C384" s="24" t="s">
        <v>39</v>
      </c>
      <c r="D384" s="75" t="s">
        <v>328</v>
      </c>
      <c r="E384" s="59">
        <f t="shared" si="46"/>
        <v>0</v>
      </c>
      <c r="F384" s="26">
        <v>0</v>
      </c>
      <c r="G384" s="26">
        <v>0</v>
      </c>
      <c r="H384" s="26">
        <v>0</v>
      </c>
      <c r="I384" s="26">
        <v>0</v>
      </c>
      <c r="J384" s="59">
        <f t="shared" si="47"/>
        <v>0</v>
      </c>
      <c r="K384" s="26">
        <v>0</v>
      </c>
      <c r="L384" s="26">
        <v>0</v>
      </c>
      <c r="M384" s="26">
        <v>0</v>
      </c>
      <c r="N384" s="26">
        <f>5000000-4000000-1000000</f>
        <v>0</v>
      </c>
      <c r="O384" s="26">
        <f>5000000-4000000-1000000</f>
        <v>0</v>
      </c>
      <c r="P384" s="25">
        <f t="shared" si="48"/>
        <v>0</v>
      </c>
    </row>
    <row r="385" spans="1:17" s="11" customFormat="1" ht="15">
      <c r="A385" s="3" t="s">
        <v>329</v>
      </c>
      <c r="B385" s="5" t="s">
        <v>40</v>
      </c>
      <c r="C385" s="4" t="s">
        <v>39</v>
      </c>
      <c r="D385" s="73" t="s">
        <v>41</v>
      </c>
      <c r="E385" s="58">
        <f t="shared" si="46"/>
        <v>77684653.53999999</v>
      </c>
      <c r="F385" s="21">
        <f>72200000+1000000-1858857+903035+100000-1500000+357700.8+102901.25-473801.97-106000-50000+26400+8145418-1453950+1500000-815000-199000+39714.89-500000+198000-67000+33653.5-25500-488000+33887.85+31051.22+550000</f>
        <v>77684653.53999999</v>
      </c>
      <c r="G385" s="21">
        <v>0</v>
      </c>
      <c r="H385" s="21">
        <v>7200000</v>
      </c>
      <c r="I385" s="21">
        <v>0</v>
      </c>
      <c r="J385" s="58">
        <f t="shared" si="47"/>
        <v>11401694.2</v>
      </c>
      <c r="K385" s="21">
        <v>0</v>
      </c>
      <c r="L385" s="21">
        <v>0</v>
      </c>
      <c r="M385" s="21">
        <v>0</v>
      </c>
      <c r="N385" s="21">
        <f>9500000+500000+955822+18982.2-873610+84000+120000+1675000+750000+199000-95500+28000-910000-550000</f>
        <v>11401694.2</v>
      </c>
      <c r="O385" s="21">
        <f>9500000+500000+955822+18982.2-873610+84000+120000+1675000+750000+199000-95500+28000-910000-550000</f>
        <v>11401694.2</v>
      </c>
      <c r="P385" s="20">
        <f t="shared" si="48"/>
        <v>89086347.74</v>
      </c>
      <c r="Q385" s="108">
        <f>P385-'[1]Лист1'!$P$332</f>
        <v>7286347.739999995</v>
      </c>
    </row>
    <row r="386" spans="1:16" s="11" customFormat="1" ht="50.25" customHeight="1">
      <c r="A386" s="3"/>
      <c r="B386" s="5"/>
      <c r="C386" s="4"/>
      <c r="D386" s="159" t="s">
        <v>580</v>
      </c>
      <c r="E386" s="62">
        <f t="shared" si="46"/>
        <v>0</v>
      </c>
      <c r="F386" s="51">
        <v>0</v>
      </c>
      <c r="G386" s="51">
        <v>0</v>
      </c>
      <c r="H386" s="51">
        <v>0</v>
      </c>
      <c r="I386" s="51">
        <v>0</v>
      </c>
      <c r="J386" s="62">
        <f t="shared" si="47"/>
        <v>28000</v>
      </c>
      <c r="K386" s="51">
        <v>0</v>
      </c>
      <c r="L386" s="51">
        <v>0</v>
      </c>
      <c r="M386" s="51">
        <v>0</v>
      </c>
      <c r="N386" s="46">
        <v>28000</v>
      </c>
      <c r="O386" s="46">
        <v>28000</v>
      </c>
      <c r="P386" s="52">
        <f t="shared" si="48"/>
        <v>28000</v>
      </c>
    </row>
    <row r="387" spans="1:17" s="11" customFormat="1" ht="82.5" customHeight="1">
      <c r="A387" s="3" t="s">
        <v>330</v>
      </c>
      <c r="B387" s="5" t="s">
        <v>331</v>
      </c>
      <c r="C387" s="4" t="s">
        <v>39</v>
      </c>
      <c r="D387" s="73" t="s">
        <v>332</v>
      </c>
      <c r="E387" s="58">
        <f t="shared" si="46"/>
        <v>2700000</v>
      </c>
      <c r="F387" s="21">
        <f>2000000+500000+200000</f>
        <v>2700000</v>
      </c>
      <c r="G387" s="21">
        <v>0</v>
      </c>
      <c r="H387" s="21">
        <v>0</v>
      </c>
      <c r="I387" s="21">
        <v>0</v>
      </c>
      <c r="J387" s="58">
        <f t="shared" si="47"/>
        <v>0</v>
      </c>
      <c r="K387" s="21">
        <v>0</v>
      </c>
      <c r="L387" s="21">
        <v>0</v>
      </c>
      <c r="M387" s="21">
        <v>0</v>
      </c>
      <c r="N387" s="21">
        <v>0</v>
      </c>
      <c r="O387" s="21">
        <v>0</v>
      </c>
      <c r="P387" s="20">
        <f t="shared" si="48"/>
        <v>2700000</v>
      </c>
      <c r="Q387" s="108">
        <f>P387-'[1]Лист1'!$P$333</f>
        <v>700000</v>
      </c>
    </row>
    <row r="388" spans="1:17" s="11" customFormat="1" ht="34.5" customHeight="1">
      <c r="A388" s="3" t="s">
        <v>333</v>
      </c>
      <c r="B388" s="5" t="s">
        <v>222</v>
      </c>
      <c r="C388" s="4" t="s">
        <v>147</v>
      </c>
      <c r="D388" s="73" t="s">
        <v>223</v>
      </c>
      <c r="E388" s="58">
        <f t="shared" si="46"/>
        <v>0</v>
      </c>
      <c r="F388" s="21">
        <v>0</v>
      </c>
      <c r="G388" s="21">
        <v>0</v>
      </c>
      <c r="H388" s="21">
        <v>0</v>
      </c>
      <c r="I388" s="21">
        <v>0</v>
      </c>
      <c r="J388" s="58">
        <f t="shared" si="47"/>
        <v>5637017</v>
      </c>
      <c r="K388" s="21">
        <v>0</v>
      </c>
      <c r="L388" s="21">
        <v>0</v>
      </c>
      <c r="M388" s="21">
        <v>0</v>
      </c>
      <c r="N388" s="21">
        <f>12260000+300000+150000-1500000-3792926+1000000+400000+388405-764213-4835787+40000+1991538</f>
        <v>5637017</v>
      </c>
      <c r="O388" s="21">
        <f>12260000+300000+150000-1500000-3792926+1000000+400000+388405-764213-4835787+40000+1991538</f>
        <v>5637017</v>
      </c>
      <c r="P388" s="20">
        <f t="shared" si="48"/>
        <v>5637017</v>
      </c>
      <c r="Q388" s="108">
        <f>P388-'[1]Лист1'!$P$334</f>
        <v>-5572983</v>
      </c>
    </row>
    <row r="389" spans="1:17" s="11" customFormat="1" ht="59.25" customHeight="1">
      <c r="A389" s="3" t="s">
        <v>334</v>
      </c>
      <c r="B389" s="5" t="s">
        <v>335</v>
      </c>
      <c r="C389" s="4" t="s">
        <v>60</v>
      </c>
      <c r="D389" s="73" t="s">
        <v>336</v>
      </c>
      <c r="E389" s="58">
        <f t="shared" si="46"/>
        <v>0</v>
      </c>
      <c r="F389" s="21">
        <v>0</v>
      </c>
      <c r="G389" s="21">
        <v>0</v>
      </c>
      <c r="H389" s="21">
        <v>0</v>
      </c>
      <c r="I389" s="21">
        <v>0</v>
      </c>
      <c r="J389" s="58">
        <f t="shared" si="47"/>
        <v>0</v>
      </c>
      <c r="K389" s="21">
        <v>0</v>
      </c>
      <c r="L389" s="21">
        <v>0</v>
      </c>
      <c r="M389" s="21">
        <v>0</v>
      </c>
      <c r="N389" s="21">
        <f>500000-500000</f>
        <v>0</v>
      </c>
      <c r="O389" s="21">
        <f>500000-500000</f>
        <v>0</v>
      </c>
      <c r="P389" s="20">
        <f t="shared" si="48"/>
        <v>0</v>
      </c>
      <c r="Q389" s="108">
        <f>P389-'[1]Лист1'!$P$335</f>
        <v>-500000</v>
      </c>
    </row>
    <row r="390" spans="1:17" s="11" customFormat="1" ht="59.25" customHeight="1">
      <c r="A390" s="3" t="s">
        <v>553</v>
      </c>
      <c r="B390" s="5" t="s">
        <v>554</v>
      </c>
      <c r="C390" s="4" t="s">
        <v>52</v>
      </c>
      <c r="D390" s="73" t="s">
        <v>555</v>
      </c>
      <c r="E390" s="58">
        <f>F390+I390</f>
        <v>0</v>
      </c>
      <c r="F390" s="21">
        <v>0</v>
      </c>
      <c r="G390" s="21">
        <v>0</v>
      </c>
      <c r="H390" s="21">
        <v>0</v>
      </c>
      <c r="I390" s="21">
        <v>0</v>
      </c>
      <c r="J390" s="58">
        <f>K390+N390</f>
        <v>300000</v>
      </c>
      <c r="K390" s="21">
        <v>0</v>
      </c>
      <c r="L390" s="21">
        <v>0</v>
      </c>
      <c r="M390" s="21">
        <v>0</v>
      </c>
      <c r="N390" s="21">
        <f>288000+312000-300000</f>
        <v>300000</v>
      </c>
      <c r="O390" s="21">
        <f>288000+312000-300000</f>
        <v>300000</v>
      </c>
      <c r="P390" s="20">
        <f>E390+J390</f>
        <v>300000</v>
      </c>
      <c r="Q390" s="108">
        <f>P390-'[1]Лист1'!$P$335</f>
        <v>-200000</v>
      </c>
    </row>
    <row r="391" spans="1:17" s="11" customFormat="1" ht="57">
      <c r="A391" s="3" t="s">
        <v>517</v>
      </c>
      <c r="B391" s="5" t="s">
        <v>518</v>
      </c>
      <c r="C391" s="4" t="s">
        <v>158</v>
      </c>
      <c r="D391" s="95" t="s">
        <v>510</v>
      </c>
      <c r="E391" s="58">
        <f>F391+I391</f>
        <v>0</v>
      </c>
      <c r="F391" s="21">
        <v>0</v>
      </c>
      <c r="G391" s="21">
        <v>0</v>
      </c>
      <c r="H391" s="21">
        <v>0</v>
      </c>
      <c r="I391" s="21">
        <v>0</v>
      </c>
      <c r="J391" s="58">
        <f>K391+N391</f>
        <v>1146000</v>
      </c>
      <c r="K391" s="21">
        <v>0</v>
      </c>
      <c r="L391" s="21">
        <v>0</v>
      </c>
      <c r="M391" s="21">
        <v>0</v>
      </c>
      <c r="N391" s="21">
        <v>1146000</v>
      </c>
      <c r="O391" s="21">
        <v>1146000</v>
      </c>
      <c r="P391" s="20">
        <f>E391+J391</f>
        <v>1146000</v>
      </c>
      <c r="Q391" s="108">
        <f>P391-'[1]Лист1'!$P$336</f>
        <v>0</v>
      </c>
    </row>
    <row r="392" spans="1:17" s="53" customFormat="1" ht="57" hidden="1">
      <c r="A392" s="3">
        <v>4716360</v>
      </c>
      <c r="B392" s="5">
        <v>6360</v>
      </c>
      <c r="C392" s="4" t="s">
        <v>158</v>
      </c>
      <c r="D392" s="73" t="s">
        <v>510</v>
      </c>
      <c r="E392" s="58">
        <f>F392+I392</f>
        <v>0</v>
      </c>
      <c r="F392" s="21"/>
      <c r="G392" s="21"/>
      <c r="H392" s="21"/>
      <c r="I392" s="21"/>
      <c r="J392" s="58">
        <f>K392+N392</f>
        <v>0</v>
      </c>
      <c r="K392" s="21"/>
      <c r="L392" s="21"/>
      <c r="M392" s="21"/>
      <c r="N392" s="21">
        <v>0</v>
      </c>
      <c r="O392" s="21">
        <v>0</v>
      </c>
      <c r="P392" s="20">
        <f>E392+J392</f>
        <v>0</v>
      </c>
      <c r="Q392" s="119">
        <f>P392-'[1]Лист1'!$P$337</f>
        <v>0</v>
      </c>
    </row>
    <row r="393" spans="1:17" s="11" customFormat="1" ht="28.5">
      <c r="A393" s="3" t="s">
        <v>337</v>
      </c>
      <c r="B393" s="5" t="s">
        <v>339</v>
      </c>
      <c r="C393" s="4" t="s">
        <v>338</v>
      </c>
      <c r="D393" s="73" t="s">
        <v>340</v>
      </c>
      <c r="E393" s="58">
        <f t="shared" si="46"/>
        <v>49930960</v>
      </c>
      <c r="F393" s="21">
        <f>30600000+8000000+199960-600000+10000000+196000+1670000-95000-40000</f>
        <v>49930960</v>
      </c>
      <c r="G393" s="21">
        <v>0</v>
      </c>
      <c r="H393" s="21">
        <v>0</v>
      </c>
      <c r="I393" s="21">
        <v>0</v>
      </c>
      <c r="J393" s="58">
        <f t="shared" si="47"/>
        <v>50000</v>
      </c>
      <c r="K393" s="21">
        <v>0</v>
      </c>
      <c r="L393" s="21">
        <v>0</v>
      </c>
      <c r="M393" s="21">
        <v>0</v>
      </c>
      <c r="N393" s="21">
        <f>0+50000+190000-50000-94500-45500</f>
        <v>50000</v>
      </c>
      <c r="O393" s="21">
        <f>0+50000+190000-50000-94500-45500</f>
        <v>50000</v>
      </c>
      <c r="P393" s="20">
        <f t="shared" si="48"/>
        <v>49980960</v>
      </c>
      <c r="Q393" s="108">
        <f>P393-'[1]Лист1'!$P$338</f>
        <v>11380960</v>
      </c>
    </row>
    <row r="394" spans="1:17" s="11" customFormat="1" ht="34.5" customHeight="1">
      <c r="A394" s="3" t="s">
        <v>341</v>
      </c>
      <c r="B394" s="5" t="s">
        <v>148</v>
      </c>
      <c r="C394" s="4" t="s">
        <v>147</v>
      </c>
      <c r="D394" s="73" t="s">
        <v>149</v>
      </c>
      <c r="E394" s="58">
        <f t="shared" si="46"/>
        <v>0</v>
      </c>
      <c r="F394" s="21">
        <v>0</v>
      </c>
      <c r="G394" s="21">
        <v>0</v>
      </c>
      <c r="H394" s="21">
        <v>0</v>
      </c>
      <c r="I394" s="21">
        <v>0</v>
      </c>
      <c r="J394" s="58">
        <f t="shared" si="47"/>
        <v>86202876.87</v>
      </c>
      <c r="K394" s="21">
        <v>0</v>
      </c>
      <c r="L394" s="21">
        <v>0</v>
      </c>
      <c r="M394" s="21">
        <v>0</v>
      </c>
      <c r="N394" s="21">
        <f>73790000+2200000-5000000+1500000+500000-1298104+47050+83602.67+900000+1000000+100000+50000+56000+183582+77387.94+3000000+36000+150000+8063.76-1000000+250000-183000+11350+16957.5-2000000+4500000+178200-1000000-4000000+12045787</f>
        <v>86202876.87</v>
      </c>
      <c r="O394" s="21">
        <f>73790000+2200000-5000000+1500000+500000-1298104+47050+83602.67+900000+1000000+100000+50000+56000+183582+77387.94+3000000+36000+150000+8063.76-1000000+250000-183000+11350+16957.5-2000000+4500000+178200-1000000-4000000+12045787</f>
        <v>86202876.87</v>
      </c>
      <c r="P394" s="20">
        <f t="shared" si="48"/>
        <v>86202876.87</v>
      </c>
      <c r="Q394" s="108">
        <f>P394-'[1]Лист1'!$P$339</f>
        <v>13212876.870000005</v>
      </c>
    </row>
    <row r="395" spans="1:16" s="47" customFormat="1" ht="42" customHeight="1">
      <c r="A395" s="48"/>
      <c r="B395" s="49"/>
      <c r="C395" s="50"/>
      <c r="D395" s="159" t="s">
        <v>580</v>
      </c>
      <c r="E395" s="62">
        <f>F395+I395</f>
        <v>0</v>
      </c>
      <c r="F395" s="51">
        <v>0</v>
      </c>
      <c r="G395" s="51">
        <v>0</v>
      </c>
      <c r="H395" s="51">
        <v>0</v>
      </c>
      <c r="I395" s="51">
        <v>0</v>
      </c>
      <c r="J395" s="62">
        <f>K395+N395</f>
        <v>10500</v>
      </c>
      <c r="K395" s="51">
        <v>0</v>
      </c>
      <c r="L395" s="51">
        <v>0</v>
      </c>
      <c r="M395" s="51">
        <v>0</v>
      </c>
      <c r="N395" s="51">
        <v>10500</v>
      </c>
      <c r="O395" s="51">
        <v>10500</v>
      </c>
      <c r="P395" s="52">
        <f>E395+J395</f>
        <v>10500</v>
      </c>
    </row>
    <row r="396" spans="1:17" s="11" customFormat="1" ht="15">
      <c r="A396" s="16" t="s">
        <v>342</v>
      </c>
      <c r="B396" s="64" t="s">
        <v>32</v>
      </c>
      <c r="C396" s="65" t="s">
        <v>31</v>
      </c>
      <c r="D396" s="74" t="s">
        <v>33</v>
      </c>
      <c r="E396" s="57">
        <f t="shared" si="46"/>
        <v>2410000</v>
      </c>
      <c r="F396" s="19">
        <f>F398+F399+F400</f>
        <v>2410000</v>
      </c>
      <c r="G396" s="19">
        <f>G398+G399+G400</f>
        <v>0</v>
      </c>
      <c r="H396" s="19">
        <f>H398+H399+H400</f>
        <v>0</v>
      </c>
      <c r="I396" s="19">
        <f>I398+I399+I400</f>
        <v>0</v>
      </c>
      <c r="J396" s="57">
        <f t="shared" si="47"/>
        <v>0</v>
      </c>
      <c r="K396" s="19">
        <f>K398+K399+K400</f>
        <v>0</v>
      </c>
      <c r="L396" s="19">
        <f>L398+L399+L400</f>
        <v>0</v>
      </c>
      <c r="M396" s="19">
        <f>M398+M399+M400</f>
        <v>0</v>
      </c>
      <c r="N396" s="19">
        <f>N398+N399+N400</f>
        <v>0</v>
      </c>
      <c r="O396" s="19">
        <f>O398+O399+O400</f>
        <v>0</v>
      </c>
      <c r="P396" s="19">
        <f t="shared" si="48"/>
        <v>2410000</v>
      </c>
      <c r="Q396" s="108">
        <f>P396-'[1]Лист1'!$P$340</f>
        <v>-100000</v>
      </c>
    </row>
    <row r="397" spans="1:16" s="47" customFormat="1" ht="15">
      <c r="A397" s="42"/>
      <c r="B397" s="43"/>
      <c r="C397" s="44"/>
      <c r="D397" s="94" t="s">
        <v>488</v>
      </c>
      <c r="E397" s="58"/>
      <c r="F397" s="46"/>
      <c r="G397" s="46"/>
      <c r="H397" s="46"/>
      <c r="I397" s="46"/>
      <c r="J397" s="58"/>
      <c r="K397" s="46"/>
      <c r="L397" s="46"/>
      <c r="M397" s="46"/>
      <c r="N397" s="46"/>
      <c r="O397" s="46"/>
      <c r="P397" s="20"/>
    </row>
    <row r="398" spans="1:16" s="47" customFormat="1" ht="45" customHeight="1">
      <c r="A398" s="42"/>
      <c r="B398" s="43"/>
      <c r="C398" s="44"/>
      <c r="D398" s="113" t="s">
        <v>491</v>
      </c>
      <c r="E398" s="61">
        <f t="shared" si="46"/>
        <v>100000</v>
      </c>
      <c r="F398" s="46">
        <f>200000-100000</f>
        <v>100000</v>
      </c>
      <c r="G398" s="46">
        <v>0</v>
      </c>
      <c r="H398" s="46">
        <v>0</v>
      </c>
      <c r="I398" s="46">
        <v>0</v>
      </c>
      <c r="J398" s="61">
        <f t="shared" si="47"/>
        <v>0</v>
      </c>
      <c r="K398" s="46">
        <v>0</v>
      </c>
      <c r="L398" s="46">
        <v>0</v>
      </c>
      <c r="M398" s="46">
        <v>0</v>
      </c>
      <c r="N398" s="46">
        <v>0</v>
      </c>
      <c r="O398" s="46">
        <v>0</v>
      </c>
      <c r="P398" s="45">
        <f t="shared" si="48"/>
        <v>100000</v>
      </c>
    </row>
    <row r="399" spans="1:16" s="47" customFormat="1" ht="52.5" customHeight="1">
      <c r="A399" s="42"/>
      <c r="B399" s="43"/>
      <c r="C399" s="126"/>
      <c r="D399" s="113" t="s">
        <v>492</v>
      </c>
      <c r="E399" s="61">
        <f t="shared" si="46"/>
        <v>1300000</v>
      </c>
      <c r="F399" s="46">
        <v>1300000</v>
      </c>
      <c r="G399" s="46"/>
      <c r="H399" s="46"/>
      <c r="I399" s="46"/>
      <c r="J399" s="61">
        <f t="shared" si="47"/>
        <v>0</v>
      </c>
      <c r="K399" s="46"/>
      <c r="L399" s="46"/>
      <c r="M399" s="46"/>
      <c r="N399" s="46"/>
      <c r="O399" s="46"/>
      <c r="P399" s="45">
        <f t="shared" si="48"/>
        <v>1300000</v>
      </c>
    </row>
    <row r="400" spans="1:16" s="47" customFormat="1" ht="55.5" customHeight="1">
      <c r="A400" s="42"/>
      <c r="B400" s="43"/>
      <c r="C400" s="126"/>
      <c r="D400" s="113" t="s">
        <v>493</v>
      </c>
      <c r="E400" s="61">
        <f t="shared" si="46"/>
        <v>1010000</v>
      </c>
      <c r="F400" s="46">
        <v>1010000</v>
      </c>
      <c r="G400" s="46"/>
      <c r="H400" s="46"/>
      <c r="I400" s="46"/>
      <c r="J400" s="61">
        <f t="shared" si="47"/>
        <v>0</v>
      </c>
      <c r="K400" s="46"/>
      <c r="L400" s="46"/>
      <c r="M400" s="46"/>
      <c r="N400" s="46"/>
      <c r="O400" s="46"/>
      <c r="P400" s="45">
        <f t="shared" si="48"/>
        <v>1010000</v>
      </c>
    </row>
    <row r="401" spans="1:17" s="11" customFormat="1" ht="15">
      <c r="A401" s="16" t="s">
        <v>343</v>
      </c>
      <c r="B401" s="64" t="s">
        <v>344</v>
      </c>
      <c r="C401" s="65" t="s">
        <v>35</v>
      </c>
      <c r="D401" s="74" t="s">
        <v>345</v>
      </c>
      <c r="E401" s="57">
        <f t="shared" si="46"/>
        <v>0</v>
      </c>
      <c r="F401" s="19">
        <f>F403</f>
        <v>0</v>
      </c>
      <c r="G401" s="19">
        <f aca="true" t="shared" si="49" ref="G401:O401">G403</f>
        <v>0</v>
      </c>
      <c r="H401" s="19">
        <f t="shared" si="49"/>
        <v>0</v>
      </c>
      <c r="I401" s="19">
        <f t="shared" si="49"/>
        <v>0</v>
      </c>
      <c r="J401" s="57">
        <f t="shared" si="47"/>
        <v>42000000</v>
      </c>
      <c r="K401" s="19">
        <f>K403</f>
        <v>0</v>
      </c>
      <c r="L401" s="19">
        <f t="shared" si="49"/>
        <v>0</v>
      </c>
      <c r="M401" s="19">
        <f t="shared" si="49"/>
        <v>0</v>
      </c>
      <c r="N401" s="19">
        <f t="shared" si="49"/>
        <v>42000000</v>
      </c>
      <c r="O401" s="19">
        <f t="shared" si="49"/>
        <v>42000000</v>
      </c>
      <c r="P401" s="19">
        <f t="shared" si="48"/>
        <v>42000000</v>
      </c>
      <c r="Q401" s="108">
        <f>P401-'[1]Лист1'!$P$345</f>
        <v>-18000000</v>
      </c>
    </row>
    <row r="402" spans="1:16" s="47" customFormat="1" ht="15">
      <c r="A402" s="42"/>
      <c r="B402" s="43"/>
      <c r="C402" s="44"/>
      <c r="D402" s="94" t="s">
        <v>488</v>
      </c>
      <c r="E402" s="58"/>
      <c r="F402" s="46"/>
      <c r="G402" s="46"/>
      <c r="H402" s="46"/>
      <c r="I402" s="46"/>
      <c r="J402" s="58"/>
      <c r="K402" s="46"/>
      <c r="L402" s="46"/>
      <c r="M402" s="46"/>
      <c r="N402" s="46"/>
      <c r="O402" s="46"/>
      <c r="P402" s="20"/>
    </row>
    <row r="403" spans="1:16" s="47" customFormat="1" ht="60.75" customHeight="1">
      <c r="A403" s="42"/>
      <c r="B403" s="43"/>
      <c r="C403" s="44"/>
      <c r="D403" s="113" t="s">
        <v>490</v>
      </c>
      <c r="E403" s="61">
        <f t="shared" si="46"/>
        <v>0</v>
      </c>
      <c r="F403" s="46">
        <v>0</v>
      </c>
      <c r="G403" s="46">
        <v>0</v>
      </c>
      <c r="H403" s="46">
        <v>0</v>
      </c>
      <c r="I403" s="46">
        <v>0</v>
      </c>
      <c r="J403" s="61">
        <f t="shared" si="47"/>
        <v>42000000</v>
      </c>
      <c r="K403" s="46">
        <v>0</v>
      </c>
      <c r="L403" s="46">
        <v>0</v>
      </c>
      <c r="M403" s="46">
        <v>0</v>
      </c>
      <c r="N403" s="46">
        <f>60000000-20000000+2000000</f>
        <v>42000000</v>
      </c>
      <c r="O403" s="46">
        <f>60000000-20000000+2000000</f>
        <v>42000000</v>
      </c>
      <c r="P403" s="45">
        <f t="shared" si="48"/>
        <v>42000000</v>
      </c>
    </row>
    <row r="404" spans="1:17" s="11" customFormat="1" ht="28.5">
      <c r="A404" s="3" t="s">
        <v>547</v>
      </c>
      <c r="B404" s="5" t="s">
        <v>152</v>
      </c>
      <c r="C404" s="4" t="s">
        <v>151</v>
      </c>
      <c r="D404" s="73" t="s">
        <v>153</v>
      </c>
      <c r="E404" s="58">
        <f t="shared" si="46"/>
        <v>0</v>
      </c>
      <c r="F404" s="21">
        <v>0</v>
      </c>
      <c r="G404" s="21">
        <v>0</v>
      </c>
      <c r="H404" s="21">
        <v>0</v>
      </c>
      <c r="I404" s="21">
        <v>0</v>
      </c>
      <c r="J404" s="58">
        <f t="shared" si="47"/>
        <v>400000</v>
      </c>
      <c r="K404" s="21">
        <f>0+200000+200000</f>
        <v>400000</v>
      </c>
      <c r="L404" s="21">
        <v>0</v>
      </c>
      <c r="M404" s="21">
        <v>0</v>
      </c>
      <c r="N404" s="21">
        <v>0</v>
      </c>
      <c r="O404" s="21">
        <v>0</v>
      </c>
      <c r="P404" s="20">
        <f>E404+J404</f>
        <v>400000</v>
      </c>
      <c r="Q404" s="108">
        <f>P404</f>
        <v>400000</v>
      </c>
    </row>
    <row r="405" spans="1:17" s="98" customFormat="1" ht="38.25" customHeight="1">
      <c r="A405" s="66" t="s">
        <v>346</v>
      </c>
      <c r="B405" s="67"/>
      <c r="C405" s="68"/>
      <c r="D405" s="72" t="s">
        <v>347</v>
      </c>
      <c r="E405" s="69">
        <f aca="true" t="shared" si="50" ref="E405:E410">F405+I405</f>
        <v>3775337</v>
      </c>
      <c r="F405" s="70">
        <f>F406+F413</f>
        <v>3775337</v>
      </c>
      <c r="G405" s="70">
        <f>G406+G413</f>
        <v>1935608</v>
      </c>
      <c r="H405" s="70">
        <f>H406+H413</f>
        <v>277275</v>
      </c>
      <c r="I405" s="70">
        <f>I406+I413</f>
        <v>0</v>
      </c>
      <c r="J405" s="69">
        <f aca="true" t="shared" si="51" ref="J405:J410">K405+N405</f>
        <v>369480</v>
      </c>
      <c r="K405" s="70">
        <f>K406+K413</f>
        <v>0</v>
      </c>
      <c r="L405" s="70">
        <f>L406+L413</f>
        <v>0</v>
      </c>
      <c r="M405" s="70">
        <f>M406+M413</f>
        <v>0</v>
      </c>
      <c r="N405" s="70">
        <f>N406+N413</f>
        <v>369480</v>
      </c>
      <c r="O405" s="70">
        <f>O406+O413</f>
        <v>369480</v>
      </c>
      <c r="P405" s="70">
        <f aca="true" t="shared" si="52" ref="P405:P410">E405+J405</f>
        <v>4144817</v>
      </c>
      <c r="Q405" s="118">
        <f>P405-'[1]Лист1'!$P$348</f>
        <v>-229320</v>
      </c>
    </row>
    <row r="406" spans="1:17" s="99" customFormat="1" ht="28.5">
      <c r="A406" s="27" t="s">
        <v>348</v>
      </c>
      <c r="B406" s="28"/>
      <c r="C406" s="29"/>
      <c r="D406" s="78" t="s">
        <v>349</v>
      </c>
      <c r="E406" s="58">
        <f t="shared" si="50"/>
        <v>2766092</v>
      </c>
      <c r="F406" s="20">
        <f>F407+F408+F409+F410</f>
        <v>2766092</v>
      </c>
      <c r="G406" s="20">
        <f aca="true" t="shared" si="53" ref="G406:O406">G407+G408+G409+G410</f>
        <v>1298314</v>
      </c>
      <c r="H406" s="20">
        <f t="shared" si="53"/>
        <v>202855</v>
      </c>
      <c r="I406" s="20">
        <f t="shared" si="53"/>
        <v>0</v>
      </c>
      <c r="J406" s="58">
        <f t="shared" si="51"/>
        <v>369480</v>
      </c>
      <c r="K406" s="20">
        <f t="shared" si="53"/>
        <v>0</v>
      </c>
      <c r="L406" s="20">
        <f t="shared" si="53"/>
        <v>0</v>
      </c>
      <c r="M406" s="20">
        <f t="shared" si="53"/>
        <v>0</v>
      </c>
      <c r="N406" s="20">
        <f t="shared" si="53"/>
        <v>369480</v>
      </c>
      <c r="O406" s="20">
        <f t="shared" si="53"/>
        <v>369480</v>
      </c>
      <c r="P406" s="20">
        <f t="shared" si="52"/>
        <v>3135572</v>
      </c>
      <c r="Q406" s="122">
        <f>P406-'[1]Лист1'!$P$349</f>
        <v>-308220</v>
      </c>
    </row>
    <row r="407" spans="1:17" s="11" customFormat="1" ht="42.75">
      <c r="A407" s="3" t="s">
        <v>350</v>
      </c>
      <c r="B407" s="30" t="s">
        <v>35</v>
      </c>
      <c r="C407" s="30" t="s">
        <v>20</v>
      </c>
      <c r="D407" s="73" t="s">
        <v>538</v>
      </c>
      <c r="E407" s="58">
        <f t="shared" si="50"/>
        <v>2266092</v>
      </c>
      <c r="F407" s="21">
        <f>2177792+88300</f>
        <v>2266092</v>
      </c>
      <c r="G407" s="21">
        <f>1226014+72300</f>
        <v>1298314</v>
      </c>
      <c r="H407" s="21">
        <v>202855</v>
      </c>
      <c r="I407" s="21">
        <v>0</v>
      </c>
      <c r="J407" s="58">
        <f t="shared" si="51"/>
        <v>0</v>
      </c>
      <c r="K407" s="21">
        <v>0</v>
      </c>
      <c r="L407" s="21">
        <v>0</v>
      </c>
      <c r="M407" s="21">
        <v>0</v>
      </c>
      <c r="N407" s="21">
        <v>0</v>
      </c>
      <c r="O407" s="21">
        <v>0</v>
      </c>
      <c r="P407" s="20">
        <f t="shared" si="52"/>
        <v>2266092</v>
      </c>
      <c r="Q407" s="108">
        <f>P407-'[1]Лист1'!$P$350</f>
        <v>88300</v>
      </c>
    </row>
    <row r="408" spans="1:17" s="11" customFormat="1" ht="28.5">
      <c r="A408" s="3" t="s">
        <v>351</v>
      </c>
      <c r="B408" s="5" t="s">
        <v>353</v>
      </c>
      <c r="C408" s="4" t="s">
        <v>352</v>
      </c>
      <c r="D408" s="73" t="s">
        <v>354</v>
      </c>
      <c r="E408" s="58">
        <f t="shared" si="50"/>
        <v>0</v>
      </c>
      <c r="F408" s="21">
        <v>0</v>
      </c>
      <c r="G408" s="21">
        <v>0</v>
      </c>
      <c r="H408" s="21">
        <v>0</v>
      </c>
      <c r="I408" s="21">
        <v>0</v>
      </c>
      <c r="J408" s="58">
        <f t="shared" si="51"/>
        <v>266000</v>
      </c>
      <c r="K408" s="21">
        <v>0</v>
      </c>
      <c r="L408" s="21">
        <v>0</v>
      </c>
      <c r="M408" s="21">
        <v>0</v>
      </c>
      <c r="N408" s="21">
        <f>1500000-1234000</f>
        <v>266000</v>
      </c>
      <c r="O408" s="21">
        <f>1500000-1234000</f>
        <v>266000</v>
      </c>
      <c r="P408" s="20">
        <f t="shared" si="52"/>
        <v>266000</v>
      </c>
      <c r="Q408" s="108">
        <f>P408-'[1]Лист1'!$P$351</f>
        <v>0</v>
      </c>
    </row>
    <row r="409" spans="1:17" s="11" customFormat="1" ht="28.5">
      <c r="A409" s="3" t="s">
        <v>355</v>
      </c>
      <c r="B409" s="5" t="s">
        <v>148</v>
      </c>
      <c r="C409" s="4" t="s">
        <v>147</v>
      </c>
      <c r="D409" s="73" t="s">
        <v>149</v>
      </c>
      <c r="E409" s="58">
        <f t="shared" si="50"/>
        <v>0</v>
      </c>
      <c r="F409" s="21">
        <v>0</v>
      </c>
      <c r="G409" s="21">
        <v>0</v>
      </c>
      <c r="H409" s="21">
        <v>0</v>
      </c>
      <c r="I409" s="21">
        <v>0</v>
      </c>
      <c r="J409" s="58">
        <f t="shared" si="51"/>
        <v>103480</v>
      </c>
      <c r="K409" s="21">
        <v>0</v>
      </c>
      <c r="L409" s="21">
        <v>0</v>
      </c>
      <c r="M409" s="21">
        <v>0</v>
      </c>
      <c r="N409" s="21">
        <f>500000-396520</f>
        <v>103480</v>
      </c>
      <c r="O409" s="21">
        <f>500000-396520</f>
        <v>103480</v>
      </c>
      <c r="P409" s="20">
        <f t="shared" si="52"/>
        <v>103480</v>
      </c>
      <c r="Q409" s="108">
        <f>P409-'[1]Лист1'!$P$352</f>
        <v>-396520</v>
      </c>
    </row>
    <row r="410" spans="1:17" s="41" customFormat="1" ht="18" customHeight="1">
      <c r="A410" s="16" t="s">
        <v>356</v>
      </c>
      <c r="B410" s="64" t="s">
        <v>344</v>
      </c>
      <c r="C410" s="65" t="s">
        <v>35</v>
      </c>
      <c r="D410" s="74" t="s">
        <v>345</v>
      </c>
      <c r="E410" s="57">
        <f t="shared" si="50"/>
        <v>500000</v>
      </c>
      <c r="F410" s="19">
        <f>F412</f>
        <v>500000</v>
      </c>
      <c r="G410" s="19">
        <f>G412</f>
        <v>0</v>
      </c>
      <c r="H410" s="19">
        <f>H412</f>
        <v>0</v>
      </c>
      <c r="I410" s="19">
        <f>I412</f>
        <v>0</v>
      </c>
      <c r="J410" s="57">
        <f t="shared" si="51"/>
        <v>0</v>
      </c>
      <c r="K410" s="19">
        <f>K412</f>
        <v>0</v>
      </c>
      <c r="L410" s="19">
        <f>L412</f>
        <v>0</v>
      </c>
      <c r="M410" s="19">
        <f>M412</f>
        <v>0</v>
      </c>
      <c r="N410" s="19">
        <f>N412</f>
        <v>0</v>
      </c>
      <c r="O410" s="19">
        <f>O412</f>
        <v>0</v>
      </c>
      <c r="P410" s="19">
        <f t="shared" si="52"/>
        <v>500000</v>
      </c>
      <c r="Q410" s="41">
        <v>0</v>
      </c>
    </row>
    <row r="411" spans="1:16" s="47" customFormat="1" ht="15">
      <c r="A411" s="48"/>
      <c r="B411" s="49"/>
      <c r="C411" s="50"/>
      <c r="D411" s="94" t="s">
        <v>488</v>
      </c>
      <c r="E411" s="62"/>
      <c r="F411" s="51"/>
      <c r="G411" s="51"/>
      <c r="H411" s="51"/>
      <c r="I411" s="51"/>
      <c r="J411" s="62"/>
      <c r="K411" s="51"/>
      <c r="L411" s="51"/>
      <c r="M411" s="51"/>
      <c r="N411" s="51"/>
      <c r="O411" s="51"/>
      <c r="P411" s="52"/>
    </row>
    <row r="412" spans="1:16" s="47" customFormat="1" ht="45">
      <c r="A412" s="42"/>
      <c r="B412" s="43"/>
      <c r="C412" s="44"/>
      <c r="D412" s="113" t="s">
        <v>489</v>
      </c>
      <c r="E412" s="61">
        <f>F412+I412</f>
        <v>500000</v>
      </c>
      <c r="F412" s="46">
        <v>500000</v>
      </c>
      <c r="G412" s="46">
        <v>0</v>
      </c>
      <c r="H412" s="46">
        <v>0</v>
      </c>
      <c r="I412" s="46">
        <v>0</v>
      </c>
      <c r="J412" s="61">
        <f>K412+N412</f>
        <v>0</v>
      </c>
      <c r="K412" s="46">
        <v>0</v>
      </c>
      <c r="L412" s="46">
        <v>0</v>
      </c>
      <c r="M412" s="46">
        <v>0</v>
      </c>
      <c r="N412" s="46">
        <v>0</v>
      </c>
      <c r="O412" s="46">
        <v>0</v>
      </c>
      <c r="P412" s="45">
        <f aca="true" t="shared" si="54" ref="P412:P417">E412+J412</f>
        <v>500000</v>
      </c>
    </row>
    <row r="413" spans="1:17" s="99" customFormat="1" ht="28.5">
      <c r="A413" s="27" t="s">
        <v>348</v>
      </c>
      <c r="B413" s="28"/>
      <c r="C413" s="29"/>
      <c r="D413" s="96" t="s">
        <v>425</v>
      </c>
      <c r="E413" s="58">
        <f aca="true" t="shared" si="55" ref="E413:E433">F413+I413</f>
        <v>1009245</v>
      </c>
      <c r="F413" s="20">
        <f>F414</f>
        <v>1009245</v>
      </c>
      <c r="G413" s="20">
        <f>G414</f>
        <v>637294</v>
      </c>
      <c r="H413" s="20">
        <f>H414</f>
        <v>74420</v>
      </c>
      <c r="I413" s="20">
        <f>I414</f>
        <v>0</v>
      </c>
      <c r="J413" s="58">
        <f aca="true" t="shared" si="56" ref="J413:J447">K413+N413</f>
        <v>0</v>
      </c>
      <c r="K413" s="20">
        <f>K414</f>
        <v>0</v>
      </c>
      <c r="L413" s="20">
        <f>L414</f>
        <v>0</v>
      </c>
      <c r="M413" s="20">
        <f>M414</f>
        <v>0</v>
      </c>
      <c r="N413" s="20">
        <f>N414</f>
        <v>0</v>
      </c>
      <c r="O413" s="20">
        <f>O414</f>
        <v>0</v>
      </c>
      <c r="P413" s="20">
        <f t="shared" si="54"/>
        <v>1009245</v>
      </c>
      <c r="Q413" s="122">
        <f>P413-'[1]Лист1'!$P$356</f>
        <v>78900</v>
      </c>
    </row>
    <row r="414" spans="1:17" s="11" customFormat="1" ht="42.75">
      <c r="A414" s="3" t="s">
        <v>350</v>
      </c>
      <c r="B414" s="30" t="s">
        <v>35</v>
      </c>
      <c r="C414" s="30" t="s">
        <v>20</v>
      </c>
      <c r="D414" s="73" t="s">
        <v>538</v>
      </c>
      <c r="E414" s="58">
        <f t="shared" si="55"/>
        <v>1009245</v>
      </c>
      <c r="F414" s="21">
        <f>930345+28000+50900</f>
        <v>1009245</v>
      </c>
      <c r="G414" s="21">
        <f>595594+41700</f>
        <v>637294</v>
      </c>
      <c r="H414" s="21">
        <v>74420</v>
      </c>
      <c r="I414" s="21">
        <v>0</v>
      </c>
      <c r="J414" s="58">
        <f t="shared" si="56"/>
        <v>0</v>
      </c>
      <c r="K414" s="21">
        <v>0</v>
      </c>
      <c r="L414" s="21">
        <v>0</v>
      </c>
      <c r="M414" s="21">
        <v>0</v>
      </c>
      <c r="N414" s="21">
        <v>0</v>
      </c>
      <c r="O414" s="21">
        <v>0</v>
      </c>
      <c r="P414" s="20">
        <f t="shared" si="54"/>
        <v>1009245</v>
      </c>
      <c r="Q414" s="108">
        <f>P414-'[1]Лист1'!$P$357</f>
        <v>78900</v>
      </c>
    </row>
    <row r="415" spans="1:17" s="98" customFormat="1" ht="47.25">
      <c r="A415" s="66" t="s">
        <v>357</v>
      </c>
      <c r="B415" s="67"/>
      <c r="C415" s="68"/>
      <c r="D415" s="72" t="s">
        <v>358</v>
      </c>
      <c r="E415" s="69">
        <f>F415+I415</f>
        <v>1131175</v>
      </c>
      <c r="F415" s="70">
        <f>F416</f>
        <v>1131175</v>
      </c>
      <c r="G415" s="70">
        <f aca="true" t="shared" si="57" ref="G415:O415">G416</f>
        <v>802793</v>
      </c>
      <c r="H415" s="70">
        <f t="shared" si="57"/>
        <v>57634</v>
      </c>
      <c r="I415" s="70">
        <f t="shared" si="57"/>
        <v>0</v>
      </c>
      <c r="J415" s="69">
        <f t="shared" si="56"/>
        <v>11569274.8</v>
      </c>
      <c r="K415" s="70">
        <f t="shared" si="57"/>
        <v>3697900</v>
      </c>
      <c r="L415" s="70">
        <f t="shared" si="57"/>
        <v>0</v>
      </c>
      <c r="M415" s="70">
        <f t="shared" si="57"/>
        <v>0</v>
      </c>
      <c r="N415" s="70">
        <f t="shared" si="57"/>
        <v>7871374.8</v>
      </c>
      <c r="O415" s="70">
        <f t="shared" si="57"/>
        <v>2881100</v>
      </c>
      <c r="P415" s="70">
        <f t="shared" si="54"/>
        <v>12700449.8</v>
      </c>
      <c r="Q415" s="118">
        <f>P415-'[1]Лист1'!$P$358</f>
        <v>1830400</v>
      </c>
    </row>
    <row r="416" spans="1:16" s="99" customFormat="1" ht="28.5">
      <c r="A416" s="27" t="s">
        <v>359</v>
      </c>
      <c r="B416" s="28"/>
      <c r="C416" s="29"/>
      <c r="D416" s="78" t="s">
        <v>360</v>
      </c>
      <c r="E416" s="58">
        <f>F416+I416</f>
        <v>1131175</v>
      </c>
      <c r="F416" s="20">
        <f>F417+F418+F419+F420+F421+F422+F423+F424</f>
        <v>1131175</v>
      </c>
      <c r="G416" s="20">
        <f>G417+G418+G419+G420+G421+G422+G423+G424</f>
        <v>802793</v>
      </c>
      <c r="H416" s="20">
        <f>H417+H418+H419+H420+H421+H422+H423+H424</f>
        <v>57634</v>
      </c>
      <c r="I416" s="20">
        <f>I417+I418+I419+I420+I421+I422+I423+I424</f>
        <v>0</v>
      </c>
      <c r="J416" s="58">
        <f>K416+N416</f>
        <v>11569274.8</v>
      </c>
      <c r="K416" s="20">
        <f>K417+K418+K419+K420+K421+K422+K423+K424</f>
        <v>3697900</v>
      </c>
      <c r="L416" s="20">
        <f>L417+L418+L419+L420+L421+L422+L423+L424</f>
        <v>0</v>
      </c>
      <c r="M416" s="20">
        <f>M417+M418+M419+M420+M421+M422+M423+M424</f>
        <v>0</v>
      </c>
      <c r="N416" s="20">
        <f>N417+N418+N419+N420+N421+N422+N423+N424</f>
        <v>7871374.8</v>
      </c>
      <c r="O416" s="20">
        <f>O417+O418+O419+O420+O421+O422+O423+O424</f>
        <v>2881100</v>
      </c>
      <c r="P416" s="20">
        <f t="shared" si="54"/>
        <v>12700449.8</v>
      </c>
    </row>
    <row r="417" spans="1:17" s="11" customFormat="1" ht="42.75">
      <c r="A417" s="3" t="s">
        <v>361</v>
      </c>
      <c r="B417" s="30" t="s">
        <v>35</v>
      </c>
      <c r="C417" s="30" t="s">
        <v>20</v>
      </c>
      <c r="D417" s="73" t="s">
        <v>538</v>
      </c>
      <c r="E417" s="58">
        <f t="shared" si="55"/>
        <v>1104691</v>
      </c>
      <c r="F417" s="21">
        <f>1103975-31776+5292+27200</f>
        <v>1104691</v>
      </c>
      <c r="G417" s="21">
        <f>780493+22300</f>
        <v>802793</v>
      </c>
      <c r="H417" s="21">
        <v>57634</v>
      </c>
      <c r="I417" s="21">
        <v>0</v>
      </c>
      <c r="J417" s="58">
        <f t="shared" si="56"/>
        <v>0</v>
      </c>
      <c r="K417" s="21">
        <v>0</v>
      </c>
      <c r="L417" s="21">
        <v>0</v>
      </c>
      <c r="M417" s="21">
        <v>0</v>
      </c>
      <c r="N417" s="21">
        <v>0</v>
      </c>
      <c r="O417" s="21">
        <v>0</v>
      </c>
      <c r="P417" s="20">
        <f t="shared" si="54"/>
        <v>1104691</v>
      </c>
      <c r="Q417" s="108">
        <f>P417-'[1]Лист1'!$P$360</f>
        <v>32492</v>
      </c>
    </row>
    <row r="418" spans="1:17" s="11" customFormat="1" ht="28.5">
      <c r="A418" s="3" t="s">
        <v>362</v>
      </c>
      <c r="B418" s="5" t="s">
        <v>148</v>
      </c>
      <c r="C418" s="4" t="s">
        <v>147</v>
      </c>
      <c r="D418" s="73" t="s">
        <v>149</v>
      </c>
      <c r="E418" s="58">
        <f>F418+I418</f>
        <v>0</v>
      </c>
      <c r="F418" s="21">
        <v>0</v>
      </c>
      <c r="G418" s="21">
        <v>0</v>
      </c>
      <c r="H418" s="21">
        <v>0</v>
      </c>
      <c r="I418" s="21">
        <v>0</v>
      </c>
      <c r="J418" s="58">
        <f t="shared" si="56"/>
        <v>650000</v>
      </c>
      <c r="K418" s="21">
        <v>0</v>
      </c>
      <c r="L418" s="21">
        <v>0</v>
      </c>
      <c r="M418" s="21">
        <v>0</v>
      </c>
      <c r="N418" s="21">
        <f>200000+450000</f>
        <v>650000</v>
      </c>
      <c r="O418" s="21">
        <f>200000+450000</f>
        <v>650000</v>
      </c>
      <c r="P418" s="20">
        <f aca="true" t="shared" si="58" ref="P418:P428">E418+J418</f>
        <v>650000</v>
      </c>
      <c r="Q418" s="108">
        <f>P418-'[1]Лист1'!$P$361</f>
        <v>450000</v>
      </c>
    </row>
    <row r="419" spans="1:17" s="11" customFormat="1" ht="15">
      <c r="A419" s="3">
        <v>6017700</v>
      </c>
      <c r="B419" s="30" t="s">
        <v>573</v>
      </c>
      <c r="C419" s="4" t="s">
        <v>373</v>
      </c>
      <c r="D419" s="95" t="s">
        <v>574</v>
      </c>
      <c r="E419" s="58">
        <f>F419+I419</f>
        <v>0</v>
      </c>
      <c r="F419" s="21">
        <v>0</v>
      </c>
      <c r="G419" s="21">
        <v>0</v>
      </c>
      <c r="H419" s="21">
        <v>0</v>
      </c>
      <c r="I419" s="21"/>
      <c r="J419" s="58">
        <f t="shared" si="56"/>
        <v>2231100</v>
      </c>
      <c r="K419" s="21">
        <v>0</v>
      </c>
      <c r="L419" s="21">
        <v>0</v>
      </c>
      <c r="M419" s="21">
        <v>0</v>
      </c>
      <c r="N419" s="21">
        <v>2231100</v>
      </c>
      <c r="O419" s="21">
        <v>2231100</v>
      </c>
      <c r="P419" s="20">
        <f>E419+J419</f>
        <v>2231100</v>
      </c>
      <c r="Q419" s="108"/>
    </row>
    <row r="420" spans="1:18" s="11" customFormat="1" ht="28.5">
      <c r="A420" s="3" t="s">
        <v>363</v>
      </c>
      <c r="B420" s="5" t="s">
        <v>152</v>
      </c>
      <c r="C420" s="4" t="s">
        <v>151</v>
      </c>
      <c r="D420" s="73" t="s">
        <v>153</v>
      </c>
      <c r="E420" s="58">
        <f t="shared" si="55"/>
        <v>0</v>
      </c>
      <c r="F420" s="21">
        <v>0</v>
      </c>
      <c r="G420" s="21">
        <v>0</v>
      </c>
      <c r="H420" s="21">
        <v>0</v>
      </c>
      <c r="I420" s="21">
        <v>0</v>
      </c>
      <c r="J420" s="58">
        <f>K420+N420</f>
        <v>5547274.8</v>
      </c>
      <c r="K420" s="21">
        <f>230000+400000+100000-10000</f>
        <v>720000</v>
      </c>
      <c r="L420" s="21">
        <v>0</v>
      </c>
      <c r="M420" s="21">
        <v>0</v>
      </c>
      <c r="N420" s="21">
        <f>5600000-404200+436174.8+1172000-477900-1390000-100000-8800</f>
        <v>4827274.8</v>
      </c>
      <c r="O420" s="21">
        <v>0</v>
      </c>
      <c r="P420" s="20">
        <f t="shared" si="58"/>
        <v>5547274.8</v>
      </c>
      <c r="Q420" s="108">
        <f>P420-'[1]Лист1'!$P$362</f>
        <v>-1986700</v>
      </c>
      <c r="R420" s="108">
        <f>P420+P421+P422+P423</f>
        <v>8688174.8</v>
      </c>
    </row>
    <row r="421" spans="1:17" s="11" customFormat="1" ht="15">
      <c r="A421" s="3" t="s">
        <v>364</v>
      </c>
      <c r="B421" s="5" t="s">
        <v>366</v>
      </c>
      <c r="C421" s="4" t="s">
        <v>365</v>
      </c>
      <c r="D421" s="73" t="s">
        <v>367</v>
      </c>
      <c r="E421" s="58">
        <f t="shared" si="55"/>
        <v>0</v>
      </c>
      <c r="F421" s="21">
        <v>0</v>
      </c>
      <c r="G421" s="21">
        <v>0</v>
      </c>
      <c r="H421" s="21">
        <v>0</v>
      </c>
      <c r="I421" s="21">
        <v>0</v>
      </c>
      <c r="J421" s="58">
        <f t="shared" si="56"/>
        <v>2613000</v>
      </c>
      <c r="K421" s="21">
        <f>1500000-50000+1000000</f>
        <v>2450000</v>
      </c>
      <c r="L421" s="21">
        <v>0</v>
      </c>
      <c r="M421" s="21">
        <v>0</v>
      </c>
      <c r="N421" s="21">
        <f>54200+100000+8800</f>
        <v>163000</v>
      </c>
      <c r="O421" s="21">
        <v>0</v>
      </c>
      <c r="P421" s="20">
        <f t="shared" si="58"/>
        <v>2613000</v>
      </c>
      <c r="Q421" s="108">
        <f>P421-'[1]Лист1'!$P$363</f>
        <v>1108800</v>
      </c>
    </row>
    <row r="422" spans="1:17" s="11" customFormat="1" ht="42.75">
      <c r="A422" s="3" t="s">
        <v>368</v>
      </c>
      <c r="B422" s="5" t="s">
        <v>370</v>
      </c>
      <c r="C422" s="4" t="s">
        <v>369</v>
      </c>
      <c r="D422" s="73" t="s">
        <v>371</v>
      </c>
      <c r="E422" s="58">
        <f t="shared" si="55"/>
        <v>0</v>
      </c>
      <c r="F422" s="21">
        <v>0</v>
      </c>
      <c r="G422" s="21">
        <v>0</v>
      </c>
      <c r="H422" s="21">
        <v>0</v>
      </c>
      <c r="I422" s="21">
        <v>0</v>
      </c>
      <c r="J422" s="58">
        <f t="shared" si="56"/>
        <v>500000</v>
      </c>
      <c r="K422" s="21">
        <v>500000</v>
      </c>
      <c r="L422" s="21">
        <v>0</v>
      </c>
      <c r="M422" s="21">
        <v>0</v>
      </c>
      <c r="N422" s="21">
        <v>0</v>
      </c>
      <c r="O422" s="21">
        <v>0</v>
      </c>
      <c r="P422" s="20">
        <f t="shared" si="58"/>
        <v>500000</v>
      </c>
      <c r="Q422" s="108">
        <f>P422-'[1]Лист1'!$P$364</f>
        <v>0</v>
      </c>
    </row>
    <row r="423" spans="1:17" s="11" customFormat="1" ht="42.75">
      <c r="A423" s="3" t="s">
        <v>372</v>
      </c>
      <c r="B423" s="5" t="s">
        <v>374</v>
      </c>
      <c r="C423" s="4" t="s">
        <v>373</v>
      </c>
      <c r="D423" s="73" t="s">
        <v>375</v>
      </c>
      <c r="E423" s="58">
        <f t="shared" si="55"/>
        <v>0</v>
      </c>
      <c r="F423" s="21">
        <v>0</v>
      </c>
      <c r="G423" s="21">
        <v>0</v>
      </c>
      <c r="H423" s="21">
        <v>0</v>
      </c>
      <c r="I423" s="21">
        <v>0</v>
      </c>
      <c r="J423" s="58">
        <f t="shared" si="56"/>
        <v>27900</v>
      </c>
      <c r="K423" s="21">
        <v>27900</v>
      </c>
      <c r="L423" s="21">
        <v>0</v>
      </c>
      <c r="M423" s="21">
        <v>0</v>
      </c>
      <c r="N423" s="21">
        <v>0</v>
      </c>
      <c r="O423" s="21">
        <v>0</v>
      </c>
      <c r="P423" s="20">
        <f t="shared" si="58"/>
        <v>27900</v>
      </c>
      <c r="Q423" s="108">
        <f>P423-'[1]Лист1'!$P$365</f>
        <v>0</v>
      </c>
    </row>
    <row r="424" spans="1:17" s="11" customFormat="1" ht="15">
      <c r="A424" s="16" t="s">
        <v>531</v>
      </c>
      <c r="B424" s="64" t="s">
        <v>32</v>
      </c>
      <c r="C424" s="65" t="s">
        <v>31</v>
      </c>
      <c r="D424" s="74" t="s">
        <v>33</v>
      </c>
      <c r="E424" s="57">
        <f t="shared" si="55"/>
        <v>26484</v>
      </c>
      <c r="F424" s="19">
        <f>F426</f>
        <v>26484</v>
      </c>
      <c r="G424" s="19">
        <f>G426</f>
        <v>0</v>
      </c>
      <c r="H424" s="19">
        <f>H426</f>
        <v>0</v>
      </c>
      <c r="I424" s="19">
        <f>I426</f>
        <v>0</v>
      </c>
      <c r="J424" s="57">
        <f t="shared" si="56"/>
        <v>0</v>
      </c>
      <c r="K424" s="19">
        <f>K426</f>
        <v>0</v>
      </c>
      <c r="L424" s="19">
        <f>L426</f>
        <v>0</v>
      </c>
      <c r="M424" s="19">
        <f>M426</f>
        <v>0</v>
      </c>
      <c r="N424" s="19">
        <f>N426</f>
        <v>0</v>
      </c>
      <c r="O424" s="19">
        <f>O426</f>
        <v>0</v>
      </c>
      <c r="P424" s="19">
        <f t="shared" si="58"/>
        <v>26484</v>
      </c>
      <c r="Q424" s="108">
        <f>P424-'[1]Лист1'!$P$366</f>
        <v>-5292</v>
      </c>
    </row>
    <row r="425" spans="1:16" s="47" customFormat="1" ht="15">
      <c r="A425" s="42"/>
      <c r="B425" s="43"/>
      <c r="C425" s="44"/>
      <c r="D425" s="94" t="s">
        <v>488</v>
      </c>
      <c r="E425" s="58"/>
      <c r="F425" s="46"/>
      <c r="G425" s="46"/>
      <c r="H425" s="46"/>
      <c r="I425" s="46"/>
      <c r="J425" s="58"/>
      <c r="K425" s="46"/>
      <c r="L425" s="46"/>
      <c r="M425" s="46"/>
      <c r="N425" s="46"/>
      <c r="O425" s="46"/>
      <c r="P425" s="20"/>
    </row>
    <row r="426" spans="1:16" s="47" customFormat="1" ht="35.25" customHeight="1">
      <c r="A426" s="42"/>
      <c r="B426" s="43"/>
      <c r="C426" s="44"/>
      <c r="D426" s="113" t="s">
        <v>491</v>
      </c>
      <c r="E426" s="61">
        <f>F426+I426</f>
        <v>26484</v>
      </c>
      <c r="F426" s="46">
        <f>31776-5292</f>
        <v>26484</v>
      </c>
      <c r="G426" s="46">
        <v>0</v>
      </c>
      <c r="H426" s="46">
        <v>0</v>
      </c>
      <c r="I426" s="46">
        <v>0</v>
      </c>
      <c r="J426" s="61">
        <f>K426+N426</f>
        <v>0</v>
      </c>
      <c r="K426" s="46">
        <v>0</v>
      </c>
      <c r="L426" s="46">
        <v>0</v>
      </c>
      <c r="M426" s="46">
        <v>0</v>
      </c>
      <c r="N426" s="46">
        <v>0</v>
      </c>
      <c r="O426" s="46">
        <v>0</v>
      </c>
      <c r="P426" s="45">
        <f>E426+J426</f>
        <v>26484</v>
      </c>
    </row>
    <row r="427" spans="1:17" s="98" customFormat="1" ht="38.25" customHeight="1">
      <c r="A427" s="66" t="s">
        <v>376</v>
      </c>
      <c r="B427" s="67"/>
      <c r="C427" s="68"/>
      <c r="D427" s="72" t="s">
        <v>377</v>
      </c>
      <c r="E427" s="69">
        <f t="shared" si="55"/>
        <v>45101862</v>
      </c>
      <c r="F427" s="70">
        <f>F428</f>
        <v>1101862</v>
      </c>
      <c r="G427" s="70">
        <f>G428</f>
        <v>543279</v>
      </c>
      <c r="H427" s="70">
        <f>H428</f>
        <v>31684</v>
      </c>
      <c r="I427" s="70">
        <f>I428</f>
        <v>44000000</v>
      </c>
      <c r="J427" s="69">
        <f t="shared" si="56"/>
        <v>2215000</v>
      </c>
      <c r="K427" s="70">
        <f>K428</f>
        <v>15000</v>
      </c>
      <c r="L427" s="70">
        <f>L428</f>
        <v>0</v>
      </c>
      <c r="M427" s="70">
        <f>M428</f>
        <v>0</v>
      </c>
      <c r="N427" s="70">
        <f>N428</f>
        <v>2200000</v>
      </c>
      <c r="O427" s="70">
        <f>O428</f>
        <v>2200000</v>
      </c>
      <c r="P427" s="70">
        <f t="shared" si="58"/>
        <v>47316862</v>
      </c>
      <c r="Q427" s="118">
        <f>P427-'[1]Лист1'!$P$369</f>
        <v>-2766100</v>
      </c>
    </row>
    <row r="428" spans="1:16" s="99" customFormat="1" ht="28.5">
      <c r="A428" s="27" t="s">
        <v>378</v>
      </c>
      <c r="B428" s="28"/>
      <c r="C428" s="29"/>
      <c r="D428" s="78" t="s">
        <v>379</v>
      </c>
      <c r="E428" s="58">
        <f t="shared" si="55"/>
        <v>45101862</v>
      </c>
      <c r="F428" s="20">
        <f>F429+F430+F431+F432+F433</f>
        <v>1101862</v>
      </c>
      <c r="G428" s="20">
        <f>G429+G430+G431+G432+G433</f>
        <v>543279</v>
      </c>
      <c r="H428" s="20">
        <f>H429+H430+H431+H432+H433</f>
        <v>31684</v>
      </c>
      <c r="I428" s="20">
        <f>I429+I430+I431+I432+I433</f>
        <v>44000000</v>
      </c>
      <c r="J428" s="58">
        <f t="shared" si="56"/>
        <v>2215000</v>
      </c>
      <c r="K428" s="20">
        <f>K429+K430+K431+K432+K433</f>
        <v>15000</v>
      </c>
      <c r="L428" s="20">
        <f>L429+L430+L431+L432+L433</f>
        <v>0</v>
      </c>
      <c r="M428" s="20">
        <f>M429+M430+M431+M432+M433</f>
        <v>0</v>
      </c>
      <c r="N428" s="20">
        <f>N429+N430+N431+N432+N433</f>
        <v>2200000</v>
      </c>
      <c r="O428" s="20">
        <f>O429+O430+O431+O432+O433</f>
        <v>2200000</v>
      </c>
      <c r="P428" s="20">
        <f t="shared" si="58"/>
        <v>47316862</v>
      </c>
    </row>
    <row r="429" spans="1:17" s="11" customFormat="1" ht="42.75">
      <c r="A429" s="3" t="s">
        <v>380</v>
      </c>
      <c r="B429" s="30" t="s">
        <v>35</v>
      </c>
      <c r="C429" s="30" t="s">
        <v>20</v>
      </c>
      <c r="D429" s="73" t="s">
        <v>538</v>
      </c>
      <c r="E429" s="58">
        <f t="shared" si="55"/>
        <v>901862</v>
      </c>
      <c r="F429" s="21">
        <f>867962+33900</f>
        <v>901862</v>
      </c>
      <c r="G429" s="21">
        <f>515479+27800</f>
        <v>543279</v>
      </c>
      <c r="H429" s="21">
        <v>31684</v>
      </c>
      <c r="I429" s="21">
        <v>0</v>
      </c>
      <c r="J429" s="58">
        <f t="shared" si="56"/>
        <v>0</v>
      </c>
      <c r="K429" s="21">
        <v>0</v>
      </c>
      <c r="L429" s="21">
        <v>0</v>
      </c>
      <c r="M429" s="21">
        <v>0</v>
      </c>
      <c r="N429" s="21">
        <v>0</v>
      </c>
      <c r="O429" s="21">
        <v>0</v>
      </c>
      <c r="P429" s="20">
        <f>E429+J429</f>
        <v>901862</v>
      </c>
      <c r="Q429" s="108">
        <f>P429-'[1]Лист1'!$P$371</f>
        <v>33900</v>
      </c>
    </row>
    <row r="430" spans="1:16" s="11" customFormat="1" ht="28.5">
      <c r="A430" s="3" t="s">
        <v>381</v>
      </c>
      <c r="B430" s="5" t="s">
        <v>383</v>
      </c>
      <c r="C430" s="4" t="s">
        <v>382</v>
      </c>
      <c r="D430" s="73" t="s">
        <v>384</v>
      </c>
      <c r="E430" s="58">
        <f t="shared" si="55"/>
        <v>44000000</v>
      </c>
      <c r="F430" s="21">
        <v>0</v>
      </c>
      <c r="G430" s="21">
        <v>0</v>
      </c>
      <c r="H430" s="21">
        <v>0</v>
      </c>
      <c r="I430" s="21">
        <f>34000000+10000000</f>
        <v>44000000</v>
      </c>
      <c r="J430" s="58">
        <f t="shared" si="56"/>
        <v>0</v>
      </c>
      <c r="K430" s="21">
        <v>0</v>
      </c>
      <c r="L430" s="21">
        <v>0</v>
      </c>
      <c r="M430" s="21">
        <v>0</v>
      </c>
      <c r="N430" s="21">
        <v>0</v>
      </c>
      <c r="O430" s="21">
        <v>0</v>
      </c>
      <c r="P430" s="20">
        <f>E430+J430</f>
        <v>44000000</v>
      </c>
    </row>
    <row r="431" spans="1:16" s="11" customFormat="1" ht="28.5">
      <c r="A431" s="3" t="s">
        <v>385</v>
      </c>
      <c r="B431" s="5" t="s">
        <v>387</v>
      </c>
      <c r="C431" s="4" t="s">
        <v>386</v>
      </c>
      <c r="D431" s="73" t="s">
        <v>388</v>
      </c>
      <c r="E431" s="58">
        <f t="shared" si="55"/>
        <v>200000</v>
      </c>
      <c r="F431" s="21">
        <v>200000</v>
      </c>
      <c r="G431" s="21">
        <v>0</v>
      </c>
      <c r="H431" s="21">
        <v>0</v>
      </c>
      <c r="I431" s="21">
        <v>0</v>
      </c>
      <c r="J431" s="58">
        <f t="shared" si="56"/>
        <v>0</v>
      </c>
      <c r="K431" s="21">
        <v>0</v>
      </c>
      <c r="L431" s="21">
        <v>0</v>
      </c>
      <c r="M431" s="21">
        <v>0</v>
      </c>
      <c r="N431" s="21">
        <v>0</v>
      </c>
      <c r="O431" s="21">
        <v>0</v>
      </c>
      <c r="P431" s="20">
        <f>E431+J431</f>
        <v>200000</v>
      </c>
    </row>
    <row r="432" spans="1:16" s="11" customFormat="1" ht="28.5">
      <c r="A432" s="3" t="s">
        <v>389</v>
      </c>
      <c r="B432" s="5" t="s">
        <v>391</v>
      </c>
      <c r="C432" s="4" t="s">
        <v>390</v>
      </c>
      <c r="D432" s="73" t="s">
        <v>392</v>
      </c>
      <c r="E432" s="58">
        <f t="shared" si="55"/>
        <v>0</v>
      </c>
      <c r="F432" s="21">
        <v>0</v>
      </c>
      <c r="G432" s="21">
        <v>0</v>
      </c>
      <c r="H432" s="21">
        <v>0</v>
      </c>
      <c r="I432" s="21">
        <v>0</v>
      </c>
      <c r="J432" s="58">
        <f t="shared" si="56"/>
        <v>15000</v>
      </c>
      <c r="K432" s="21">
        <v>15000</v>
      </c>
      <c r="L432" s="21">
        <v>0</v>
      </c>
      <c r="M432" s="21">
        <v>0</v>
      </c>
      <c r="N432" s="21">
        <v>0</v>
      </c>
      <c r="O432" s="21">
        <v>0</v>
      </c>
      <c r="P432" s="20">
        <f>E432+J432</f>
        <v>15000</v>
      </c>
    </row>
    <row r="433" spans="1:18" s="11" customFormat="1" ht="28.5">
      <c r="A433" s="3" t="s">
        <v>393</v>
      </c>
      <c r="B433" s="5" t="s">
        <v>148</v>
      </c>
      <c r="C433" s="4" t="s">
        <v>147</v>
      </c>
      <c r="D433" s="73" t="s">
        <v>149</v>
      </c>
      <c r="E433" s="58">
        <f t="shared" si="55"/>
        <v>0</v>
      </c>
      <c r="F433" s="21">
        <v>0</v>
      </c>
      <c r="G433" s="21">
        <v>0</v>
      </c>
      <c r="H433" s="21">
        <v>0</v>
      </c>
      <c r="I433" s="21">
        <v>0</v>
      </c>
      <c r="J433" s="58">
        <f t="shared" si="56"/>
        <v>2200000</v>
      </c>
      <c r="K433" s="21">
        <v>0</v>
      </c>
      <c r="L433" s="21">
        <v>0</v>
      </c>
      <c r="M433" s="21">
        <v>0</v>
      </c>
      <c r="N433" s="21">
        <f>5000000+200000-3000000</f>
        <v>2200000</v>
      </c>
      <c r="O433" s="21">
        <f>5000000+200000-3000000</f>
        <v>2200000</v>
      </c>
      <c r="P433" s="20">
        <f>E433+J433</f>
        <v>2200000</v>
      </c>
      <c r="R433" s="108">
        <f>P433+P418+P409+P394+P101</f>
        <v>90696356.87</v>
      </c>
    </row>
    <row r="434" spans="1:17" s="98" customFormat="1" ht="31.5">
      <c r="A434" s="66" t="s">
        <v>394</v>
      </c>
      <c r="B434" s="67"/>
      <c r="C434" s="68"/>
      <c r="D434" s="72" t="s">
        <v>395</v>
      </c>
      <c r="E434" s="69">
        <f aca="true" t="shared" si="59" ref="E434:E447">F434+I434</f>
        <v>1696575</v>
      </c>
      <c r="F434" s="70">
        <f>F435</f>
        <v>1696575</v>
      </c>
      <c r="G434" s="70">
        <f>G435</f>
        <v>952669</v>
      </c>
      <c r="H434" s="70">
        <f>H435</f>
        <v>72110</v>
      </c>
      <c r="I434" s="70">
        <f>I435</f>
        <v>0</v>
      </c>
      <c r="J434" s="69">
        <f t="shared" si="56"/>
        <v>2230155</v>
      </c>
      <c r="K434" s="70">
        <f>K435</f>
        <v>0</v>
      </c>
      <c r="L434" s="70">
        <f>L435</f>
        <v>0</v>
      </c>
      <c r="M434" s="70">
        <f>M435</f>
        <v>0</v>
      </c>
      <c r="N434" s="70">
        <f>N435</f>
        <v>2230155</v>
      </c>
      <c r="O434" s="70">
        <f>O435</f>
        <v>2230155</v>
      </c>
      <c r="P434" s="70">
        <f aca="true" t="shared" si="60" ref="P434:P459">E434+J434</f>
        <v>3926730</v>
      </c>
      <c r="Q434" s="118">
        <f>P434-'[1]Лист1'!$P$376</f>
        <v>-200000</v>
      </c>
    </row>
    <row r="435" spans="1:16" s="99" customFormat="1" ht="42.75">
      <c r="A435" s="27" t="s">
        <v>396</v>
      </c>
      <c r="B435" s="28"/>
      <c r="C435" s="29"/>
      <c r="D435" s="78" t="s">
        <v>397</v>
      </c>
      <c r="E435" s="58">
        <f t="shared" si="59"/>
        <v>1696575</v>
      </c>
      <c r="F435" s="20">
        <f>F436+F437+F438</f>
        <v>1696575</v>
      </c>
      <c r="G435" s="20">
        <f>G436+G437+G438</f>
        <v>952669</v>
      </c>
      <c r="H435" s="20">
        <f>H436+H437+H438</f>
        <v>72110</v>
      </c>
      <c r="I435" s="20">
        <f>I436+I437+I438</f>
        <v>0</v>
      </c>
      <c r="J435" s="58">
        <f t="shared" si="56"/>
        <v>2230155</v>
      </c>
      <c r="K435" s="20">
        <f>K436+K437+K438</f>
        <v>0</v>
      </c>
      <c r="L435" s="20">
        <f>L436+L437+L438</f>
        <v>0</v>
      </c>
      <c r="M435" s="20">
        <f>M436+M437+M438</f>
        <v>0</v>
      </c>
      <c r="N435" s="20">
        <f>N436+N437+N438</f>
        <v>2230155</v>
      </c>
      <c r="O435" s="20">
        <f>O436+O437+O438</f>
        <v>2230155</v>
      </c>
      <c r="P435" s="20">
        <f t="shared" si="60"/>
        <v>3926730</v>
      </c>
    </row>
    <row r="436" spans="1:18" s="11" customFormat="1" ht="42.75">
      <c r="A436" s="3" t="s">
        <v>398</v>
      </c>
      <c r="B436" s="30" t="s">
        <v>35</v>
      </c>
      <c r="C436" s="30" t="s">
        <v>20</v>
      </c>
      <c r="D436" s="73" t="s">
        <v>538</v>
      </c>
      <c r="E436" s="58">
        <f t="shared" si="59"/>
        <v>1532075</v>
      </c>
      <c r="F436" s="21">
        <f>1480130+51945</f>
        <v>1532075</v>
      </c>
      <c r="G436" s="21">
        <v>952669</v>
      </c>
      <c r="H436" s="21">
        <f>62110+10000</f>
        <v>72110</v>
      </c>
      <c r="I436" s="21">
        <v>0</v>
      </c>
      <c r="J436" s="58">
        <f t="shared" si="56"/>
        <v>76000</v>
      </c>
      <c r="K436" s="21">
        <v>0</v>
      </c>
      <c r="L436" s="21">
        <v>0</v>
      </c>
      <c r="M436" s="21">
        <v>0</v>
      </c>
      <c r="N436" s="21">
        <v>76000</v>
      </c>
      <c r="O436" s="21">
        <v>76000</v>
      </c>
      <c r="P436" s="20">
        <f t="shared" si="60"/>
        <v>1608075</v>
      </c>
      <c r="Q436" s="108">
        <f>P436-'[1]Лист1'!$P$378</f>
        <v>51945</v>
      </c>
      <c r="R436" s="108"/>
    </row>
    <row r="437" spans="1:19" s="11" customFormat="1" ht="71.25">
      <c r="A437" s="3" t="s">
        <v>520</v>
      </c>
      <c r="B437" s="30" t="s">
        <v>521</v>
      </c>
      <c r="C437" s="4" t="s">
        <v>39</v>
      </c>
      <c r="D437" s="95" t="s">
        <v>519</v>
      </c>
      <c r="E437" s="58">
        <f t="shared" si="59"/>
        <v>0</v>
      </c>
      <c r="F437" s="21">
        <v>0</v>
      </c>
      <c r="G437" s="21">
        <v>0</v>
      </c>
      <c r="H437" s="21">
        <v>0</v>
      </c>
      <c r="I437" s="21">
        <v>0</v>
      </c>
      <c r="J437" s="58">
        <f t="shared" si="56"/>
        <v>2118655</v>
      </c>
      <c r="K437" s="21">
        <v>0</v>
      </c>
      <c r="L437" s="21">
        <v>0</v>
      </c>
      <c r="M437" s="21">
        <v>0</v>
      </c>
      <c r="N437" s="21">
        <f>2370600-251945</f>
        <v>2118655</v>
      </c>
      <c r="O437" s="21">
        <f>2370600-251945</f>
        <v>2118655</v>
      </c>
      <c r="P437" s="20">
        <f t="shared" si="60"/>
        <v>2118655</v>
      </c>
      <c r="Q437" s="108">
        <f>P437-'[1]Лист1'!$P$379</f>
        <v>-251945</v>
      </c>
      <c r="S437" s="108">
        <f>P437+P438</f>
        <v>2318655</v>
      </c>
    </row>
    <row r="438" spans="1:16" s="11" customFormat="1" ht="42.75">
      <c r="A438" s="3" t="s">
        <v>399</v>
      </c>
      <c r="B438" s="5" t="s">
        <v>401</v>
      </c>
      <c r="C438" s="4" t="s">
        <v>400</v>
      </c>
      <c r="D438" s="73" t="s">
        <v>402</v>
      </c>
      <c r="E438" s="58">
        <f t="shared" si="59"/>
        <v>164500</v>
      </c>
      <c r="F438" s="21">
        <f>200000-35500</f>
        <v>164500</v>
      </c>
      <c r="G438" s="21">
        <v>0</v>
      </c>
      <c r="H438" s="21">
        <v>0</v>
      </c>
      <c r="I438" s="21">
        <v>0</v>
      </c>
      <c r="J438" s="58">
        <f t="shared" si="56"/>
        <v>35500</v>
      </c>
      <c r="K438" s="21">
        <v>0</v>
      </c>
      <c r="L438" s="21">
        <v>0</v>
      </c>
      <c r="M438" s="21">
        <v>0</v>
      </c>
      <c r="N438" s="21">
        <f>0+35500</f>
        <v>35500</v>
      </c>
      <c r="O438" s="21">
        <f>0+35500</f>
        <v>35500</v>
      </c>
      <c r="P438" s="20">
        <f t="shared" si="60"/>
        <v>200000</v>
      </c>
    </row>
    <row r="439" spans="1:17" s="98" customFormat="1" ht="24" customHeight="1">
      <c r="A439" s="66" t="s">
        <v>403</v>
      </c>
      <c r="B439" s="67"/>
      <c r="C439" s="68"/>
      <c r="D439" s="72" t="s">
        <v>404</v>
      </c>
      <c r="E439" s="69">
        <f t="shared" si="59"/>
        <v>2908813</v>
      </c>
      <c r="F439" s="70">
        <f>F440</f>
        <v>2908813</v>
      </c>
      <c r="G439" s="70">
        <f aca="true" t="shared" si="61" ref="G439:O439">G440</f>
        <v>1769936</v>
      </c>
      <c r="H439" s="70">
        <f t="shared" si="61"/>
        <v>105320</v>
      </c>
      <c r="I439" s="70">
        <f t="shared" si="61"/>
        <v>0</v>
      </c>
      <c r="J439" s="69">
        <f t="shared" si="56"/>
        <v>400000</v>
      </c>
      <c r="K439" s="70">
        <f t="shared" si="61"/>
        <v>0</v>
      </c>
      <c r="L439" s="70">
        <f t="shared" si="61"/>
        <v>0</v>
      </c>
      <c r="M439" s="70">
        <f t="shared" si="61"/>
        <v>0</v>
      </c>
      <c r="N439" s="70">
        <f t="shared" si="61"/>
        <v>400000</v>
      </c>
      <c r="O439" s="70">
        <f t="shared" si="61"/>
        <v>400000</v>
      </c>
      <c r="P439" s="70">
        <f t="shared" si="60"/>
        <v>3308813</v>
      </c>
      <c r="Q439" s="118">
        <f>P439-'[1]Лист1'!$P$381</f>
        <v>201000</v>
      </c>
    </row>
    <row r="440" spans="1:16" s="99" customFormat="1" ht="28.5">
      <c r="A440" s="27" t="s">
        <v>405</v>
      </c>
      <c r="B440" s="28"/>
      <c r="C440" s="29"/>
      <c r="D440" s="78" t="s">
        <v>406</v>
      </c>
      <c r="E440" s="58">
        <f t="shared" si="59"/>
        <v>2908813</v>
      </c>
      <c r="F440" s="20">
        <f>F441+F442+F443</f>
        <v>2908813</v>
      </c>
      <c r="G440" s="20">
        <f>G441+G442+G443</f>
        <v>1769936</v>
      </c>
      <c r="H440" s="20">
        <f>H441+H442+H443</f>
        <v>105320</v>
      </c>
      <c r="I440" s="20">
        <f>I441+I442+I443</f>
        <v>0</v>
      </c>
      <c r="J440" s="58">
        <f t="shared" si="56"/>
        <v>400000</v>
      </c>
      <c r="K440" s="20">
        <f>K441+K442+K443</f>
        <v>0</v>
      </c>
      <c r="L440" s="20">
        <f>L441+L442+L443</f>
        <v>0</v>
      </c>
      <c r="M440" s="20">
        <f>M441+M442+M443</f>
        <v>0</v>
      </c>
      <c r="N440" s="20">
        <f>N441+N442+N443</f>
        <v>400000</v>
      </c>
      <c r="O440" s="20">
        <f>O441+O442+O443</f>
        <v>400000</v>
      </c>
      <c r="P440" s="20">
        <f t="shared" si="60"/>
        <v>3308813</v>
      </c>
    </row>
    <row r="441" spans="1:17" s="11" customFormat="1" ht="42.75">
      <c r="A441" s="3" t="s">
        <v>407</v>
      </c>
      <c r="B441" s="30" t="s">
        <v>35</v>
      </c>
      <c r="C441" s="30" t="s">
        <v>20</v>
      </c>
      <c r="D441" s="73" t="s">
        <v>538</v>
      </c>
      <c r="E441" s="58">
        <f t="shared" si="59"/>
        <v>2603813</v>
      </c>
      <c r="F441" s="21">
        <f>2422813+156000+10000+15000</f>
        <v>2603813</v>
      </c>
      <c r="G441" s="21">
        <f>1642036+127900</f>
        <v>1769936</v>
      </c>
      <c r="H441" s="21">
        <v>105320</v>
      </c>
      <c r="I441" s="21">
        <v>0</v>
      </c>
      <c r="J441" s="58">
        <f t="shared" si="56"/>
        <v>400000</v>
      </c>
      <c r="K441" s="21">
        <v>0</v>
      </c>
      <c r="L441" s="21">
        <v>0</v>
      </c>
      <c r="M441" s="21">
        <v>0</v>
      </c>
      <c r="N441" s="21">
        <f>400000</f>
        <v>400000</v>
      </c>
      <c r="O441" s="21">
        <f>400000</f>
        <v>400000</v>
      </c>
      <c r="P441" s="20">
        <f t="shared" si="60"/>
        <v>3003813</v>
      </c>
      <c r="Q441" s="108">
        <f>P441-'[1]Лист1'!$P$383</f>
        <v>181000</v>
      </c>
    </row>
    <row r="442" spans="1:16" s="11" customFormat="1" ht="15">
      <c r="A442" s="3" t="s">
        <v>408</v>
      </c>
      <c r="B442" s="5" t="s">
        <v>410</v>
      </c>
      <c r="C442" s="4" t="s">
        <v>409</v>
      </c>
      <c r="D442" s="73" t="s">
        <v>411</v>
      </c>
      <c r="E442" s="58">
        <f t="shared" si="59"/>
        <v>285000</v>
      </c>
      <c r="F442" s="21">
        <v>285000</v>
      </c>
      <c r="G442" s="21">
        <v>0</v>
      </c>
      <c r="H442" s="21">
        <v>0</v>
      </c>
      <c r="I442" s="21">
        <v>0</v>
      </c>
      <c r="J442" s="58">
        <f t="shared" si="56"/>
        <v>0</v>
      </c>
      <c r="K442" s="21">
        <v>0</v>
      </c>
      <c r="L442" s="21">
        <v>0</v>
      </c>
      <c r="M442" s="21">
        <v>0</v>
      </c>
      <c r="N442" s="21">
        <v>0</v>
      </c>
      <c r="O442" s="21">
        <v>0</v>
      </c>
      <c r="P442" s="20">
        <f t="shared" si="60"/>
        <v>285000</v>
      </c>
    </row>
    <row r="443" spans="1:16" s="114" customFormat="1" ht="15">
      <c r="A443" s="16" t="s">
        <v>549</v>
      </c>
      <c r="B443" s="64" t="s">
        <v>32</v>
      </c>
      <c r="C443" s="65" t="s">
        <v>31</v>
      </c>
      <c r="D443" s="74" t="s">
        <v>33</v>
      </c>
      <c r="E443" s="57">
        <f t="shared" si="59"/>
        <v>20000</v>
      </c>
      <c r="F443" s="19">
        <f>F445</f>
        <v>20000</v>
      </c>
      <c r="G443" s="19">
        <f>G445</f>
        <v>0</v>
      </c>
      <c r="H443" s="19">
        <f>H445</f>
        <v>0</v>
      </c>
      <c r="I443" s="19">
        <f>I445</f>
        <v>0</v>
      </c>
      <c r="J443" s="57">
        <f t="shared" si="56"/>
        <v>0</v>
      </c>
      <c r="K443" s="19">
        <f>K445</f>
        <v>0</v>
      </c>
      <c r="L443" s="19">
        <f>L445</f>
        <v>0</v>
      </c>
      <c r="M443" s="19">
        <f>M445</f>
        <v>0</v>
      </c>
      <c r="N443" s="19">
        <f>N445</f>
        <v>0</v>
      </c>
      <c r="O443" s="19">
        <f>O445</f>
        <v>0</v>
      </c>
      <c r="P443" s="19">
        <f t="shared" si="60"/>
        <v>20000</v>
      </c>
    </row>
    <row r="444" spans="1:16" s="47" customFormat="1" ht="15">
      <c r="A444" s="42"/>
      <c r="B444" s="43"/>
      <c r="C444" s="44"/>
      <c r="D444" s="94" t="s">
        <v>488</v>
      </c>
      <c r="E444" s="58"/>
      <c r="F444" s="46"/>
      <c r="G444" s="46"/>
      <c r="H444" s="46"/>
      <c r="I444" s="46"/>
      <c r="J444" s="58"/>
      <c r="K444" s="46"/>
      <c r="L444" s="46"/>
      <c r="M444" s="46"/>
      <c r="N444" s="46"/>
      <c r="O444" s="46"/>
      <c r="P444" s="20"/>
    </row>
    <row r="445" spans="1:16" s="47" customFormat="1" ht="36.75" customHeight="1">
      <c r="A445" s="127"/>
      <c r="B445" s="128"/>
      <c r="C445" s="124"/>
      <c r="D445" s="125" t="s">
        <v>551</v>
      </c>
      <c r="E445" s="61">
        <f>F445+I445</f>
        <v>20000</v>
      </c>
      <c r="F445" s="46">
        <v>20000</v>
      </c>
      <c r="G445" s="46">
        <v>0</v>
      </c>
      <c r="H445" s="46">
        <v>0</v>
      </c>
      <c r="I445" s="46">
        <v>0</v>
      </c>
      <c r="J445" s="61">
        <f>K445+N445</f>
        <v>0</v>
      </c>
      <c r="K445" s="46">
        <v>0</v>
      </c>
      <c r="L445" s="46">
        <v>0</v>
      </c>
      <c r="M445" s="46">
        <v>0</v>
      </c>
      <c r="N445" s="46">
        <v>0</v>
      </c>
      <c r="O445" s="46">
        <v>0</v>
      </c>
      <c r="P445" s="45">
        <f>E445+J445</f>
        <v>20000</v>
      </c>
    </row>
    <row r="446" spans="1:17" s="98" customFormat="1" ht="22.5" customHeight="1">
      <c r="A446" s="66" t="s">
        <v>412</v>
      </c>
      <c r="B446" s="67"/>
      <c r="C446" s="68"/>
      <c r="D446" s="72" t="s">
        <v>413</v>
      </c>
      <c r="E446" s="69">
        <f t="shared" si="59"/>
        <v>3886057</v>
      </c>
      <c r="F446" s="70">
        <f>F447</f>
        <v>3886057</v>
      </c>
      <c r="G446" s="70">
        <f aca="true" t="shared" si="62" ref="G446:I447">G447</f>
        <v>2445026</v>
      </c>
      <c r="H446" s="70">
        <f t="shared" si="62"/>
        <v>169244</v>
      </c>
      <c r="I446" s="70">
        <f t="shared" si="62"/>
        <v>0</v>
      </c>
      <c r="J446" s="69">
        <f t="shared" si="56"/>
        <v>1181020</v>
      </c>
      <c r="K446" s="70">
        <f>K447</f>
        <v>0</v>
      </c>
      <c r="L446" s="70">
        <f aca="true" t="shared" si="63" ref="L446:O447">L447</f>
        <v>0</v>
      </c>
      <c r="M446" s="70">
        <f t="shared" si="63"/>
        <v>0</v>
      </c>
      <c r="N446" s="70">
        <f t="shared" si="63"/>
        <v>1181020</v>
      </c>
      <c r="O446" s="70">
        <f t="shared" si="63"/>
        <v>1181020</v>
      </c>
      <c r="P446" s="70">
        <f>E446+J446</f>
        <v>5067077</v>
      </c>
      <c r="Q446" s="118">
        <f>P446-'[1]Лист1'!$P$385</f>
        <v>329100</v>
      </c>
    </row>
    <row r="447" spans="1:16" s="99" customFormat="1" ht="15">
      <c r="A447" s="27" t="s">
        <v>414</v>
      </c>
      <c r="B447" s="28"/>
      <c r="C447" s="29"/>
      <c r="D447" s="96" t="s">
        <v>477</v>
      </c>
      <c r="E447" s="58">
        <f t="shared" si="59"/>
        <v>3886057</v>
      </c>
      <c r="F447" s="20">
        <f>F448</f>
        <v>3886057</v>
      </c>
      <c r="G447" s="20">
        <f t="shared" si="62"/>
        <v>2445026</v>
      </c>
      <c r="H447" s="20">
        <f t="shared" si="62"/>
        <v>169244</v>
      </c>
      <c r="I447" s="20">
        <f t="shared" si="62"/>
        <v>0</v>
      </c>
      <c r="J447" s="58">
        <f t="shared" si="56"/>
        <v>1181020</v>
      </c>
      <c r="K447" s="20">
        <f>K448</f>
        <v>0</v>
      </c>
      <c r="L447" s="20">
        <f t="shared" si="63"/>
        <v>0</v>
      </c>
      <c r="M447" s="20">
        <f t="shared" si="63"/>
        <v>0</v>
      </c>
      <c r="N447" s="20">
        <f t="shared" si="63"/>
        <v>1181020</v>
      </c>
      <c r="O447" s="20">
        <f t="shared" si="63"/>
        <v>1181020</v>
      </c>
      <c r="P447" s="20">
        <f t="shared" si="60"/>
        <v>5067077</v>
      </c>
    </row>
    <row r="448" spans="1:17" s="11" customFormat="1" ht="42.75">
      <c r="A448" s="3" t="s">
        <v>415</v>
      </c>
      <c r="B448" s="30" t="s">
        <v>35</v>
      </c>
      <c r="C448" s="30" t="s">
        <v>20</v>
      </c>
      <c r="D448" s="73" t="s">
        <v>538</v>
      </c>
      <c r="E448" s="58">
        <f>F448+I448</f>
        <v>3886057</v>
      </c>
      <c r="F448" s="21">
        <f>3237977+210000+108980+329100</f>
        <v>3886057</v>
      </c>
      <c r="G448" s="21">
        <f>2175326+269700</f>
        <v>2445026</v>
      </c>
      <c r="H448" s="21">
        <v>169244</v>
      </c>
      <c r="I448" s="21">
        <v>0</v>
      </c>
      <c r="J448" s="58">
        <f>K448+N448</f>
        <v>1181020</v>
      </c>
      <c r="K448" s="21">
        <v>0</v>
      </c>
      <c r="L448" s="21">
        <v>0</v>
      </c>
      <c r="M448" s="21">
        <v>0</v>
      </c>
      <c r="N448" s="21">
        <f>1290000-108980</f>
        <v>1181020</v>
      </c>
      <c r="O448" s="21">
        <f>1290000-108980</f>
        <v>1181020</v>
      </c>
      <c r="P448" s="20">
        <f t="shared" si="60"/>
        <v>5067077</v>
      </c>
      <c r="Q448" s="108">
        <f>P448-'[1]Лист1'!$P$387</f>
        <v>329100</v>
      </c>
    </row>
    <row r="449" spans="1:18" s="98" customFormat="1" ht="51.75" customHeight="1">
      <c r="A449" s="66" t="s">
        <v>416</v>
      </c>
      <c r="B449" s="67"/>
      <c r="C449" s="68"/>
      <c r="D449" s="72" t="s">
        <v>527</v>
      </c>
      <c r="E449" s="69">
        <f>F449+I449</f>
        <v>20326023.5</v>
      </c>
      <c r="F449" s="70">
        <f>F450</f>
        <v>20326023.5</v>
      </c>
      <c r="G449" s="70">
        <f>G450</f>
        <v>0</v>
      </c>
      <c r="H449" s="70">
        <f>H450</f>
        <v>0</v>
      </c>
      <c r="I449" s="70">
        <f>I450</f>
        <v>0</v>
      </c>
      <c r="J449" s="69">
        <f>K449+N449</f>
        <v>92000</v>
      </c>
      <c r="K449" s="70">
        <f>K450</f>
        <v>0</v>
      </c>
      <c r="L449" s="70">
        <f>L450</f>
        <v>0</v>
      </c>
      <c r="M449" s="70">
        <f>M450</f>
        <v>0</v>
      </c>
      <c r="N449" s="70">
        <f>N450</f>
        <v>92000</v>
      </c>
      <c r="O449" s="70">
        <f>O450</f>
        <v>92000</v>
      </c>
      <c r="P449" s="70">
        <f t="shared" si="60"/>
        <v>20418023.5</v>
      </c>
      <c r="Q449" s="123">
        <f>P449-'[1]Лист1'!$P$388</f>
        <v>8592707.85</v>
      </c>
      <c r="R449" s="118">
        <f>P451+P453+P454</f>
        <v>19143818.5</v>
      </c>
    </row>
    <row r="450" spans="1:17" s="99" customFormat="1" ht="45" customHeight="1">
      <c r="A450" s="27" t="s">
        <v>417</v>
      </c>
      <c r="B450" s="28"/>
      <c r="C450" s="29"/>
      <c r="D450" s="78" t="s">
        <v>528</v>
      </c>
      <c r="E450" s="58">
        <f>F450+I450</f>
        <v>20326023.5</v>
      </c>
      <c r="F450" s="20">
        <f>F451+F453+F454+F458+F459</f>
        <v>20326023.5</v>
      </c>
      <c r="G450" s="20">
        <f>G451+G453+G454+G458+G459</f>
        <v>0</v>
      </c>
      <c r="H450" s="20">
        <f>H451+H453+H454+H458+H459</f>
        <v>0</v>
      </c>
      <c r="I450" s="20">
        <f>I451+I453+I454+I458+I459</f>
        <v>0</v>
      </c>
      <c r="J450" s="58">
        <f>K450+N450</f>
        <v>92000</v>
      </c>
      <c r="K450" s="20">
        <f>K451+K453+K454+K458+K459</f>
        <v>0</v>
      </c>
      <c r="L450" s="20">
        <f>L451+L453+L454+L458+L459</f>
        <v>0</v>
      </c>
      <c r="M450" s="20">
        <f>M451+M453+M454+M458+M459</f>
        <v>0</v>
      </c>
      <c r="N450" s="20">
        <f>N451+N453+N454+N458+N459</f>
        <v>92000</v>
      </c>
      <c r="O450" s="20">
        <f>O451+O453+O454+O458+O459</f>
        <v>92000</v>
      </c>
      <c r="P450" s="20">
        <f t="shared" si="60"/>
        <v>20418023.5</v>
      </c>
      <c r="Q450" s="122">
        <f>P451+P453+P454+P458+P459</f>
        <v>21343818.5</v>
      </c>
    </row>
    <row r="451" spans="1:17" s="11" customFormat="1" ht="241.5" customHeight="1">
      <c r="A451" s="3" t="s">
        <v>563</v>
      </c>
      <c r="B451" s="30" t="s">
        <v>564</v>
      </c>
      <c r="C451" s="30" t="s">
        <v>565</v>
      </c>
      <c r="D451" s="95" t="s">
        <v>566</v>
      </c>
      <c r="E451" s="58">
        <f>F451+I451</f>
        <v>16900000</v>
      </c>
      <c r="F451" s="21">
        <v>16900000</v>
      </c>
      <c r="G451" s="21"/>
      <c r="H451" s="21"/>
      <c r="I451" s="21"/>
      <c r="J451" s="58">
        <f>K451+N451</f>
        <v>0</v>
      </c>
      <c r="K451" s="21"/>
      <c r="L451" s="21"/>
      <c r="M451" s="21"/>
      <c r="N451" s="21"/>
      <c r="O451" s="21"/>
      <c r="P451" s="20">
        <f>E451+J451</f>
        <v>16900000</v>
      </c>
      <c r="Q451" s="108">
        <f>P451-'[1]Лист1'!$P$387</f>
        <v>12162023</v>
      </c>
    </row>
    <row r="452" spans="1:17" s="47" customFormat="1" ht="276" customHeight="1">
      <c r="A452" s="42"/>
      <c r="B452" s="126"/>
      <c r="C452" s="126"/>
      <c r="D452" s="113" t="s">
        <v>581</v>
      </c>
      <c r="E452" s="61">
        <f>F452+I452</f>
        <v>16900000</v>
      </c>
      <c r="F452" s="46">
        <v>16900000</v>
      </c>
      <c r="G452" s="46"/>
      <c r="H452" s="46"/>
      <c r="I452" s="46"/>
      <c r="J452" s="61">
        <f>K452+N452</f>
        <v>0</v>
      </c>
      <c r="K452" s="46"/>
      <c r="L452" s="46"/>
      <c r="M452" s="46"/>
      <c r="N452" s="46"/>
      <c r="O452" s="46"/>
      <c r="P452" s="45">
        <f>E452+J452</f>
        <v>16900000</v>
      </c>
      <c r="Q452" s="129">
        <f>P452-'[1]Лист1'!$P$387</f>
        <v>12162023</v>
      </c>
    </row>
    <row r="453" spans="1:17" s="11" customFormat="1" ht="21" customHeight="1">
      <c r="A453" s="3" t="s">
        <v>418</v>
      </c>
      <c r="B453" s="5" t="s">
        <v>419</v>
      </c>
      <c r="C453" s="4" t="s">
        <v>31</v>
      </c>
      <c r="D453" s="73" t="s">
        <v>420</v>
      </c>
      <c r="E453" s="58">
        <f>9000000-5674905-500000-599300-1200000-100000</f>
        <v>925795</v>
      </c>
      <c r="F453" s="21">
        <v>0</v>
      </c>
      <c r="G453" s="21">
        <v>0</v>
      </c>
      <c r="H453" s="21">
        <v>0</v>
      </c>
      <c r="I453" s="21">
        <v>0</v>
      </c>
      <c r="J453" s="58"/>
      <c r="K453" s="21">
        <v>0</v>
      </c>
      <c r="L453" s="21">
        <v>0</v>
      </c>
      <c r="M453" s="21">
        <v>0</v>
      </c>
      <c r="N453" s="21">
        <v>0</v>
      </c>
      <c r="O453" s="21">
        <v>0</v>
      </c>
      <c r="P453" s="20">
        <f t="shared" si="60"/>
        <v>925795</v>
      </c>
      <c r="Q453" s="108">
        <f>P453-'[1]Лист1'!$P$390</f>
        <v>-8074205</v>
      </c>
    </row>
    <row r="454" spans="1:17" s="41" customFormat="1" ht="15">
      <c r="A454" s="16" t="s">
        <v>421</v>
      </c>
      <c r="B454" s="64" t="s">
        <v>32</v>
      </c>
      <c r="C454" s="65" t="s">
        <v>31</v>
      </c>
      <c r="D454" s="74" t="s">
        <v>33</v>
      </c>
      <c r="E454" s="57">
        <f>F454+I454</f>
        <v>1318023.500000001</v>
      </c>
      <c r="F454" s="19">
        <f>17505961-6000000-47000+55000-46000-1334645.35-8000-143000-72000-60299-784332.87-1223433.77-328812.15-457211.46-10000-1000000-690036.24-7000-9000-196382-360000-141450-1131477.83-1863253.95-257050-72552.88</f>
        <v>1318023.500000001</v>
      </c>
      <c r="G454" s="19">
        <v>0</v>
      </c>
      <c r="H454" s="19">
        <v>0</v>
      </c>
      <c r="I454" s="19">
        <v>0</v>
      </c>
      <c r="J454" s="57">
        <f>K454+N454</f>
        <v>0</v>
      </c>
      <c r="K454" s="19">
        <v>0</v>
      </c>
      <c r="L454" s="19">
        <v>0</v>
      </c>
      <c r="M454" s="19">
        <v>0</v>
      </c>
      <c r="N454" s="19">
        <f>500000+50000-500000-50000</f>
        <v>0</v>
      </c>
      <c r="O454" s="19">
        <v>0</v>
      </c>
      <c r="P454" s="19">
        <f t="shared" si="60"/>
        <v>1318023.500000001</v>
      </c>
      <c r="Q454" s="120">
        <f>P454-'[1]Лист1'!$P$391</f>
        <v>-8807292.149999999</v>
      </c>
    </row>
    <row r="455" spans="1:16" s="47" customFormat="1" ht="15">
      <c r="A455" s="42"/>
      <c r="B455" s="43"/>
      <c r="C455" s="44"/>
      <c r="D455" s="94" t="s">
        <v>488</v>
      </c>
      <c r="E455" s="58"/>
      <c r="F455" s="46"/>
      <c r="G455" s="46"/>
      <c r="H455" s="46"/>
      <c r="I455" s="46"/>
      <c r="J455" s="58"/>
      <c r="K455" s="46"/>
      <c r="L455" s="46"/>
      <c r="M455" s="46"/>
      <c r="N455" s="46"/>
      <c r="O455" s="46"/>
      <c r="P455" s="20"/>
    </row>
    <row r="456" spans="1:17" s="47" customFormat="1" ht="48.75" customHeight="1">
      <c r="A456" s="42"/>
      <c r="B456" s="43"/>
      <c r="C456" s="44"/>
      <c r="D456" s="159" t="s">
        <v>580</v>
      </c>
      <c r="E456" s="61">
        <f>F456+I456</f>
        <v>163201</v>
      </c>
      <c r="F456" s="46">
        <f>900000-47000+55000-46000-8000-143000-71000-60299-1000-10000-7000-9000-141450-219050-27000-2000</f>
        <v>163201</v>
      </c>
      <c r="G456" s="46"/>
      <c r="H456" s="46"/>
      <c r="I456" s="46"/>
      <c r="J456" s="61">
        <f>K456+N456</f>
        <v>0</v>
      </c>
      <c r="K456" s="46"/>
      <c r="L456" s="46"/>
      <c r="M456" s="46"/>
      <c r="N456" s="46"/>
      <c r="O456" s="46"/>
      <c r="P456" s="45">
        <f t="shared" si="60"/>
        <v>163201</v>
      </c>
      <c r="Q456" s="129">
        <f>P456-'[1]Лист1'!$P$392</f>
        <v>-690799</v>
      </c>
    </row>
    <row r="457" spans="1:17" s="47" customFormat="1" ht="78.75" customHeight="1">
      <c r="A457" s="42"/>
      <c r="B457" s="43"/>
      <c r="C457" s="44"/>
      <c r="D457" s="113" t="s">
        <v>557</v>
      </c>
      <c r="E457" s="61">
        <f>F457+I457</f>
        <v>0</v>
      </c>
      <c r="F457" s="46"/>
      <c r="G457" s="46"/>
      <c r="H457" s="46"/>
      <c r="I457" s="46"/>
      <c r="J457" s="61">
        <f>K457+N457</f>
        <v>0</v>
      </c>
      <c r="K457" s="46"/>
      <c r="L457" s="46"/>
      <c r="M457" s="46"/>
      <c r="N457" s="46">
        <f>500000-500000</f>
        <v>0</v>
      </c>
      <c r="O457" s="46">
        <f>500000-500000</f>
        <v>0</v>
      </c>
      <c r="P457" s="45">
        <f t="shared" si="60"/>
        <v>0</v>
      </c>
      <c r="Q457" s="129"/>
    </row>
    <row r="458" spans="1:17" s="11" customFormat="1" ht="15">
      <c r="A458" s="3" t="s">
        <v>422</v>
      </c>
      <c r="B458" s="5" t="s">
        <v>344</v>
      </c>
      <c r="C458" s="4" t="s">
        <v>35</v>
      </c>
      <c r="D458" s="73" t="s">
        <v>345</v>
      </c>
      <c r="E458" s="58">
        <f>F458+I458</f>
        <v>0</v>
      </c>
      <c r="F458" s="21">
        <v>0</v>
      </c>
      <c r="G458" s="21">
        <v>0</v>
      </c>
      <c r="H458" s="21">
        <v>0</v>
      </c>
      <c r="I458" s="21">
        <v>0</v>
      </c>
      <c r="J458" s="58">
        <f>K458+N458</f>
        <v>0</v>
      </c>
      <c r="K458" s="21">
        <v>0</v>
      </c>
      <c r="L458" s="21">
        <v>0</v>
      </c>
      <c r="M458" s="21">
        <v>0</v>
      </c>
      <c r="N458" s="21">
        <v>0</v>
      </c>
      <c r="O458" s="21">
        <v>0</v>
      </c>
      <c r="P458" s="20">
        <f t="shared" si="60"/>
        <v>0</v>
      </c>
      <c r="Q458" s="108">
        <f>P458-'[1]Лист1'!$P$393</f>
        <v>0</v>
      </c>
    </row>
    <row r="459" spans="1:17" s="11" customFormat="1" ht="68.25" customHeight="1">
      <c r="A459" s="3" t="s">
        <v>523</v>
      </c>
      <c r="B459" s="30" t="s">
        <v>525</v>
      </c>
      <c r="C459" s="4" t="s">
        <v>35</v>
      </c>
      <c r="D459" s="95" t="s">
        <v>524</v>
      </c>
      <c r="E459" s="58">
        <f>F459+I459</f>
        <v>2108000</v>
      </c>
      <c r="F459" s="21">
        <f>1608000+500000</f>
        <v>2108000</v>
      </c>
      <c r="G459" s="21"/>
      <c r="H459" s="21"/>
      <c r="I459" s="21"/>
      <c r="J459" s="58">
        <f>K459+N459</f>
        <v>92000</v>
      </c>
      <c r="K459" s="21"/>
      <c r="L459" s="21"/>
      <c r="M459" s="21"/>
      <c r="N459" s="21">
        <v>92000</v>
      </c>
      <c r="O459" s="21">
        <v>92000</v>
      </c>
      <c r="P459" s="20">
        <f t="shared" si="60"/>
        <v>2200000</v>
      </c>
      <c r="Q459" s="108">
        <f>P459-'[1]Лист1'!$P$394</f>
        <v>500000</v>
      </c>
    </row>
    <row r="460" spans="1:17" s="11" customFormat="1" ht="28.5" customHeight="1">
      <c r="A460" s="54"/>
      <c r="B460" s="27" t="s">
        <v>423</v>
      </c>
      <c r="C460" s="29"/>
      <c r="D460" s="96" t="s">
        <v>7</v>
      </c>
      <c r="E460" s="58">
        <f>F460+I460+E453</f>
        <v>2056502339.1499999</v>
      </c>
      <c r="F460" s="58">
        <f>F15+F24+F47+F103+F151+F331+F351+F354+F360+F366+F375+F405+F415+F427+F434+F439+F446+F449+F453</f>
        <v>2011476544.1499999</v>
      </c>
      <c r="G460" s="58">
        <f>G15+G24+G47+G103+G151+G331+G351+G354+G360+G366+G375+G405+G415+G427+G434+G439+G446+G449+G453</f>
        <v>449011482</v>
      </c>
      <c r="H460" s="58">
        <f>H15+H24+H47+H103+H151+H331+H351+H354+H360+H366+H375+H405+H415+H427+H434+H439+H446+H449+H453</f>
        <v>95171443</v>
      </c>
      <c r="I460" s="58">
        <f>I15+I24+I47+I103+I151+I331+I351+I354+I360+I366+I375+I405+I415+I427+I434+I439+I446+I449+I453</f>
        <v>44100000</v>
      </c>
      <c r="J460" s="58">
        <f>K460+N460</f>
        <v>273567061.87</v>
      </c>
      <c r="K460" s="58">
        <f aca="true" t="shared" si="64" ref="K460:Q460">K15+K24+K47+K103+K151+K331+K351+K354+K360+K366+K375+K405+K415+K427+K434+K439+K446+K449+K453</f>
        <v>45191778</v>
      </c>
      <c r="L460" s="58">
        <f t="shared" si="64"/>
        <v>828000</v>
      </c>
      <c r="M460" s="58">
        <f t="shared" si="64"/>
        <v>546714</v>
      </c>
      <c r="N460" s="58">
        <f>N15+N24+N47+N103+N151+N331+N351+N354+N360+N366+N375+N405+N415+N427+N434+N439+N446+N449</f>
        <v>228375283.87</v>
      </c>
      <c r="O460" s="58">
        <f>O15+O24+O47+O103+O151+O331+O351+O354+O360+O366+O375+O405+O415+O427+O434+O439+O446+O449</f>
        <v>222198469.07</v>
      </c>
      <c r="P460" s="58">
        <f>P15+P24+P47+P103+P151+P331+P351+P354+P360+P366+P375+P405+P415+P427+P434+P439+P446+P449+P453</f>
        <v>2330069401.0200005</v>
      </c>
      <c r="Q460" s="58">
        <f t="shared" si="64"/>
        <v>193575181.21999988</v>
      </c>
    </row>
    <row r="461" ht="15">
      <c r="Q461" s="108">
        <f>P460-'[1]Лист1'!$P$395</f>
        <v>193575181.2200005</v>
      </c>
    </row>
    <row r="462" spans="1:17" s="1" customFormat="1" ht="45" customHeight="1">
      <c r="A462" s="160"/>
      <c r="B462" s="160"/>
      <c r="C462" s="160"/>
      <c r="D462" s="160"/>
      <c r="E462" s="63"/>
      <c r="I462" s="2"/>
      <c r="J462" s="63"/>
      <c r="Q462" s="108">
        <f>P460-2131862506.8</f>
        <v>198206894.2200005</v>
      </c>
    </row>
    <row r="463" spans="1:16" s="101" customFormat="1" ht="20.25">
      <c r="A463" s="172" t="s">
        <v>501</v>
      </c>
      <c r="B463" s="172"/>
      <c r="C463" s="172"/>
      <c r="D463" s="172"/>
      <c r="E463" s="102"/>
      <c r="I463" s="103"/>
      <c r="J463" s="102"/>
      <c r="N463" s="169" t="s">
        <v>502</v>
      </c>
      <c r="O463" s="169"/>
      <c r="P463" s="169"/>
    </row>
    <row r="464" spans="1:16" s="1" customFormat="1" ht="27.75">
      <c r="A464" s="160"/>
      <c r="B464" s="160"/>
      <c r="C464" s="160"/>
      <c r="D464" s="160"/>
      <c r="E464" s="63"/>
      <c r="J464" s="63"/>
      <c r="N464" s="163"/>
      <c r="O464" s="163"/>
      <c r="P464" s="163"/>
    </row>
    <row r="465" spans="1:16" ht="12.75">
      <c r="A465" s="8"/>
      <c r="D465" s="6">
        <v>1</v>
      </c>
      <c r="E465" s="112">
        <f>F465+I465</f>
        <v>89180330</v>
      </c>
      <c r="F465" s="111">
        <f>F17+F26+F34+F49+F105+F172+F229+F280+F333+F348+F344+F340+F353+F356+F362+F368+F377+F407+F414+F417+F429+F436+F441+F448+F42+F153</f>
        <v>89180330</v>
      </c>
      <c r="G465" s="111">
        <f>G17+G26+G34+G49+G105+G172+G229+G280+G333+G348+G344+G340+G353+G356+G362+G368+G377+G407+G414+G417+G429+G436+G441+G448+G42+G153</f>
        <v>59659090</v>
      </c>
      <c r="H465" s="111">
        <f>H17+H26+H34+H49+H105+H172+H229+H280+H333+H348+H344+H340+H353+H356+H362+H368+H377+H407+H414+H417+H429+H436+H441+H448+H42+H153</f>
        <v>6406643</v>
      </c>
      <c r="I465" s="111">
        <f aca="true" t="shared" si="65" ref="I465:O465">I17+I26+I34+I49+I105+I172+I229+I280+I333+I348+I344+I340+I353+I356+I362+I368+I377+I407+I414+I417+I429+I436+I441+I448+J402+I42+I153</f>
        <v>0</v>
      </c>
      <c r="J465" s="111">
        <f t="shared" si="65"/>
        <v>3314044</v>
      </c>
      <c r="K465" s="111">
        <f t="shared" si="65"/>
        <v>551714</v>
      </c>
      <c r="L465" s="111">
        <f t="shared" si="65"/>
        <v>0</v>
      </c>
      <c r="M465" s="111">
        <f t="shared" si="65"/>
        <v>401514</v>
      </c>
      <c r="N465" s="111">
        <f t="shared" si="65"/>
        <v>2762330</v>
      </c>
      <c r="O465" s="111">
        <f t="shared" si="65"/>
        <v>2762330</v>
      </c>
      <c r="P465" s="111">
        <f>E465+J465</f>
        <v>92494374</v>
      </c>
    </row>
    <row r="466" spans="1:16" ht="12.75">
      <c r="A466" s="8"/>
      <c r="D466" s="110" t="s">
        <v>536</v>
      </c>
      <c r="E466" s="112">
        <f>F466+I466</f>
        <v>556862771.76</v>
      </c>
      <c r="F466" s="111">
        <f>F50+F53+F61+F66+F68+F69+F70+F71+F230+F281+F173</f>
        <v>556862771.76</v>
      </c>
      <c r="G466" s="111">
        <f aca="true" t="shared" si="66" ref="G466:M466">G50+G53+G61+G66+G68+G69+G70+G71</f>
        <v>342106090</v>
      </c>
      <c r="H466" s="111">
        <f t="shared" si="66"/>
        <v>75484700</v>
      </c>
      <c r="I466" s="111">
        <f t="shared" si="66"/>
        <v>0</v>
      </c>
      <c r="J466" s="111">
        <f>K466+N466</f>
        <v>49809097</v>
      </c>
      <c r="K466" s="111">
        <f t="shared" si="66"/>
        <v>26633000</v>
      </c>
      <c r="L466" s="111">
        <f t="shared" si="66"/>
        <v>89200</v>
      </c>
      <c r="M466" s="111">
        <f t="shared" si="66"/>
        <v>110600</v>
      </c>
      <c r="N466" s="111">
        <f>N50+N53+N61+N66+N68+N334</f>
        <v>23176097</v>
      </c>
      <c r="O466" s="111">
        <f>O50+O53+O61+O66+O68+O69+O70+O71+N334</f>
        <v>23114097</v>
      </c>
      <c r="P466" s="111">
        <f aca="true" t="shared" si="67" ref="P466:P480">E466+J466</f>
        <v>606671868.76</v>
      </c>
    </row>
    <row r="467" spans="4:16" ht="12.75">
      <c r="D467" s="6">
        <v>20</v>
      </c>
      <c r="E467" s="112">
        <f>F467</f>
        <v>367480161.4</v>
      </c>
      <c r="F467" s="111">
        <f>F106+F110+F114+F116+F119+F124+F125</f>
        <v>367480161.4</v>
      </c>
      <c r="G467" s="111">
        <f aca="true" t="shared" si="68" ref="G467:O467">G106+G110+G114+G116+G119+G124+G125</f>
        <v>0</v>
      </c>
      <c r="H467" s="111">
        <f t="shared" si="68"/>
        <v>0</v>
      </c>
      <c r="I467" s="111">
        <f t="shared" si="68"/>
        <v>0</v>
      </c>
      <c r="J467" s="111">
        <f aca="true" t="shared" si="69" ref="J467:J481">K467+N467</f>
        <v>19033576</v>
      </c>
      <c r="K467" s="111">
        <f t="shared" si="68"/>
        <v>11083704</v>
      </c>
      <c r="L467" s="111">
        <f t="shared" si="68"/>
        <v>0</v>
      </c>
      <c r="M467" s="111">
        <f t="shared" si="68"/>
        <v>0</v>
      </c>
      <c r="N467" s="111">
        <f t="shared" si="68"/>
        <v>7949872</v>
      </c>
      <c r="O467" s="111">
        <f t="shared" si="68"/>
        <v>7384632</v>
      </c>
      <c r="P467" s="111">
        <f t="shared" si="67"/>
        <v>386513737.4</v>
      </c>
    </row>
    <row r="468" spans="4:16" ht="12.75">
      <c r="D468" s="6">
        <v>30</v>
      </c>
      <c r="E468" s="112">
        <f>F468+I468</f>
        <v>729356098.89</v>
      </c>
      <c r="F468" s="111">
        <f>F27+F36+F43+F72+F74+F75+F128+F133+F137+F138+F139+F142+F143+F151-F172-F173-F229-F230-F280-F281+F335+F338+F342+F346+F350+F378-F153</f>
        <v>729356098.89</v>
      </c>
      <c r="G468" s="111">
        <f>G27+G36+G43+G72+G74+G75+G128+G133+G137+G138+G139+G142+G143+G151-G172-G173-G229-G230-G280-G281+G335+G338+G342+G346+G350-G153</f>
        <v>16822102</v>
      </c>
      <c r="H468" s="111">
        <f>H27+H36+H43+H72+H74+H75+H128+H133+H137+H138+H139+H142+H143+H151-H172-H173-H229-H230-H280-H281+H335+H338+H342+H346+H350-H153</f>
        <v>1600900</v>
      </c>
      <c r="I468" s="111">
        <f>I27+I36+I43+I72+I74+I75+I128+I133+I137+I138+I139+I142+I143+I151-I172-I173-I229-I230-I280-I281+I335+I338+I342+I346+I350</f>
        <v>0</v>
      </c>
      <c r="J468" s="111">
        <f t="shared" si="69"/>
        <v>1409040</v>
      </c>
      <c r="K468" s="111">
        <f>K27+K36+K43+K72+K74+K75+K128+K133+K137+K138+K139+K142+K143+K151-K172-K173-K229-K230-K280-K281+K335+K338+K342+K346+K350</f>
        <v>639660</v>
      </c>
      <c r="L468" s="111">
        <f>L27+L36+L43+L72+L74+L75+L128+L133+L137+L138+L139+L142+L143+L151-L172-L173-L229-L230-L280-L281+L335+L338+L342+L346+L350</f>
        <v>137800</v>
      </c>
      <c r="M468" s="111">
        <f>M27+M36+M43+M72+M74+M75+M128+M133+M137+M138+M139+M142+M143+M151-M172-M173-M229-M230-M280-M281+M335+M338+M342+M346+M350</f>
        <v>0</v>
      </c>
      <c r="N468" s="111">
        <f>N27+N36+N43+N72+N74+N75+N128+N133+N137+N138+N139+N142+N143+N156+N168+N220-N172-N173-N229-N230-N280-N281+N335+N338+N342+N346+N350</f>
        <v>769380</v>
      </c>
      <c r="O468" s="111">
        <f>O27+O36+O43+O72+O74+O75+O128+O133+O137+O138+O139+O142+O143+O156+O168+O220-O172-O173-O229-O230-O280-O281+O335+O338+O342+O346+O350</f>
        <v>769380</v>
      </c>
      <c r="P468" s="111">
        <f t="shared" si="67"/>
        <v>730765138.89</v>
      </c>
    </row>
    <row r="469" spans="4:18" ht="12.75">
      <c r="D469" s="6">
        <v>40</v>
      </c>
      <c r="E469" s="112">
        <f>F469+I469</f>
        <v>50261527.78</v>
      </c>
      <c r="F469" s="111">
        <f>F76+F79+F80+F81+F82</f>
        <v>50261527.78</v>
      </c>
      <c r="G469" s="111">
        <f aca="true" t="shared" si="70" ref="G469:O469">G76+G79+G80+G81+G82</f>
        <v>19944900</v>
      </c>
      <c r="H469" s="111">
        <f t="shared" si="70"/>
        <v>2767600</v>
      </c>
      <c r="I469" s="111">
        <f t="shared" si="70"/>
        <v>0</v>
      </c>
      <c r="J469" s="111">
        <f t="shared" si="69"/>
        <v>4694992</v>
      </c>
      <c r="K469" s="111">
        <f t="shared" si="70"/>
        <v>1526800</v>
      </c>
      <c r="L469" s="111">
        <f t="shared" si="70"/>
        <v>601000</v>
      </c>
      <c r="M469" s="111">
        <f t="shared" si="70"/>
        <v>3900</v>
      </c>
      <c r="N469" s="111">
        <f t="shared" si="70"/>
        <v>3168192</v>
      </c>
      <c r="O469" s="111">
        <f t="shared" si="70"/>
        <v>2893892</v>
      </c>
      <c r="P469" s="111">
        <f t="shared" si="67"/>
        <v>54956519.78</v>
      </c>
      <c r="R469" s="111">
        <f>K449+K446+K439+K434+K427+K415+K405+K375+K366+K360+K354+K351+K331+K151+K103+K47+K24+K15</f>
        <v>45191778</v>
      </c>
    </row>
    <row r="470" spans="4:16" ht="12.75">
      <c r="D470" s="6">
        <v>50</v>
      </c>
      <c r="E470" s="112">
        <f>F470+I470</f>
        <v>26368930</v>
      </c>
      <c r="F470" s="111">
        <f>F84+F85+F87+F88+F90+F91+F93+F95+F97+F98</f>
        <v>26368930</v>
      </c>
      <c r="G470" s="111">
        <f aca="true" t="shared" si="71" ref="G470:O470">G84+G85+G87+G88+G90+G91+G93+G95+G97+G98</f>
        <v>10479300</v>
      </c>
      <c r="H470" s="111">
        <f t="shared" si="71"/>
        <v>1711600</v>
      </c>
      <c r="I470" s="111">
        <f t="shared" si="71"/>
        <v>0</v>
      </c>
      <c r="J470" s="111">
        <f t="shared" si="69"/>
        <v>114000</v>
      </c>
      <c r="K470" s="111">
        <f t="shared" si="71"/>
        <v>104000</v>
      </c>
      <c r="L470" s="111">
        <f t="shared" si="71"/>
        <v>0</v>
      </c>
      <c r="M470" s="111">
        <f t="shared" si="71"/>
        <v>30700</v>
      </c>
      <c r="N470" s="111">
        <f t="shared" si="71"/>
        <v>10000</v>
      </c>
      <c r="O470" s="111">
        <f t="shared" si="71"/>
        <v>10000</v>
      </c>
      <c r="P470" s="111">
        <f t="shared" si="67"/>
        <v>26482930</v>
      </c>
    </row>
    <row r="471" spans="4:18" ht="12.75">
      <c r="D471" s="6">
        <v>60</v>
      </c>
      <c r="E471" s="112">
        <f>F471</f>
        <v>130318946.82</v>
      </c>
      <c r="F471" s="111">
        <f>F387+F379+F44+F384+F381+F38+F29+F385+F37+F451</f>
        <v>130318946.82</v>
      </c>
      <c r="G471" s="111">
        <f>G387+G379+G44+G384+G381+G38+G29+G385</f>
        <v>0</v>
      </c>
      <c r="H471" s="111">
        <f>H387+H379+H44+H384+H381+H38+H29+H385</f>
        <v>7200000</v>
      </c>
      <c r="I471" s="111">
        <f>I387+I379+I44+I384+I381+I38+I29+I385</f>
        <v>0</v>
      </c>
      <c r="J471" s="111">
        <f t="shared" si="69"/>
        <v>31824037.2</v>
      </c>
      <c r="K471" s="111">
        <f>K387+K379+K44+K384+K381+K38+K29+K385</f>
        <v>0</v>
      </c>
      <c r="L471" s="111">
        <f>L387+L379+L44+L384+L381+L38+L29+L385</f>
        <v>0</v>
      </c>
      <c r="M471" s="111">
        <f>M387+M379+M44+M384+M381+M38+M29+M385</f>
        <v>0</v>
      </c>
      <c r="N471" s="111">
        <f>N387+N385+N383+N379+N380+N44+N38+N28+N37</f>
        <v>31824037.2</v>
      </c>
      <c r="O471" s="111">
        <f>O387+O385+O383+O379+O380+O44+O38+O28+O37</f>
        <v>31539037.2</v>
      </c>
      <c r="P471" s="111">
        <f t="shared" si="67"/>
        <v>162142984.01999998</v>
      </c>
      <c r="R471" s="111">
        <f>N450+N446+N439+N434+N427+N415+N405+N375+N366+N360+N354+N351+N331+N151+N103+N47+N24+N15</f>
        <v>228375283.87</v>
      </c>
    </row>
    <row r="472" spans="4:16" ht="17.25" customHeight="1">
      <c r="D472" s="6">
        <v>63</v>
      </c>
      <c r="E472" s="112">
        <f>F472</f>
        <v>0</v>
      </c>
      <c r="F472" s="112">
        <f>F437+F408+F392+F391+F389+F388+F227+F145+F99</f>
        <v>0</v>
      </c>
      <c r="G472" s="112">
        <f>G437+G408+G392+G391+G389+G388+G227+G145+G99</f>
        <v>0</v>
      </c>
      <c r="H472" s="112">
        <f>H437+H408+H392+H391+H389+H388+H227+H145+H99</f>
        <v>0</v>
      </c>
      <c r="I472" s="112">
        <f>I437+I408+I392+I391+I389+I388+I227+I145+I99</f>
        <v>0</v>
      </c>
      <c r="J472" s="111">
        <f t="shared" si="69"/>
        <v>17938624</v>
      </c>
      <c r="K472" s="112">
        <f>K437+K408+K392+K391+K389+K388+K227+K145+K99</f>
        <v>0</v>
      </c>
      <c r="L472" s="112">
        <f>L437+L408+L392+L391+L389+L388+L227+L145+L99</f>
        <v>0</v>
      </c>
      <c r="M472" s="112">
        <f>M437+M408+M392+M391+M389+M388+M227+M145+M99</f>
        <v>0</v>
      </c>
      <c r="N472" s="112">
        <f>N437+N408+N392+N391+N389+N388+N227+N145+N99+N390+N364+N30+N147+N278</f>
        <v>17938624</v>
      </c>
      <c r="O472" s="112">
        <f>O437+O408+O392+O391+O389+O388+O227+O145+O99+O390+O364+O30+O147+O278</f>
        <v>17938624</v>
      </c>
      <c r="P472" s="111">
        <f t="shared" si="67"/>
        <v>17938624</v>
      </c>
    </row>
    <row r="473" spans="4:16" ht="12.75">
      <c r="D473" s="6">
        <v>66</v>
      </c>
      <c r="E473" s="112">
        <f>F473+I473</f>
        <v>94130960</v>
      </c>
      <c r="F473" s="111">
        <f>F430+F393+F432+F431</f>
        <v>50130960</v>
      </c>
      <c r="G473" s="111">
        <f aca="true" t="shared" si="72" ref="G473:O473">G430+G393+G432+G431</f>
        <v>0</v>
      </c>
      <c r="H473" s="111">
        <f t="shared" si="72"/>
        <v>0</v>
      </c>
      <c r="I473" s="111">
        <f t="shared" si="72"/>
        <v>44000000</v>
      </c>
      <c r="J473" s="111">
        <f t="shared" si="69"/>
        <v>65000</v>
      </c>
      <c r="K473" s="111">
        <f>K430+K393+K432+K431</f>
        <v>15000</v>
      </c>
      <c r="L473" s="111">
        <f>L430+L393+L432+L431</f>
        <v>0</v>
      </c>
      <c r="M473" s="111">
        <f>M430+M393+M432+M431</f>
        <v>0</v>
      </c>
      <c r="N473" s="111">
        <f>N430+N393+N432+N431</f>
        <v>50000</v>
      </c>
      <c r="O473" s="111">
        <f t="shared" si="72"/>
        <v>50000</v>
      </c>
      <c r="P473" s="111">
        <f t="shared" si="67"/>
        <v>94195960</v>
      </c>
    </row>
    <row r="474" spans="4:16" ht="12.75">
      <c r="D474" s="6">
        <v>72</v>
      </c>
      <c r="E474" s="112">
        <f>F474</f>
        <v>969300</v>
      </c>
      <c r="F474" s="111">
        <f>F19+F20</f>
        <v>969300</v>
      </c>
      <c r="G474" s="111">
        <f aca="true" t="shared" si="73" ref="G474:O474">G19+G20</f>
        <v>0</v>
      </c>
      <c r="H474" s="111">
        <f t="shared" si="73"/>
        <v>0</v>
      </c>
      <c r="I474" s="111">
        <f t="shared" si="73"/>
        <v>0</v>
      </c>
      <c r="J474" s="111">
        <f t="shared" si="69"/>
        <v>45000</v>
      </c>
      <c r="K474" s="111">
        <f t="shared" si="73"/>
        <v>0</v>
      </c>
      <c r="L474" s="111">
        <f t="shared" si="73"/>
        <v>0</v>
      </c>
      <c r="M474" s="111">
        <f t="shared" si="73"/>
        <v>0</v>
      </c>
      <c r="N474" s="111">
        <f t="shared" si="73"/>
        <v>45000</v>
      </c>
      <c r="O474" s="111">
        <f t="shared" si="73"/>
        <v>45000</v>
      </c>
      <c r="P474" s="111">
        <f t="shared" si="67"/>
        <v>1014300</v>
      </c>
    </row>
    <row r="475" spans="4:16" ht="12.75">
      <c r="D475" s="6">
        <v>73</v>
      </c>
      <c r="E475" s="112">
        <f>F475+I475</f>
        <v>100000</v>
      </c>
      <c r="F475" s="111">
        <f>F369</f>
        <v>0</v>
      </c>
      <c r="G475" s="111">
        <f aca="true" t="shared" si="74" ref="G475:O475">G369</f>
        <v>0</v>
      </c>
      <c r="H475" s="111">
        <f t="shared" si="74"/>
        <v>0</v>
      </c>
      <c r="I475" s="111">
        <f t="shared" si="74"/>
        <v>100000</v>
      </c>
      <c r="J475" s="111">
        <f t="shared" si="69"/>
        <v>90000</v>
      </c>
      <c r="K475" s="111">
        <f t="shared" si="74"/>
        <v>0</v>
      </c>
      <c r="L475" s="111">
        <f t="shared" si="74"/>
        <v>0</v>
      </c>
      <c r="M475" s="111">
        <f t="shared" si="74"/>
        <v>0</v>
      </c>
      <c r="N475" s="111">
        <f t="shared" si="74"/>
        <v>90000</v>
      </c>
      <c r="O475" s="111">
        <f t="shared" si="74"/>
        <v>90000</v>
      </c>
      <c r="P475" s="111">
        <f t="shared" si="67"/>
        <v>190000</v>
      </c>
    </row>
    <row r="476" spans="4:16" ht="12.75">
      <c r="D476" s="6">
        <v>74</v>
      </c>
      <c r="E476" s="112">
        <f>F476</f>
        <v>295000</v>
      </c>
      <c r="F476" s="111">
        <f>F442+F433+F418+F409+F394+F363+F101</f>
        <v>295000</v>
      </c>
      <c r="G476" s="111">
        <f>G442+G433+G418+G409+G394+G363+G101</f>
        <v>0</v>
      </c>
      <c r="H476" s="111">
        <f>H442+H433+H418+H409+H394+H363+H101</f>
        <v>0</v>
      </c>
      <c r="I476" s="111">
        <f>I442+I433+I418+I409+I394+I363+I101</f>
        <v>0</v>
      </c>
      <c r="J476" s="111">
        <f t="shared" si="69"/>
        <v>91092876.87</v>
      </c>
      <c r="K476" s="111">
        <f>K442+K433+K418+K409+K394+K363+K101</f>
        <v>0</v>
      </c>
      <c r="L476" s="111">
        <f>L442+L433+L418+L409+L394+L363+L101</f>
        <v>0</v>
      </c>
      <c r="M476" s="111">
        <f>M442+M433+M418+M409+M394+M363+M101</f>
        <v>0</v>
      </c>
      <c r="N476" s="111">
        <f>N442+N433+N418+N409+N394+N363+N101+N365</f>
        <v>91092876.87</v>
      </c>
      <c r="O476" s="111">
        <f>O442+O433+O418+O409+O394+O363+O101+O365</f>
        <v>91092876.87</v>
      </c>
      <c r="P476" s="111">
        <f t="shared" si="67"/>
        <v>91387876.87</v>
      </c>
    </row>
    <row r="477" spans="4:16" ht="12.75">
      <c r="D477" s="6">
        <v>77</v>
      </c>
      <c r="E477" s="112">
        <f>F477+I477</f>
        <v>0</v>
      </c>
      <c r="F477" s="111">
        <f>F419</f>
        <v>0</v>
      </c>
      <c r="G477" s="111">
        <f>G419</f>
        <v>0</v>
      </c>
      <c r="H477" s="111">
        <f>H419</f>
        <v>0</v>
      </c>
      <c r="I477" s="111">
        <f>I419</f>
        <v>0</v>
      </c>
      <c r="J477" s="111">
        <f t="shared" si="69"/>
        <v>2231100</v>
      </c>
      <c r="K477" s="111">
        <f>K419</f>
        <v>0</v>
      </c>
      <c r="L477" s="111">
        <f>L419</f>
        <v>0</v>
      </c>
      <c r="M477" s="111">
        <f>M419</f>
        <v>0</v>
      </c>
      <c r="N477" s="111">
        <f>N419</f>
        <v>2231100</v>
      </c>
      <c r="O477" s="111">
        <f>O419</f>
        <v>2231100</v>
      </c>
      <c r="P477" s="111">
        <f>E477+J477</f>
        <v>2231100</v>
      </c>
    </row>
    <row r="478" spans="4:16" ht="12.75">
      <c r="D478" s="6">
        <v>78</v>
      </c>
      <c r="E478" s="112">
        <f>F478+I478</f>
        <v>164500</v>
      </c>
      <c r="F478" s="111">
        <f>F438</f>
        <v>164500</v>
      </c>
      <c r="G478" s="111">
        <f aca="true" t="shared" si="75" ref="G478:O478">G438</f>
        <v>0</v>
      </c>
      <c r="H478" s="111">
        <f t="shared" si="75"/>
        <v>0</v>
      </c>
      <c r="I478" s="111">
        <f t="shared" si="75"/>
        <v>0</v>
      </c>
      <c r="J478" s="111">
        <f t="shared" si="69"/>
        <v>35500</v>
      </c>
      <c r="K478" s="111">
        <f t="shared" si="75"/>
        <v>0</v>
      </c>
      <c r="L478" s="111">
        <f t="shared" si="75"/>
        <v>0</v>
      </c>
      <c r="M478" s="111">
        <f t="shared" si="75"/>
        <v>0</v>
      </c>
      <c r="N478" s="111">
        <f t="shared" si="75"/>
        <v>35500</v>
      </c>
      <c r="O478" s="111">
        <f t="shared" si="75"/>
        <v>35500</v>
      </c>
      <c r="P478" s="111">
        <f>E478+J478</f>
        <v>200000</v>
      </c>
    </row>
    <row r="479" spans="4:16" ht="12.75">
      <c r="D479" s="6">
        <v>80</v>
      </c>
      <c r="E479" s="112">
        <f>F479+E453</f>
        <v>11013812.5</v>
      </c>
      <c r="F479" s="111">
        <f>F450+F424+F410+F401+F396+F371+F357+F148+F127+F45+F39+F31+F21+F370+F445-F451</f>
        <v>10088017.5</v>
      </c>
      <c r="G479" s="111">
        <f aca="true" t="shared" si="76" ref="G479:O479">G450+G424+G410+G401+G396+G371+G357+G148+G127+G45+G39+G31+G21+G370+G445</f>
        <v>0</v>
      </c>
      <c r="H479" s="111">
        <f t="shared" si="76"/>
        <v>0</v>
      </c>
      <c r="I479" s="111">
        <f t="shared" si="76"/>
        <v>0</v>
      </c>
      <c r="J479" s="111">
        <f t="shared" si="69"/>
        <v>42242000</v>
      </c>
      <c r="K479" s="111">
        <f t="shared" si="76"/>
        <v>0</v>
      </c>
      <c r="L479" s="111">
        <f t="shared" si="76"/>
        <v>0</v>
      </c>
      <c r="M479" s="111">
        <f t="shared" si="76"/>
        <v>0</v>
      </c>
      <c r="N479" s="111">
        <f t="shared" si="76"/>
        <v>42242000</v>
      </c>
      <c r="O479" s="111">
        <f t="shared" si="76"/>
        <v>42242000</v>
      </c>
      <c r="P479" s="111">
        <f t="shared" si="67"/>
        <v>53255812.5</v>
      </c>
    </row>
    <row r="480" spans="4:16" ht="12.75">
      <c r="D480" s="6">
        <v>90</v>
      </c>
      <c r="E480" s="112">
        <f>F480</f>
        <v>0</v>
      </c>
      <c r="F480" s="111">
        <f>F423+F422+F421+F420</f>
        <v>0</v>
      </c>
      <c r="G480" s="111">
        <f>G423+G422+G421+G420</f>
        <v>0</v>
      </c>
      <c r="H480" s="111">
        <f>H423+H422+H421+H420</f>
        <v>0</v>
      </c>
      <c r="I480" s="111">
        <f>I423+I422+I421+I420</f>
        <v>0</v>
      </c>
      <c r="J480" s="111">
        <f t="shared" si="69"/>
        <v>9628174.8</v>
      </c>
      <c r="K480" s="111">
        <f>K102+K423+K422+K421+K420+K150+K404</f>
        <v>4637900</v>
      </c>
      <c r="L480" s="111">
        <f>L102+L423+L422+L421+L420+L150+L404</f>
        <v>0</v>
      </c>
      <c r="M480" s="111">
        <f>M102+M423+M422+M421+M420+M150+M404</f>
        <v>0</v>
      </c>
      <c r="N480" s="111">
        <f>N102+N423+N422+N421+N420+N150+N404</f>
        <v>4990274.8</v>
      </c>
      <c r="O480" s="111">
        <f>O102+O423+O422+O421+O420</f>
        <v>0</v>
      </c>
      <c r="P480" s="111">
        <f t="shared" si="67"/>
        <v>9628174.8</v>
      </c>
    </row>
    <row r="481" spans="5:16" ht="12.75">
      <c r="E481" s="112">
        <f>E465+E466+E467+E468+E469+E470+E471+E472+E473+E474+E475+E476+E477+E478+E479+E480</f>
        <v>2056502339.1499999</v>
      </c>
      <c r="F481" s="112">
        <f aca="true" t="shared" si="77" ref="F481:O481">F465+F466+F467+F468+F469+F470+F471+F472+F473+F474+F475+F476+F477+F478+F479+F480</f>
        <v>2011476544.1499999</v>
      </c>
      <c r="G481" s="112">
        <f t="shared" si="77"/>
        <v>449011482</v>
      </c>
      <c r="H481" s="112">
        <f t="shared" si="77"/>
        <v>95171443</v>
      </c>
      <c r="I481" s="112">
        <f t="shared" si="77"/>
        <v>44100000</v>
      </c>
      <c r="J481" s="111">
        <f t="shared" si="69"/>
        <v>273567061.87</v>
      </c>
      <c r="K481" s="112">
        <f t="shared" si="77"/>
        <v>45191778</v>
      </c>
      <c r="L481" s="112">
        <f t="shared" si="77"/>
        <v>828000</v>
      </c>
      <c r="M481" s="112">
        <f t="shared" si="77"/>
        <v>546714</v>
      </c>
      <c r="N481" s="112">
        <f t="shared" si="77"/>
        <v>228375283.87</v>
      </c>
      <c r="O481" s="112">
        <f t="shared" si="77"/>
        <v>222198469.07</v>
      </c>
      <c r="P481" s="112">
        <f>P465+P466+P467+P468+P469+P470+P471+P472+P473+P474+P475+P476+P477+P478+P479+P480</f>
        <v>2330069401.0199995</v>
      </c>
    </row>
    <row r="482" ht="12.75">
      <c r="E482" s="112"/>
    </row>
    <row r="484" spans="5:16" ht="12.75">
      <c r="E484" s="112">
        <f>E460-E481</f>
        <v>0</v>
      </c>
      <c r="F484" s="112">
        <f aca="true" t="shared" si="78" ref="F484:P484">F460-F481</f>
        <v>0</v>
      </c>
      <c r="G484" s="112">
        <f t="shared" si="78"/>
        <v>0</v>
      </c>
      <c r="H484" s="112">
        <f t="shared" si="78"/>
        <v>0</v>
      </c>
      <c r="I484" s="112">
        <f t="shared" si="78"/>
        <v>0</v>
      </c>
      <c r="J484" s="112">
        <f t="shared" si="78"/>
        <v>0</v>
      </c>
      <c r="K484" s="112">
        <f t="shared" si="78"/>
        <v>0</v>
      </c>
      <c r="L484" s="112">
        <f t="shared" si="78"/>
        <v>0</v>
      </c>
      <c r="M484" s="112">
        <f t="shared" si="78"/>
        <v>0</v>
      </c>
      <c r="N484" s="112">
        <f t="shared" si="78"/>
        <v>0</v>
      </c>
      <c r="O484" s="112">
        <f t="shared" si="78"/>
        <v>0</v>
      </c>
      <c r="P484" s="112">
        <f t="shared" si="78"/>
        <v>0</v>
      </c>
    </row>
    <row r="487" ht="12.75">
      <c r="P487" s="111">
        <f>P15+P24+P47+P103+P151+P331+P351+P354+P360+P366+P375+P405+P415+P427+P434+P439+P446+P449+P453</f>
        <v>2330069401.0200005</v>
      </c>
    </row>
    <row r="488" ht="12.75">
      <c r="J488" s="112">
        <f>K460+O460</f>
        <v>267390247.07</v>
      </c>
    </row>
    <row r="489" spans="10:11" ht="12.75">
      <c r="J489" s="112"/>
      <c r="K489" s="111"/>
    </row>
    <row r="491" spans="6:10" ht="12.75">
      <c r="F491" s="111">
        <f>F27+F36+F43+F73+F74+F75+F128+F139+F142+F143+F152-F153+F336+F337+F338+F342+F346+F350+F378-F173-F230-F281</f>
        <v>18988120.509999998</v>
      </c>
      <c r="J491" s="112"/>
    </row>
    <row r="493" ht="12.75">
      <c r="J493" s="112"/>
    </row>
    <row r="494" ht="12.75">
      <c r="J494" s="112"/>
    </row>
    <row r="495" ht="12.75">
      <c r="J495" s="112"/>
    </row>
    <row r="496" ht="12.75">
      <c r="F496" s="111"/>
    </row>
  </sheetData>
  <sheetProtection/>
  <mergeCells count="92">
    <mergeCell ref="K178:K179"/>
    <mergeCell ref="I178:I179"/>
    <mergeCell ref="H178:H179"/>
    <mergeCell ref="F178:F179"/>
    <mergeCell ref="J178:J179"/>
    <mergeCell ref="P154:P155"/>
    <mergeCell ref="M178:M179"/>
    <mergeCell ref="L178:L179"/>
    <mergeCell ref="P178:P179"/>
    <mergeCell ref="O178:O179"/>
    <mergeCell ref="N178:N179"/>
    <mergeCell ref="P235:P236"/>
    <mergeCell ref="L235:L236"/>
    <mergeCell ref="O235:O236"/>
    <mergeCell ref="N235:N236"/>
    <mergeCell ref="M235:M236"/>
    <mergeCell ref="O12:O13"/>
    <mergeCell ref="G235:G236"/>
    <mergeCell ref="G178:G179"/>
    <mergeCell ref="C235:C236"/>
    <mergeCell ref="F235:F236"/>
    <mergeCell ref="E178:E179"/>
    <mergeCell ref="E235:E236"/>
    <mergeCell ref="C178:C179"/>
    <mergeCell ref="O154:O155"/>
    <mergeCell ref="N154:N155"/>
    <mergeCell ref="J154:J155"/>
    <mergeCell ref="M154:M155"/>
    <mergeCell ref="K154:K155"/>
    <mergeCell ref="L154:L155"/>
    <mergeCell ref="J11:J13"/>
    <mergeCell ref="G154:G155"/>
    <mergeCell ref="A10:A13"/>
    <mergeCell ref="B10:B13"/>
    <mergeCell ref="H12:H13"/>
    <mergeCell ref="G12:G13"/>
    <mergeCell ref="G11:H11"/>
    <mergeCell ref="E10:I10"/>
    <mergeCell ref="I11:I13"/>
    <mergeCell ref="I154:I155"/>
    <mergeCell ref="L5:P5"/>
    <mergeCell ref="A7:P7"/>
    <mergeCell ref="H154:H155"/>
    <mergeCell ref="F11:F13"/>
    <mergeCell ref="J10:O10"/>
    <mergeCell ref="N11:N13"/>
    <mergeCell ref="K11:K13"/>
    <mergeCell ref="M12:M13"/>
    <mergeCell ref="L11:M11"/>
    <mergeCell ref="L12:L13"/>
    <mergeCell ref="L1:P1"/>
    <mergeCell ref="L2:P2"/>
    <mergeCell ref="L3:P3"/>
    <mergeCell ref="L4:P4"/>
    <mergeCell ref="K235:K236"/>
    <mergeCell ref="H235:H236"/>
    <mergeCell ref="I235:I236"/>
    <mergeCell ref="J235:J236"/>
    <mergeCell ref="A8:P8"/>
    <mergeCell ref="A154:A155"/>
    <mergeCell ref="B154:B155"/>
    <mergeCell ref="C154:C155"/>
    <mergeCell ref="P10:P13"/>
    <mergeCell ref="E154:E155"/>
    <mergeCell ref="C10:C13"/>
    <mergeCell ref="D10:D13"/>
    <mergeCell ref="E11:E13"/>
    <mergeCell ref="F154:F155"/>
    <mergeCell ref="A178:A179"/>
    <mergeCell ref="A235:A236"/>
    <mergeCell ref="B178:B179"/>
    <mergeCell ref="B235:B236"/>
    <mergeCell ref="N463:P463"/>
    <mergeCell ref="H286:H287"/>
    <mergeCell ref="C286:C287"/>
    <mergeCell ref="E286:E287"/>
    <mergeCell ref="F286:F287"/>
    <mergeCell ref="M286:M287"/>
    <mergeCell ref="K286:K287"/>
    <mergeCell ref="O286:O287"/>
    <mergeCell ref="A463:D463"/>
    <mergeCell ref="A462:D462"/>
    <mergeCell ref="A464:D464"/>
    <mergeCell ref="I286:I287"/>
    <mergeCell ref="J286:J287"/>
    <mergeCell ref="N286:N287"/>
    <mergeCell ref="N464:P464"/>
    <mergeCell ref="P286:P287"/>
    <mergeCell ref="L286:L287"/>
    <mergeCell ref="A286:A287"/>
    <mergeCell ref="B286:B287"/>
    <mergeCell ref="G286:G287"/>
  </mergeCells>
  <printOptions/>
  <pageMargins left="0.7874015748031497" right="0.3937007874015748" top="1.141732283464567" bottom="0.3937007874015748" header="0.7086614173228347" footer="0.31496062992125984"/>
  <pageSetup fitToHeight="17" horizontalDpi="600" verticalDpi="600" orientation="landscape" paperSize="9" scale="45" r:id="rId1"/>
  <headerFooter alignWithMargins="0">
    <oddHeader>&amp;C&amp;P</oddHeader>
  </headerFooter>
  <rowBreaks count="5" manualBreakCount="5">
    <brk id="331" max="15" man="1"/>
    <brk id="359" max="15" man="1"/>
    <brk id="388" max="15" man="1"/>
    <brk id="416" max="15" man="1"/>
    <brk id="4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2017-09-07T04:50:01Z</cp:lastPrinted>
  <dcterms:created xsi:type="dcterms:W3CDTF">2017-01-11T06:29:21Z</dcterms:created>
  <dcterms:modified xsi:type="dcterms:W3CDTF">2017-10-02T11:44:42Z</dcterms:modified>
  <cp:category/>
  <cp:version/>
  <cp:contentType/>
  <cp:contentStatus/>
</cp:coreProperties>
</file>