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5" yWindow="135" windowWidth="11430" windowHeight="10365" activeTab="0"/>
  </bookViews>
  <sheets>
    <sheet name="Лист1" sheetId="1" r:id="rId1"/>
  </sheets>
  <externalReferences>
    <externalReference r:id="rId4"/>
  </externalReferences>
  <definedNames>
    <definedName name="_xlnm.Print_Area" localSheetId="0">'Лист1'!$A$1:$I$223</definedName>
  </definedNames>
  <calcPr fullCalcOnLoad="1"/>
</workbook>
</file>

<file path=xl/sharedStrings.xml><?xml version="1.0" encoding="utf-8"?>
<sst xmlns="http://schemas.openxmlformats.org/spreadsheetml/2006/main" count="663" uniqueCount="294">
  <si>
    <t>до рішення міської ради</t>
  </si>
  <si>
    <t>грн.</t>
  </si>
  <si>
    <r>
      <t>Код програмної класифікації видатків та кредитування місцевого бюджету</t>
    </r>
    <r>
      <rPr>
        <b/>
        <vertAlign val="superscript"/>
        <sz val="11"/>
        <rFont val="Times New Roman"/>
        <family val="1"/>
      </rPr>
      <t>1</t>
    </r>
  </si>
  <si>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</si>
  <si>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</si>
  <si>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r>
      <t>Найменування згідно з типовою відомчою/типовою програмною</t>
    </r>
    <r>
      <rPr>
        <b/>
        <vertAlign val="superscript"/>
        <sz val="11"/>
        <rFont val="Times New Roman"/>
        <family val="1"/>
      </rPr>
      <t>2</t>
    </r>
    <r>
      <rPr>
        <b/>
        <sz val="11"/>
        <rFont val="Times New Roman"/>
        <family val="1"/>
      </rPr>
      <t>/тимчасовою класифікацією видатків та кредитування місцевого бюджету</t>
    </r>
  </si>
  <si>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</si>
  <si>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</si>
  <si>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</si>
  <si>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</si>
  <si>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</si>
  <si>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010116</t>
  </si>
  <si>
    <t>0111</t>
  </si>
  <si>
    <t>Органи місцевого самоврядування</t>
  </si>
  <si>
    <t>Капітальні видатки</t>
  </si>
  <si>
    <t>10</t>
  </si>
  <si>
    <t>0921</t>
  </si>
  <si>
    <t>Проведення невідкладних відновлювальних робіт, будівництво та реконструкція  загальноосвітніх навчальних закладів</t>
  </si>
  <si>
    <t>0960</t>
  </si>
  <si>
    <t>Проведення невідкладних відновлювальних робіт, будівництво та реконструкція  позашкільних навчальних закладів</t>
  </si>
  <si>
    <t>14</t>
  </si>
  <si>
    <t>0490</t>
  </si>
  <si>
    <t>Капітальні вкладення</t>
  </si>
  <si>
    <t xml:space="preserve">Реконструкція (заміна ліфта) КЗОЗ ДМР «Центр ПСМД №3» за адресою: вул.Комунарна, 24, амбулаторії загальної практики сімейної медицини №5 (виготовлення проектно-кошторисної документації) </t>
  </si>
  <si>
    <t>090203</t>
  </si>
  <si>
    <t>1030</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</si>
  <si>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</si>
  <si>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</si>
  <si>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47</t>
  </si>
  <si>
    <t>0620</t>
  </si>
  <si>
    <t>100203</t>
  </si>
  <si>
    <t>Благоустрій міст, сіл, селищ</t>
  </si>
  <si>
    <t xml:space="preserve">Реконструкція житлового будинку №13, розташованого в селищі Світле,м. Дніпродзержинськ (система газопостачання, опалення та гарячого водопостачання) </t>
  </si>
  <si>
    <t>Будівництво скейтпарку у м.Дніпродзержинськ  на території КЗ «ДЮСШ №1», за адресою: вул.Інтернаціоналістів, 7 (у т.ч. виготовлення проектно-кошторисної документації)</t>
  </si>
  <si>
    <t>170703</t>
  </si>
  <si>
    <t>0456</t>
  </si>
  <si>
    <t>Видатки на проведення робіт, пов`язаних із будівництвом, реконструкцією, ремонтом та утриманням автомобільних доріг</t>
  </si>
  <si>
    <t>для реконструкції (будівництва) проектно-вишукувальні роботи та розробка детального плану території лівобережного кладовища (с.Курилівка) КП ДМР «Дніпродзержинський спецкомбінат»</t>
  </si>
  <si>
    <t xml:space="preserve">Поповнення статутного фонду комунального підприємства Дніпродзержинської міської ради «Комунальник» </t>
  </si>
  <si>
    <t>48</t>
  </si>
  <si>
    <t>150202</t>
  </si>
  <si>
    <t>0443</t>
  </si>
  <si>
    <t>Розробка схем та проектних рішень масового застосування</t>
  </si>
  <si>
    <t>розроблення містобудівної документації на місцевому та регіональному рівнях</t>
  </si>
  <si>
    <t xml:space="preserve">Всього </t>
  </si>
  <si>
    <t>Секретар міської ради</t>
  </si>
  <si>
    <t>Додаток 5</t>
  </si>
  <si>
    <t>Перелік об’єктів, видатки на які у 2016  році будуть проводитися за рахунок коштів бюджету розвитку</t>
  </si>
  <si>
    <t xml:space="preserve">Реконструкція гуртожитку за адресою просп.Конституції,32 під соціальне житло (коригування робочого проекту) </t>
  </si>
  <si>
    <t>Інженерне забезпечення спостережень та постійного контролю
 за становищем зсувонебезпечних територій, будинків, споруд та 
режимом підземних вод у районі Шамишиної балки (моніторинг 2016)</t>
  </si>
  <si>
    <t>Реконструкція житлового будинку №9, розташованого в селищі Світле, м. Дніпродзержинськ (система газопостачання, опалення та гарячого водопостачання) (в т.ч. коригування кошторисної документації)</t>
  </si>
  <si>
    <t>Реконструкція житлового будинку №10, розташованого в селищі Світле, м. Дніпродзержинськ (система газопостачання, опалення та гарячого водопостачання) (в т.ч. коригування кошторисної документації)</t>
  </si>
  <si>
    <t>Реконструкція житлового будинку №11, розташованого в селищі Світле, м. Дніпродзержинськ (система газопостачання, опалення та гарячого водопостачання) (в т.ч. коригування кошторисної документації)</t>
  </si>
  <si>
    <t>О.Ю.Залевський</t>
  </si>
  <si>
    <t>(у редакції  рішення міської ради</t>
  </si>
  <si>
    <t>130115</t>
  </si>
  <si>
    <t>Центри `Спорт для всіх` та заходи з фізичної культури</t>
  </si>
  <si>
    <t>180409</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</si>
  <si>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</si>
  <si>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Проведення капітальних ремонтів парку рухомого складу КП « Трамвай»</t>
  </si>
  <si>
    <t>01</t>
  </si>
  <si>
    <t>120100</t>
  </si>
  <si>
    <t>0830</t>
  </si>
  <si>
    <t xml:space="preserve">Телебачення і радіомовлення </t>
  </si>
  <si>
    <t>0301</t>
  </si>
  <si>
    <t>0302</t>
  </si>
  <si>
    <t>0303</t>
  </si>
  <si>
    <t>070101</t>
  </si>
  <si>
    <t>0910</t>
  </si>
  <si>
    <t>Дошкільні заклади освіти</t>
  </si>
  <si>
    <t>070201</t>
  </si>
  <si>
    <t>Загальноосвiтнi школи (в т.ч. школа-дитячий садок, iнтернат при школi), спецiалiзованi школи, лiцеї, гiмназiї, колегiуми</t>
  </si>
  <si>
    <t>070301</t>
  </si>
  <si>
    <t>Загальноосвiтнi  школи-iнтернати, загальноосвітні санаторні школи-інтернати</t>
  </si>
  <si>
    <t>250380</t>
  </si>
  <si>
    <t>0180</t>
  </si>
  <si>
    <t>Інші субвенції</t>
  </si>
  <si>
    <t>130110</t>
  </si>
  <si>
    <t>0810</t>
  </si>
  <si>
    <t>Фінансова підтримка спортивних споруд</t>
  </si>
  <si>
    <t>080800</t>
  </si>
  <si>
    <t>0726</t>
  </si>
  <si>
    <t>Центри первинної медичної (медико-санітарної) допомоги</t>
  </si>
  <si>
    <t>080101</t>
  </si>
  <si>
    <t>0731</t>
  </si>
  <si>
    <t>Лікарні</t>
  </si>
  <si>
    <t>Реконструкція будівлі АЗПСМ №1, 2 КЗОЗ ДМР «ЦПМСД №3» за адресою: просп. Леніна, 20 А в м.Дніпродзержинську (утеплення фасаду, заміна вікон та дверей, системи опалення, водопостачання та розташування модульної котельні) у т.ч. корегування проектно-кошторисної документації</t>
  </si>
  <si>
    <t>20</t>
  </si>
  <si>
    <t>24</t>
  </si>
  <si>
    <t>110201</t>
  </si>
  <si>
    <t>0824</t>
  </si>
  <si>
    <t>Бібліотеки</t>
  </si>
  <si>
    <t>150112</t>
  </si>
  <si>
    <t>32</t>
  </si>
  <si>
    <t>45</t>
  </si>
  <si>
    <t>150118</t>
  </si>
  <si>
    <t>1062</t>
  </si>
  <si>
    <t>Житлове будівництво та придбання житла для окремих категорій населення</t>
  </si>
  <si>
    <t>придбання житла окремим категоріям громадян</t>
  </si>
  <si>
    <t>160101</t>
  </si>
  <si>
    <t>0421</t>
  </si>
  <si>
    <t>Землеустрій</t>
  </si>
  <si>
    <t xml:space="preserve">для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</si>
  <si>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250500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</si>
  <si>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</si>
  <si>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Дослідження і розробки, окремі заходи розвитку по реалізації державних (регіональних) програм</t>
  </si>
  <si>
    <t>100101</t>
  </si>
  <si>
    <t>0610</t>
  </si>
  <si>
    <t>Житлово-експлуатаційне господарство</t>
  </si>
  <si>
    <t xml:space="preserve">Капітальний ремонт житлового фонду місцевих органів влади </t>
  </si>
  <si>
    <t>100201</t>
  </si>
  <si>
    <t>Теплові мережі</t>
  </si>
  <si>
    <t>Будівництво притулку для утримання безпритульних тварин по вул.Петровського, 255 в м.Дніпродзержинську (в т.ч. ПКД)</t>
  </si>
  <si>
    <t>150110</t>
  </si>
  <si>
    <t>Проведення невідкладних відновлювальних робіт, будівництво та реконструкція загальноосвітніх навчальних закладів</t>
  </si>
  <si>
    <t>для погашення податкового боргу по податку на прибуток та авансових внесках з податку на прибуток (з урахуванням штрафів та пені)  КП ДМР «Дніпродзержинськтепломережа»</t>
  </si>
  <si>
    <t xml:space="preserve">для погашення заборгованості по заробітній платі працівникам КП ДМР «Дніпродзержинськтепломережа» </t>
  </si>
  <si>
    <t>для підключення електропостачання до холодильника для утримання трупів загиблих тварин КП ДМР «Зеленбуд»</t>
  </si>
  <si>
    <t xml:space="preserve">капітальний ремонт покрівель </t>
  </si>
  <si>
    <t xml:space="preserve">капітальний ремонт ліфтів </t>
  </si>
  <si>
    <t xml:space="preserve">на капітальний ремонт доріг </t>
  </si>
  <si>
    <t xml:space="preserve">Ппроведення термомодернізації, реконструкції системи опалення будівлі КЗ «Спеціалізована школа з поглибленим вивченням іноземних мов 1 ступеня – колегіум №16 м.Дніпродзержинська», в т.ч. ПКД </t>
  </si>
  <si>
    <r>
      <t>Апарат місцевої ради (</t>
    </r>
    <r>
      <rPr>
        <b/>
        <i/>
        <sz val="14"/>
        <rFont val="Times New Roman"/>
        <family val="1"/>
      </rPr>
      <t>Міська рада</t>
    </r>
    <r>
      <rPr>
        <b/>
        <sz val="14"/>
        <rFont val="Times New Roman"/>
        <family val="1"/>
      </rPr>
      <t xml:space="preserve">) </t>
    </r>
  </si>
  <si>
    <t>в т.ч.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</si>
  <si>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</si>
  <si>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Реконструкція світлофорного об’єкта на перетині просп.Металургів з бул.Будівельників та просп. М. Жукова у м. Дніпродзержинськ (у т.ч. ПКД)</t>
  </si>
  <si>
    <t>Будівництво веломаршруту вздовж просп.50 років СРСР в лівобережній частині м.Дніпродзержинськ (в т.ч. ПКД)</t>
  </si>
  <si>
    <t>Реконструкція системи водопостачання селища Романкове та 55-го блочка м.Дніпродзержинська» (ІІ та ІІІ черги) (в тому числі проведення державної будівельної експертизи)</t>
  </si>
  <si>
    <t>Проведення невідкладних відновлювальних робіт, будівництво та реконструкція позашкільних навчальних закладів</t>
  </si>
  <si>
    <t>на погашення заборгованості за спожиту електроенергію КВП ДМР «Міськводоканал»</t>
  </si>
  <si>
    <t>на погашення заборгованості за покупну воду КВП ДМР «Міськводоканал»</t>
  </si>
  <si>
    <t>070401</t>
  </si>
  <si>
    <t>Позашкільні заклади освіти, заходи із позашкільної роботи з дітьми</t>
  </si>
  <si>
    <t>070501</t>
  </si>
  <si>
    <t>Професійно-технічні заклади освіти</t>
  </si>
  <si>
    <t>130107</t>
  </si>
  <si>
    <t>Утримання та навчально-тренувальна робота дитячо-юнацьких спортивних шкіл</t>
  </si>
  <si>
    <t>091204</t>
  </si>
  <si>
    <t>Територіальні центри соціального обслуговування (надання соціальних послуг)</t>
  </si>
  <si>
    <t>090700</t>
  </si>
  <si>
    <t>1040</t>
  </si>
  <si>
    <t>Утримання закладів, що надають соціальні послуги дітям, які опинились в складних життєвих обставинах</t>
  </si>
  <si>
    <t>капітальний ремонт атракціонів КП «Дніпродзержинський парк культури та відпочинку»</t>
  </si>
  <si>
    <t>на розрахунки за енергоносії та енергоресурси на функціонування басейну (залізобетонної споруди) КП «Кіноконцертний зал «МИР»</t>
  </si>
  <si>
    <t>Реконструкція вхідного вузлу житлового будинку за адресою: вул. Харківська, 23, кв.60, м.Дніпродзержинськ (у т.ч. ПВР)</t>
  </si>
  <si>
    <t>на розрахунки за енергоносії, покупне тепло, транспортування газу, розподіл природного газу КП ДМР «Дніпродзержинськтепломережа»</t>
  </si>
  <si>
    <t>на заробітну плату та нарахування КП «Комунальник»</t>
  </si>
  <si>
    <t xml:space="preserve">для погашення заборгованості із заробітної плати працівникам та нарахуванням на неї, що склалась станом на 01.03.2016, КП «Дорожник» </t>
  </si>
  <si>
    <t>Субвенція іншим бюджетам на виконання інвестиційних проектів</t>
  </si>
  <si>
    <t>Реконструкція майстерень СЗШ №37 під приміщення дошкільного відділення за адресою: вул. Щербицького 34/22 в м. Дніпродзержинську. Коригування</t>
  </si>
  <si>
    <t xml:space="preserve">на заходи з впровадження інформаційної системи транспорту </t>
  </si>
  <si>
    <t>заходи з оновлення автобусного парку КП «Трамвай» шляхом придбання автобусів та автобусів, які були у використанні</t>
  </si>
  <si>
    <t>Реконструкція басейну комунального дошкільного навчального закладу (ясла-садок) №7 «Пролісок» Дніпродзержинської міської ради зі встановленням сонячного колектору для підігріву води на побутові потреби, у т.ч. проектно-кошторисна документація</t>
  </si>
  <si>
    <t>250404</t>
  </si>
  <si>
    <t>Інші видатки</t>
  </si>
  <si>
    <t>в т.ч. за рахунок субвенції з обласного бюджету місцевим бюджетам на виконання доручень виборців депутатами обласної ради у 2016 році</t>
  </si>
  <si>
    <t>можно распределять</t>
  </si>
  <si>
    <t>маємо</t>
  </si>
  <si>
    <t>розподілено</t>
  </si>
  <si>
    <t xml:space="preserve">на капітальний ремонт мереж освітлення </t>
  </si>
  <si>
    <t xml:space="preserve">Реконструкція з розширенням будівлі амбулаторії загальної практики сімейної медицини №9 КЗОЗ ДМР центр первинної медико-санітарної допомоги №3, за адресою вул.Дальня, 3 у м.Дніпродзержинську  (у т.ч. виготовлення проектно-кошторисної документації) </t>
  </si>
  <si>
    <t>Санування та закриття ями Беккарі по вул. Лохвицького у м. Дніпродзержинськ (експертиза)</t>
  </si>
  <si>
    <t>Реконструкція будівлі басейну СЗШ №44 за адресою: вул. Інтернаціоналістів, 7– А в м. Дніпродзержинську. Коригування (в т.ч.ПКД)</t>
  </si>
  <si>
    <t>Реконструкція частини будівлі по просп.Леніна, 36 у м. Дніпродзержинськ під Заводський районний територіальний центр соціального обслуговування пенсіонерів</t>
  </si>
  <si>
    <t>Адміністрація Південного району Дніпродзержинської міської ради</t>
  </si>
  <si>
    <t>Адміністрація Дніпровського району Дніпродзержинської міської ради</t>
  </si>
  <si>
    <t>Адміністрація Заводського району Дніпродзержинської міської ради</t>
  </si>
  <si>
    <r>
      <t xml:space="preserve">Орган з питань праці та соціального захисту населення </t>
    </r>
    <r>
      <rPr>
        <b/>
        <i/>
        <sz val="14"/>
        <rFont val="Times New Roman"/>
        <family val="1"/>
      </rPr>
      <t xml:space="preserve"> (Департамент охорони здоров'я та соціальної політики міської ради)</t>
    </r>
  </si>
  <si>
    <r>
      <t>Орган з питань праці та соціального захисту населення (</t>
    </r>
    <r>
      <rPr>
        <b/>
        <i/>
        <sz val="14"/>
        <rFont val="Times New Roman"/>
        <family val="1"/>
      </rPr>
      <t>Управління соціального захисту населення адміністрації Південного району</t>
    </r>
    <r>
      <rPr>
        <b/>
        <sz val="14"/>
        <rFont val="Times New Roman"/>
        <family val="1"/>
      </rPr>
      <t>)</t>
    </r>
  </si>
  <si>
    <t>Реконструкція вхідного вузлу житлового будинку за адресою просп. Металургів, 12 кв.11 м. Дніпродзержинськ (у т.ч. ПВР)</t>
  </si>
  <si>
    <t>на заміну вікон та вітражів будівлі КП «Кіноконцертний зал «МИР»</t>
  </si>
  <si>
    <t>на погашення заборгованості з урахуванням штрафів та пені зі сплати єдиного соціального внеску (ЄСВ) та поточних нарахувань внеску на заробітну плату КВП ДМР «Міськводоканал»</t>
  </si>
  <si>
    <t xml:space="preserve">за рахунок субвенції залишків коштів освітньої субвенції з державного бюджету місцевим бюджетам що утворився на початок бюджетного періоду на видання, придбання зберігання і доставку підручників для учнів загальноосвітніх навчальних закладів </t>
  </si>
  <si>
    <t>Будівництво світлофорного об’єкта на перетині Елизаветівського шосе з просп. Перемоги та вул. Індустріальною» у м. Дніпродзержинськ (у т.ч. ПКД)</t>
  </si>
  <si>
    <t>150101</t>
  </si>
  <si>
    <t>0491</t>
  </si>
  <si>
    <t>Реконструкція малої арени стадіону «Перемога» за адресою: просп. Аношкіна, 109 м.Дніпродзержинськ (ПКД)</t>
  </si>
  <si>
    <t>в т.ч.за рахунок субвенції з обласного бюджету місцевим бюджетам на виконання доручень виборців депутатами обласної ради у 2016 році</t>
  </si>
  <si>
    <t xml:space="preserve">Облаштування пандуса у житловому будинку за адресою: просп. 50 років СРСР 1-Е, 5-й під’їзд, м. Дніпродзержинськ» </t>
  </si>
  <si>
    <t>Реконструкція житлового будинку за адресою: просп.Перемоги, 1 м. Дніпродзержинськ (покрівля) (в т.ч. виготовлення проектно-кошторисної документації)</t>
  </si>
  <si>
    <t>Реконструкції вул.40 років Перемоги в м. Дніпродзержинську (виготовлення проектно-кошторисної документації)</t>
  </si>
  <si>
    <t>Реконструкція зовнішніх мереж електропостачання КЗ «СЗОШ №37 м.Дніпродзержинська Дніпродзержинської міської ради (в т.ч. виготовлення проектно-кошторисної документації)</t>
  </si>
  <si>
    <t>0133</t>
  </si>
  <si>
    <t xml:space="preserve">Інші видатки </t>
  </si>
  <si>
    <t>48.01</t>
  </si>
  <si>
    <t>Реконструкція спортивних залів КЗ «Дитячо-юнацька спортивна школа №1» зі встановленням сонячного колектору для підігріву води на побутові потреби (у т.ч. виготовлення проектно-кошторисної документації)</t>
  </si>
  <si>
    <t>Реконструкція підтримуючих стін та покриття комунального закладу «Дитячо-юнацька спортивна школа №4 м.Дніпродзержинська» Дніпродзержинської міської ради» за адресою: вул. Скаліка, 5 м.Дніпродзержинськ (в т.ч. виготовлення проектно-кошторисної документації)</t>
  </si>
  <si>
    <t>2410</t>
  </si>
  <si>
    <t>110205</t>
  </si>
  <si>
    <t>Школи естетичного виховання дітей</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</si>
  <si>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</si>
  <si>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</si>
  <si>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Будівництво системи водовідведення поверхневих вод з вул. Лугової у м.Кам’янському (ПВР)</t>
  </si>
  <si>
    <t xml:space="preserve">для сплати заборгованості минулих періодів з податку на прибуток, з урахуванням штрафних санкцій та пені КП ДМР «Зеленбуд» </t>
  </si>
  <si>
    <t xml:space="preserve">для виплати заборгованості по заробітній платі з нарахуванням 22% КП ДМР «Управляюча компанія по обслуговуванню житлового фонду» </t>
  </si>
  <si>
    <t>• на оплату різниці у вартості енергоносіїв через підвищення тарифу за електроенергію КП ДМР «Управляюча компанія по обслуговуванню житлового фонду»</t>
  </si>
  <si>
    <t xml:space="preserve">• для видалення карантинних трав на прибудинкових територіях КП ДМР «Управляюча компанія по обслуговуванню житлового фонду» </t>
  </si>
  <si>
    <t>придбання обладнання, інструментів, запасних частин, матеріалів та послуг  для проведення капітального, середнього, поточного ремонтів рухомого складу, трамвайної колії,  контактно-кабельної мережі та тягових підстанцій КП «Трамвай»</t>
  </si>
  <si>
    <t>на придбання обладнання, інструментів, запасних частин, матеріалів та послуг для проведення капітального, середнього, поточного ремонтів і технічного обслуговування  автобусів КП «Трамвай»</t>
  </si>
  <si>
    <t xml:space="preserve">на проведення капітальних та поточних ремонтів дахів будівель КП «Трамвай» </t>
  </si>
  <si>
    <t>Будівництво лівобережного з"їзду з мостового переходу через р. Дніпро на просп. Металургів, м.Кам"янське (в т.ч. ПКД)</t>
  </si>
  <si>
    <t>Будівництво індивідуального теплового пункту житлового будинку по просп.Металургів, 14 у м.Кам"янському (в т.ч. ПКД)</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</si>
  <si>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</si>
  <si>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t>
  </si>
  <si>
    <t>0763</t>
  </si>
  <si>
    <t>Інші заходи по охороні здоров`я</t>
  </si>
  <si>
    <t>Реконструкція будівлі комунального закладу «Дошкільний навчальний заклад (ясла-садок) №47 «Любисток» за адресою: вул.Київська, 15, м.Дніпродзержинськ (виготовлення ПКД)</t>
  </si>
  <si>
    <t>Реконструкція елінгу для зберігання лодок за адресою: вул. П. Морозова, 100,  м.Дніпродзержинськ (в т.ч. коригування ПКД)</t>
  </si>
  <si>
    <t>090802</t>
  </si>
  <si>
    <t>Інші програми соціального захисту дітей</t>
  </si>
  <si>
    <t>від 25.12.2015 № 12-03/УІІ</t>
  </si>
  <si>
    <t xml:space="preserve">в т.ч. за рахунок субвенції з обласного бюджету місцевим бюджетам на фінансування переможців обласного конкурсу проектів і програм розвитку місцевого самоврядування у 2016 році </t>
  </si>
  <si>
    <t>Реконструкція окремо розташованої будівлі комунального закладу «Навчально-виховний комплекс «Гімназія №11  – спеціалізована школа з поглибленим вивченням іноземних мов І ступеня  – дошкільний навчальний заклад (ясла-садок) «Еврика» м.Дніпродзержинська» Дніпродзержинської міської ради під дошкільне відділення для дітей від 3 до 6 років  за адресою  вул. 9-го Травня,18 (в т.ч. виготовлення проектно-кошторисної документації)</t>
  </si>
  <si>
    <t>Реконструкція частини приміщень КЗ «Середня загальноосвітня школа №42 м. Дніпродзержинська» під дошкільне відділення для дітей від 3 до 6 років за адресою по вул. Дунайська 51. Коригування робочого проекту</t>
  </si>
  <si>
    <t>Реконструкція будівель комунального закладу «Середня загальноосвітня школа №5 ім. Г.Романової м.Кам’янське» Кам'янської міської ради за адресою просп.Свободи, 42, м.Кам’янське» (виготовлення проектно-кошторисної документації)</t>
  </si>
  <si>
    <t>Реконструкція фасаду, капітальний ремонт системи водопостачання та водовідведення, теплопостачання комунального закладу «Дошкільний навчальний заклад (ясла-садок) – центр розвитку дитини №27 «Орлятко» Кам’янської міської ради за адресою просп. Наддніпрянський,5»  (виготовлення ПКД)</t>
  </si>
  <si>
    <t>Реконструкція будівлі комунального закладу «Дошкільний навчальний заклад (ясла-садок) №4 «Водограй» Кам’янської міської ради за адресою вул.Гетьмана Сагайдачного (вул.Черняховського), б.15-А, м.Кам’янське» (виготовлення ПКД)</t>
  </si>
  <si>
    <t>Реконструкція окремо розташованої будівлі комунального закладу «Дошкільний навчальний заклад (ясла-садок) №23 «Дзвіночок» Кам'янської міської ради дошкільний заклад для дітей від 3 до 6 років за адресою: вул.Чорновола, 77 (виготовлення ПКД)</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</si>
  <si>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</si>
  <si>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</si>
  <si>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080500</t>
  </si>
  <si>
    <t>Загальні і спеціалізовані стоматологічні поліклініки</t>
  </si>
  <si>
    <t>Реконструкція будівлі амбулаторії загальної практики сімейної медицини№5 (в т.ч. кабінетів дитячих лікарів вузької спеціалізації) та центру ранньої медико-соціальної реабілітації дітей інвалідів з органічними ураженнями нервової системи КЗОЗ КМР «Центр ПМСД №3», за адресою: вул.Й.Манаєнкова, 24 у т.ч. виготовлення проектно-кошторисної документації)</t>
  </si>
  <si>
    <t>Реконструкція будівлі майстерні загальноосвітньої школи №40 під амбулаторію №3 КЗОЗ КМР «Центр ПМСД №1 (у т.ч. виготовлення проектно-кошторисної документації)</t>
  </si>
  <si>
    <t>Реконструкція АЗПСМ №3 за адресою: пр. Гімназичний буд.65 КЗОЗ Кам’янської міської ради «Центр ПМСД №3» у м.Кам’янське (у т.ч. виготовлення проектно-кошторисної документації)</t>
  </si>
  <si>
    <t>Реконструкція комунального закладу охорони здоров’я «Міський медичний центр здоров’я та медицини спорту», за адресою: вул. Тараса Шевченка, 55 (у т.ч. виготовлення проектно-кошторисної документації)</t>
  </si>
  <si>
    <t>150114</t>
  </si>
  <si>
    <t>Проведення невідкладних відновлювальних робіт, будівництво та реконструкція лікарень загального профілю</t>
  </si>
  <si>
    <t>Реконструкція стадіону КЗ «СК «Прометей (в т.ч. ПКД)</t>
  </si>
  <si>
    <t>Будівництво стадіону КЗ «Дитячо-юнацька футбольна школа «Надія» Кам’янської міської ради (в т.ч. виготовлення проектно-кошторисної документації)</t>
  </si>
  <si>
    <t>Реконструкція будівлі КЗ «СЗОШ №37 м. Дніпродзержинська» Дніпродзержинської міської ради за адресою: вул. Щербицького, 34/22 (у т.ч. виготовлення проектно-кошторисної документації)</t>
  </si>
  <si>
    <t>реконструкції комунального початкового спеціалізованого мистецького навчального закладу «Дитяча художня школа ім.І.Г.Першудчева  м.Дніпродзержинська», просп.50-річчя СРСР, 1Е  (в т.ч. ПКД)</t>
  </si>
  <si>
    <t>для придбання КП «Зеленбуд» обладнання відеоспостереження та комп’ютерної техніки</t>
  </si>
  <si>
    <t>поточний ремонтбагатоквартирних житлових будинків (в т.ч. ОСББ та гуртожитків) КП ДМР «Управляюча компанія по обслуговуванню житлового фонду»</t>
  </si>
  <si>
    <t xml:space="preserve">на проведення капітального ремонту громадського туалету КП «Кіноконцертний зал «Мир» </t>
  </si>
  <si>
    <t>Департемнт з гуманітарних питань міської ради</t>
  </si>
  <si>
    <t>Реконструкція, благоустрій території комунального закладу «Середня загальноосвітня школа № 40 м. Дніпродзержинська» Дніпродзержинської міської ради  (виготовлення проектно-кошторисної документації)</t>
  </si>
  <si>
    <t>Реконструкція частини будівлі комунального закладу «Навчально-виховний комплекс «Загальноосвітній навчальний  заклад І-ІІ ступенів – академічний ліцей №15 м. Дніпродзержинська» Дніпродзержинської міської ради за адресою: по вул. 40 років Перемоги, 10 (виготовлення проектно-кошторисної документації)</t>
  </si>
  <si>
    <t>Реконструкція зовнішніх електричних мереж-лінії 0,4кВ від РП-0,4кВ ТП-165 в Дніпродзержинському РЕМ, м. Дніпродзержинськ Дніпропетровської обл. для електропостачання дошкільного навчального закладу №22 "Казкова країна» (виготовлення ПКД)</t>
  </si>
  <si>
    <t>на придбання карети закоханих для КП «Кіноконцертний зал «МИР»</t>
  </si>
  <si>
    <t>Департамент молоді та спорту міської ради</t>
  </si>
  <si>
    <t>Департамент охорони здоров'я та соціальної політики міської ради</t>
  </si>
  <si>
    <t>081002</t>
  </si>
  <si>
    <t>Реконструкція вхідної частини будівлі АЗПСМ №1, 2 за адресою: просп.Леніна, 20А (у т.ч. виготовлення проектно-кошторисної документації)</t>
  </si>
  <si>
    <t>Реконструкція будівлі КЗОЗ «Центр ПМСД №1» за адресою б-р Будівельників, 23 м.Дніпродзержинська  (реконструкція вхідної групи, заміна вікон і дверей, ремонт системи опалення) (перерахунок ПКД та проведення експертизи)</t>
  </si>
  <si>
    <t>Реконструкція будівлі комунального закладу охорони здоров’я Дніпродзержинської міської ради «Центр первинної медико-санітарної допомоги №3» за адресою: вул. Республіканська, 31 під міський центр з профілактики та боротьби зі СНІДом (в т.ч. перерахунок проектно-кошторисної документації)</t>
  </si>
  <si>
    <t>Реконструкція системи електропостачання відділення амбулаторного гемодіалізу комунального закладу «Дніпродзержинська міська лікарня №7» Дніпропетровської обласної ради» з установкою агрегатів безперебійного живлення серії «Резерв» (в т.ч. проектно-кошторисна документація)</t>
  </si>
  <si>
    <t>Управління соціального захисту населення адміністрації Дніпровського району</t>
  </si>
  <si>
    <t>Служба у справах дітей міської ради</t>
  </si>
  <si>
    <t>Управління культури міської ради</t>
  </si>
  <si>
    <t>Департмент муніципальних послуг та регуляторної політики міської ради</t>
  </si>
  <si>
    <t>Департамент комунальної власності, земельних відносин та реєстрації речових прав на нерухоме майно міської ради</t>
  </si>
  <si>
    <t>Департамент житлово-комунального господарства та  будівництва міської ради</t>
  </si>
  <si>
    <t>Реконструкція житлового будинку №3, розташованого в селищі Світле,м. Дніпродзержинськ (система газопостачання, опалення та гарячого водопостачання)</t>
  </si>
  <si>
    <t>Реконструкція житлового будинку №4, розташованого в селищі Світле,м. Дніпродзержинськ (система газопостачання, опалення та гарячого водопостачання)</t>
  </si>
  <si>
    <t xml:space="preserve">Будівництво кладовища  лівобережної частини м.Дніпродзержинська (в т.ч. ПКД) </t>
  </si>
  <si>
    <t>Будівництво амбулаторії ЗПСМ №2 КЗОЗ КМР «Центр ПСМД №3» за адресою вул..Залізняка, 1 у м.Кам'янське (в т.ч. проектно-кошторисна документація)</t>
  </si>
  <si>
    <t>Реконструкція пішохідних зв’язків та комплексний благоустрій прибудинкових територій 9-го мікрорайону (ескізний проект)</t>
  </si>
  <si>
    <t>Реконструкція блоку «А» об'єкту незавершеного будівництва «Завершення реконструкції та розширення середньої школи№27 в сел.Романкове» під спортивний комплекс КЗ «Середня загальноосвітня школа №27» Кам’янської міської ради, м.Кам’янське</t>
  </si>
  <si>
    <t>Для оплати заробітної плати та нарахувань КП ДМР «Дніпродзержинський спецкомбінат»</t>
  </si>
  <si>
    <t xml:space="preserve">Для виплати заборгованості по заробітній платі та нарахуваньКП  ДМР «Комсервіс» </t>
  </si>
  <si>
    <t>Управління містобудування та архітектури міської ради</t>
  </si>
  <si>
    <t>Реконструкція системи опалення адміністративної будівлі за адресою вул..Москворецька, 14А</t>
  </si>
  <si>
    <t>Управління державного архітектурно-будівельного контролю міської ради</t>
  </si>
  <si>
    <t>Управління екології та природних ресурсів міської ради</t>
  </si>
  <si>
    <t>Управління транспортної інфраструктури та звязку міської ради</t>
  </si>
  <si>
    <t>на впровадження інформаційної системи транспорту, системи «Електронний квиток» КП «Трамвай» (у тому числі на послуги з розробки заходів, необхідних для впровадження автоматизованої системи оплати проїзду «Електронний квиток» у місті Кам`янське - 500000 грн, на програмне забезпечення - 500000 грн)</t>
  </si>
  <si>
    <t>Управління з надзвичайних ситуацій та цивільного захисту населення міської ради</t>
  </si>
  <si>
    <t>Департамент економічного розвитку міської ради</t>
  </si>
  <si>
    <t>Департамент фінансів Дніпродзержинської міської ради</t>
  </si>
  <si>
    <t>Реконструкція приміщення департаменту охорони здоров’я та соціальної політики міської ради за адресою: вул.Галини Романової, 4 (у т.ч. виготовлення проектно-кошторисної документації)</t>
  </si>
  <si>
    <t>Реконструкція вхідного вузлу житлового будинку за адресою просп.Івана Франка буд.22 кв.80 м.Кам`янське (у т.ч. ПВР)</t>
  </si>
  <si>
    <t>Реконструкція вхідного вузлу житлового будинку за адресою просп. Металургів,70 кв.26, м.Кам`янське (у т.ч. ПВР)</t>
  </si>
  <si>
    <t>Реконструкція вхідного вузлу житлового будинку за адресою просп.Металургів,88 кв.59, м.Кам`янське (у т.ч. ПВР)</t>
  </si>
  <si>
    <t>Реконструкція вхідного вузлу житлового будинку за адресою  просп.Івана Франка буд.24 кв.120,138, м.Кам`янське (у т.ч. ПВР)</t>
  </si>
  <si>
    <t>Реконструкція вхідного вузлу житлового будинку за адресою вул.Скаліка, буд 16 кв.3, м.Кам`янське  (у т.ч. ПВР)</t>
  </si>
  <si>
    <t>Реконструкція вхідного вузлу житлового будинку за адресою вул.Звенигородська, буд.33 кв.23, м.Кам`янське (у т.ч. ПВР)</t>
  </si>
  <si>
    <t>Реконструкція вхідного вузлу житлового будинку за адресою бульвНезалежності, буд. 33 кв.1, м.Кам`янське  (у т.ч. ПВР)</t>
  </si>
  <si>
    <t>Реконструкція вхідного вузлу житлового будинку за адресою вул.Харківська, буд.69, кв.5, 33, м.Кам`янське  (у т.ч. ПВР)</t>
  </si>
  <si>
    <t>Реконструкція лікарні (пологового будинку) комунального закладу «Дніпродзержинська міська лікарня №9» Дніпропетровської обласної ради за адресою: м.Кам’янське, просп. Аношкіна, 72, у т.ч. проектно-кошторисні, інженерно-вишукувальні роботи та інструментальні обстеження</t>
  </si>
  <si>
    <t>для оплати заробітної плати КП ДМР «Благоустрій»</t>
  </si>
  <si>
    <t>для оплати нарахувань на заробітну плату КП ДМР «Благоустрій»</t>
  </si>
  <si>
    <t>для оплати заборгованості із заробітної плати КП ДМР «Благоустрій»</t>
  </si>
  <si>
    <t>для оплати нарахувань по заборгованості із заробітної плати КП ДМР «Благоустрій»</t>
  </si>
  <si>
    <t>для оплати оренди комунального майна для розміщення офісу підприємства КП ДМР «Благоустрій»</t>
  </si>
  <si>
    <t>для оплати за енергоносії та інші комунальні послуги (опалення, електрична енергія, вода та водовідведення, охорона та інше) КП ДМР «Благоустрій»</t>
  </si>
  <si>
    <t>для оплати податків та зборів КП ДМР «Благоустрій»</t>
  </si>
  <si>
    <t>для придбання меблів КП ДМР «Благоустрій»</t>
  </si>
  <si>
    <t>для придбання комп`ютерної та оргтехніки КП ДМР «Благоустрій»</t>
  </si>
  <si>
    <t>для придбання програмного забезпечення та сплати послуг з його супроводу КП ДМР «Благоустрій»</t>
  </si>
  <si>
    <t>для оплати проектних, будівельних та інших робіт для забезпечення комплексного благоустрою території міста КП ДМР «Благоустрій»</t>
  </si>
  <si>
    <t>проведення робіт з благоустрою (мощення тротуарів, встановлення лавок, урн, улаштування огорожі території, навісів, під’їзних шляхів, озеленення тощо) території транзитного містечка по бульв. Героїв у м.Дніпродзержинську</t>
  </si>
  <si>
    <t>від 28.10.2016 №521-11/УІІ)</t>
  </si>
  <si>
    <t>Капітальні трансферти підприємствам (установам, організаціям)</t>
  </si>
</sst>
</file>

<file path=xl/styles.xml><?xml version="1.0" encoding="utf-8"?>
<styleSheet xmlns="http://schemas.openxmlformats.org/spreadsheetml/2006/main">
  <numFmts count="2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s>
  <fonts count="35">
    <font>
      <sz val="10"/>
      <name val="Arial Cyr"/>
      <family val="0"/>
    </font>
    <font>
      <sz val="14"/>
      <name val="Times New Roman"/>
      <family val="1"/>
    </font>
    <font>
      <b/>
      <sz val="18"/>
      <name val="Times New Roman"/>
      <family val="1"/>
    </font>
    <font>
      <b/>
      <sz val="14"/>
      <name val="Times New Roman"/>
      <family val="1"/>
    </font>
    <font>
      <sz val="10"/>
      <name val="Times New Roman"/>
      <family val="1"/>
    </font>
    <font>
      <sz val="8"/>
      <name val="Times New Roman"/>
      <family val="1"/>
    </font>
    <font>
      <b/>
      <sz val="11"/>
      <name val="Times New Roman"/>
      <family val="1"/>
    </font>
    <font>
      <b/>
      <vertAlign val="superscript"/>
      <sz val="11"/>
      <name val="Times New Roman"/>
      <family val="1"/>
    </font>
    <font>
      <b/>
      <i/>
      <sz val="14"/>
      <name val="Times New Roman"/>
      <family val="1"/>
    </font>
    <font>
      <sz val="10"/>
      <color indexed="8"/>
      <name val="ARIAL"/>
      <family val="0"/>
    </font>
    <font>
      <sz val="18"/>
      <name val="Times New Roman"/>
      <family val="1"/>
    </font>
    <font>
      <sz val="12"/>
      <name val="Times New Roman"/>
      <family val="1"/>
    </font>
    <font>
      <u val="single"/>
      <sz val="10"/>
      <color indexed="12"/>
      <name val="Arial"/>
      <family val="0"/>
    </font>
    <font>
      <sz val="8"/>
      <name val="Arial Cyr"/>
      <family val="0"/>
    </font>
    <font>
      <u val="single"/>
      <sz val="10"/>
      <color indexed="36"/>
      <name val="Arial Cyr"/>
      <family val="0"/>
    </font>
    <font>
      <u val="single"/>
      <sz val="10"/>
      <name val="Arial"/>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name val="Helv"/>
      <family val="0"/>
    </font>
    <font>
      <sz val="16"/>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64">
    <xf numFmtId="0" fontId="3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lignment vertical="top"/>
      <protection/>
    </xf>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14"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90">
    <xf numFmtId="0" fontId="0" fillId="0" borderId="0" xfId="0" applyAlignment="1">
      <alignment/>
    </xf>
    <xf numFmtId="0" fontId="1" fillId="0" borderId="0" xfId="0" applyNumberFormat="1" applyFont="1" applyFill="1" applyAlignment="1" applyProtection="1">
      <alignment horizontal="left" vertical="center"/>
      <protection/>
    </xf>
    <xf numFmtId="49" fontId="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vertical="center"/>
      <protection/>
    </xf>
    <xf numFmtId="0" fontId="1" fillId="0" borderId="0" xfId="0" applyNumberFormat="1" applyFont="1" applyFill="1" applyAlignment="1" applyProtection="1">
      <alignment vertical="center" wrapText="1"/>
      <protection/>
    </xf>
    <xf numFmtId="3" fontId="1" fillId="0" borderId="0" xfId="0" applyNumberFormat="1" applyFont="1" applyFill="1" applyAlignment="1" applyProtection="1">
      <alignment horizontal="center" vertical="center"/>
      <protection/>
    </xf>
    <xf numFmtId="180" fontId="1" fillId="0" borderId="0" xfId="0" applyNumberFormat="1" applyFont="1" applyAlignment="1">
      <alignment horizontal="left" vertical="center"/>
    </xf>
    <xf numFmtId="3" fontId="1" fillId="0" borderId="0" xfId="0" applyNumberFormat="1" applyFont="1" applyAlignment="1">
      <alignment horizontal="center" vertical="center"/>
    </xf>
    <xf numFmtId="0" fontId="1" fillId="0" borderId="0" xfId="0" applyFont="1" applyFill="1" applyAlignment="1">
      <alignment horizontal="center" vertical="center"/>
    </xf>
    <xf numFmtId="0" fontId="3"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lignment horizontal="center" vertical="center"/>
    </xf>
    <xf numFmtId="0" fontId="4" fillId="0" borderId="10" xfId="0" applyFont="1" applyFill="1" applyBorder="1" applyAlignment="1">
      <alignment vertical="center"/>
    </xf>
    <xf numFmtId="0" fontId="4" fillId="0" borderId="0" xfId="0" applyFont="1" applyFill="1" applyBorder="1" applyAlignment="1">
      <alignment vertical="center" wrapText="1"/>
    </xf>
    <xf numFmtId="3" fontId="4" fillId="0" borderId="0" xfId="0" applyNumberFormat="1" applyFont="1" applyFill="1" applyBorder="1" applyAlignment="1">
      <alignment horizontal="center" vertical="center"/>
    </xf>
    <xf numFmtId="180" fontId="3" fillId="0" borderId="0"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horizontal="center" vertical="center"/>
      <protection/>
    </xf>
    <xf numFmtId="0" fontId="6"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180" fontId="6" fillId="0" borderId="11"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3" fillId="0" borderId="11" xfId="0" applyFont="1" applyBorder="1" applyAlignment="1" quotePrefix="1">
      <alignment horizontal="center" vertical="center" wrapText="1"/>
    </xf>
    <xf numFmtId="49" fontId="3" fillId="0" borderId="11" xfId="0" applyNumberFormat="1" applyFont="1" applyBorder="1" applyAlignment="1">
      <alignment horizontal="center" vertical="center" wrapText="1"/>
    </xf>
    <xf numFmtId="2" fontId="3" fillId="0" borderId="11" xfId="0" applyNumberFormat="1" applyFont="1" applyBorder="1" applyAlignment="1">
      <alignment vertical="center" wrapText="1"/>
    </xf>
    <xf numFmtId="181" fontId="3" fillId="0" borderId="11" xfId="49" applyNumberFormat="1" applyFont="1" applyBorder="1" applyAlignment="1">
      <alignment vertical="center" wrapText="1"/>
      <protection/>
    </xf>
    <xf numFmtId="3" fontId="3" fillId="0" borderId="11" xfId="49" applyNumberFormat="1" applyFont="1" applyBorder="1" applyAlignment="1">
      <alignment horizontal="center" vertical="center"/>
      <protection/>
    </xf>
    <xf numFmtId="180" fontId="3" fillId="0" borderId="11" xfId="49" applyNumberFormat="1" applyFont="1" applyBorder="1" applyAlignment="1">
      <alignment horizontal="center" vertical="center"/>
      <protection/>
    </xf>
    <xf numFmtId="0" fontId="1" fillId="0" borderId="11" xfId="0" applyFont="1" applyBorder="1" applyAlignment="1">
      <alignment horizontal="center" vertical="center" wrapText="1"/>
    </xf>
    <xf numFmtId="49" fontId="1" fillId="0" borderId="11" xfId="0" applyNumberFormat="1" applyFont="1" applyBorder="1" applyAlignment="1" quotePrefix="1">
      <alignment horizontal="center" vertical="center" wrapText="1"/>
    </xf>
    <xf numFmtId="2" fontId="1" fillId="0" borderId="11" xfId="0" applyNumberFormat="1" applyFont="1" applyBorder="1" applyAlignment="1">
      <alignment vertical="center" wrapText="1"/>
    </xf>
    <xf numFmtId="3" fontId="1" fillId="0" borderId="11" xfId="49" applyNumberFormat="1" applyFont="1" applyBorder="1" applyAlignment="1">
      <alignment horizontal="center" vertical="center"/>
      <protection/>
    </xf>
    <xf numFmtId="180" fontId="1" fillId="0" borderId="11" xfId="49" applyNumberFormat="1" applyFont="1" applyBorder="1" applyAlignment="1">
      <alignment horizontal="center" vertical="center"/>
      <protection/>
    </xf>
    <xf numFmtId="181" fontId="1" fillId="0" borderId="11" xfId="49" applyNumberFormat="1" applyFont="1" applyBorder="1" applyAlignment="1">
      <alignment vertical="center" wrapText="1"/>
      <protection/>
    </xf>
    <xf numFmtId="3" fontId="1" fillId="0" borderId="11" xfId="0" applyNumberFormat="1" applyFont="1" applyFill="1" applyBorder="1" applyAlignment="1" applyProtection="1">
      <alignment horizontal="center" vertical="center"/>
      <protection/>
    </xf>
    <xf numFmtId="180" fontId="1" fillId="0" borderId="11" xfId="0" applyNumberFormat="1" applyFont="1" applyFill="1" applyBorder="1" applyAlignment="1" applyProtection="1">
      <alignment horizontal="center" vertical="center"/>
      <protection/>
    </xf>
    <xf numFmtId="2" fontId="3" fillId="0" borderId="11" xfId="0" applyNumberFormat="1" applyFont="1" applyBorder="1" applyAlignment="1" quotePrefix="1">
      <alignment vertical="center" wrapText="1"/>
    </xf>
    <xf numFmtId="0" fontId="1" fillId="0" borderId="11" xfId="0" applyNumberFormat="1" applyFont="1" applyFill="1" applyBorder="1" applyAlignment="1" applyProtection="1">
      <alignment vertical="center" wrapText="1"/>
      <protection/>
    </xf>
    <xf numFmtId="4" fontId="3" fillId="0" borderId="11" xfId="49" applyNumberFormat="1" applyFont="1" applyBorder="1" applyAlignment="1">
      <alignment horizontal="center" vertical="center"/>
      <protection/>
    </xf>
    <xf numFmtId="0" fontId="2" fillId="0" borderId="0" xfId="0" applyFont="1" applyAlignment="1">
      <alignment horizontal="left" vertical="center"/>
    </xf>
    <xf numFmtId="0" fontId="4" fillId="0" borderId="0" xfId="0" applyNumberFormat="1" applyFont="1" applyFill="1" applyAlignment="1" applyProtection="1">
      <alignment horizontal="left" vertical="center"/>
      <protection/>
    </xf>
    <xf numFmtId="49" fontId="4"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vertical="center" wrapText="1"/>
      <protection/>
    </xf>
    <xf numFmtId="3" fontId="4" fillId="0" borderId="0" xfId="0" applyNumberFormat="1" applyFont="1" applyFill="1" applyAlignment="1" applyProtection="1">
      <alignment horizontal="center" vertical="center"/>
      <protection/>
    </xf>
    <xf numFmtId="180" fontId="4" fillId="0" borderId="0" xfId="0" applyNumberFormat="1" applyFont="1" applyFill="1" applyAlignment="1" applyProtection="1">
      <alignment horizontal="center" vertical="center"/>
      <protection/>
    </xf>
    <xf numFmtId="3" fontId="1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vertical="center"/>
      <protection/>
    </xf>
    <xf numFmtId="4" fontId="10"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right" vertical="center"/>
      <protection/>
    </xf>
    <xf numFmtId="4" fontId="1" fillId="0" borderId="0" xfId="0" applyNumberFormat="1" applyFont="1" applyFill="1" applyAlignment="1" applyProtection="1">
      <alignment horizontal="center" vertical="center"/>
      <protection/>
    </xf>
    <xf numFmtId="0" fontId="0" fillId="0" borderId="0" xfId="0" applyFont="1" applyAlignment="1">
      <alignment/>
    </xf>
    <xf numFmtId="3" fontId="1" fillId="0" borderId="11" xfId="0" applyNumberFormat="1" applyFont="1" applyFill="1" applyBorder="1" applyAlignment="1">
      <alignment horizontal="center" vertical="center"/>
    </xf>
    <xf numFmtId="9" fontId="1" fillId="0" borderId="11" xfId="0" applyNumberFormat="1" applyFont="1" applyFill="1" applyBorder="1" applyAlignment="1">
      <alignment horizontal="center" vertical="center"/>
    </xf>
    <xf numFmtId="0" fontId="1" fillId="0" borderId="11" xfId="0" applyFont="1" applyBorder="1" applyAlignment="1" quotePrefix="1">
      <alignment horizontal="center" vertical="center" wrapText="1"/>
    </xf>
    <xf numFmtId="0" fontId="3" fillId="0" borderId="11" xfId="0" applyNumberFormat="1" applyFont="1" applyFill="1" applyBorder="1" applyAlignment="1" applyProtection="1">
      <alignment vertical="center" wrapText="1"/>
      <protection/>
    </xf>
    <xf numFmtId="180" fontId="1" fillId="0" borderId="0" xfId="0" applyNumberFormat="1" applyFont="1" applyFill="1" applyAlignment="1" applyProtection="1">
      <alignment horizontal="center" vertical="center"/>
      <protection/>
    </xf>
    <xf numFmtId="49" fontId="10" fillId="0" borderId="0" xfId="0" applyNumberFormat="1" applyFont="1" applyAlignment="1">
      <alignment horizontal="center" vertical="center"/>
    </xf>
    <xf numFmtId="0" fontId="10" fillId="0" borderId="0" xfId="0" applyFont="1" applyAlignment="1">
      <alignment vertical="center"/>
    </xf>
    <xf numFmtId="0" fontId="10" fillId="0" borderId="0" xfId="0" applyFont="1" applyAlignment="1">
      <alignment vertical="center" wrapText="1"/>
    </xf>
    <xf numFmtId="3" fontId="10" fillId="0" borderId="0" xfId="0" applyNumberFormat="1" applyFont="1" applyAlignment="1">
      <alignment horizontal="center" vertical="center"/>
    </xf>
    <xf numFmtId="0" fontId="15" fillId="0" borderId="0" xfId="42" applyNumberFormat="1" applyFont="1" applyFill="1" applyAlignment="1" applyProtection="1">
      <alignment horizontal="left" vertical="center"/>
      <protection/>
    </xf>
    <xf numFmtId="0" fontId="1" fillId="0" borderId="0" xfId="0" applyFont="1" applyAlignment="1" applyProtection="1">
      <alignment horizontal="left"/>
      <protection locked="0"/>
    </xf>
    <xf numFmtId="4" fontId="1" fillId="0" borderId="11" xfId="0" applyNumberFormat="1" applyFont="1" applyBorder="1" applyAlignment="1">
      <alignment horizontal="center" vertical="center" wrapText="1"/>
    </xf>
    <xf numFmtId="4" fontId="3" fillId="0" borderId="11" xfId="0" applyNumberFormat="1" applyFont="1" applyBorder="1" applyAlignment="1">
      <alignment vertical="center" wrapText="1"/>
    </xf>
    <xf numFmtId="4" fontId="1" fillId="0" borderId="11" xfId="0" applyNumberFormat="1" applyFont="1" applyFill="1" applyBorder="1" applyAlignment="1" applyProtection="1">
      <alignment vertical="center" wrapText="1"/>
      <protection/>
    </xf>
    <xf numFmtId="4" fontId="1" fillId="0" borderId="11" xfId="0" applyNumberFormat="1" applyFont="1" applyFill="1" applyBorder="1" applyAlignment="1" applyProtection="1">
      <alignment horizontal="center" vertical="center"/>
      <protection/>
    </xf>
    <xf numFmtId="0" fontId="3" fillId="0" borderId="11" xfId="0" applyFont="1" applyBorder="1" applyAlignment="1">
      <alignment horizontal="center" vertical="center" wrapText="1"/>
    </xf>
    <xf numFmtId="49" fontId="3" fillId="0" borderId="11" xfId="0" applyNumberFormat="1" applyFont="1" applyBorder="1" applyAlignment="1" quotePrefix="1">
      <alignment horizontal="center" vertical="center" wrapText="1"/>
    </xf>
    <xf numFmtId="3" fontId="3" fillId="0" borderId="11" xfId="0" applyNumberFormat="1" applyFont="1" applyFill="1" applyBorder="1" applyAlignment="1" applyProtection="1">
      <alignment horizontal="center" vertical="center"/>
      <protection/>
    </xf>
    <xf numFmtId="180" fontId="3" fillId="0" borderId="11" xfId="0" applyNumberFormat="1" applyFont="1" applyFill="1" applyBorder="1" applyAlignment="1" applyProtection="1">
      <alignment horizontal="center" vertical="center"/>
      <protection/>
    </xf>
    <xf numFmtId="3" fontId="0" fillId="0" borderId="0" xfId="0" applyNumberFormat="1" applyFont="1" applyAlignment="1">
      <alignment/>
    </xf>
    <xf numFmtId="4" fontId="0" fillId="0" borderId="0" xfId="0" applyNumberFormat="1" applyFont="1" applyAlignment="1">
      <alignment/>
    </xf>
    <xf numFmtId="0" fontId="6" fillId="0" borderId="11" xfId="0" applyFont="1" applyBorder="1" applyAlignment="1">
      <alignment vertical="center" wrapText="1"/>
    </xf>
    <xf numFmtId="0" fontId="0" fillId="0" borderId="0" xfId="0" applyFont="1" applyFill="1" applyAlignment="1">
      <alignment/>
    </xf>
    <xf numFmtId="0" fontId="0" fillId="0" borderId="0" xfId="0" applyFont="1" applyAlignment="1">
      <alignment/>
    </xf>
    <xf numFmtId="0" fontId="34" fillId="0" borderId="0" xfId="0" applyFont="1" applyAlignment="1">
      <alignment/>
    </xf>
    <xf numFmtId="3" fontId="3" fillId="0" borderId="11" xfId="49" applyNumberFormat="1" applyFont="1" applyFill="1" applyBorder="1" applyAlignment="1">
      <alignment horizontal="center" vertical="center"/>
      <protection/>
    </xf>
    <xf numFmtId="3" fontId="1" fillId="0" borderId="11" xfId="49" applyNumberFormat="1" applyFont="1" applyFill="1" applyBorder="1" applyAlignment="1">
      <alignment horizontal="center" vertical="center"/>
      <protection/>
    </xf>
    <xf numFmtId="0" fontId="0" fillId="0" borderId="0" xfId="0" applyFont="1" applyAlignment="1">
      <alignment/>
    </xf>
    <xf numFmtId="181" fontId="3" fillId="0" borderId="11" xfId="49" applyNumberFormat="1" applyFont="1" applyFill="1" applyBorder="1" applyAlignment="1">
      <alignment vertical="center" wrapText="1"/>
      <protection/>
    </xf>
    <xf numFmtId="0" fontId="1"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2" fontId="1" fillId="0" borderId="11" xfId="0" applyNumberFormat="1" applyFont="1" applyFill="1" applyBorder="1" applyAlignment="1">
      <alignment vertical="center" wrapText="1"/>
    </xf>
    <xf numFmtId="4" fontId="1" fillId="0" borderId="11" xfId="49" applyNumberFormat="1" applyFont="1" applyBorder="1" applyAlignment="1">
      <alignment horizontal="center" vertical="center"/>
      <protection/>
    </xf>
    <xf numFmtId="0" fontId="4" fillId="0" borderId="0" xfId="0" applyNumberFormat="1" applyFont="1" applyFill="1" applyAlignment="1" applyProtection="1">
      <alignment horizontal="left" vertical="center" wrapText="1"/>
      <protection/>
    </xf>
    <xf numFmtId="3" fontId="2" fillId="0" borderId="0" xfId="0" applyNumberFormat="1" applyFont="1" applyAlignment="1">
      <alignment horizontal="center" vertical="center"/>
    </xf>
    <xf numFmtId="0" fontId="1" fillId="0" borderId="0" xfId="0" applyFont="1" applyAlignment="1" applyProtection="1">
      <alignment horizontal="left" wrapText="1"/>
      <protection locked="0"/>
    </xf>
    <xf numFmtId="0"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6;&#1082;%203_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537">
          <cell r="O537">
            <v>164321903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41"/>
  <sheetViews>
    <sheetView tabSelected="1" view="pageBreakPreview" zoomScale="60" zoomScalePageLayoutView="0" workbookViewId="0" topLeftCell="A205">
      <selection activeCell="J208" sqref="J208"/>
    </sheetView>
  </sheetViews>
  <sheetFormatPr defaultColWidth="9.00390625" defaultRowHeight="12.75"/>
  <cols>
    <col min="1" max="1" width="14.75390625" style="40" customWidth="1"/>
    <col min="2" max="2" width="15.875" style="41" customWidth="1"/>
    <col min="3" max="3" width="20.125" style="41" customWidth="1"/>
    <col min="4" max="4" width="56.75390625" style="42" customWidth="1"/>
    <col min="5" max="5" width="55.00390625" style="43" customWidth="1"/>
    <col min="6" max="6" width="18.125" style="44" customWidth="1"/>
    <col min="7" max="7" width="17.00390625" style="45" customWidth="1"/>
    <col min="8" max="8" width="17.00390625" style="44" customWidth="1"/>
    <col min="9" max="9" width="20.75390625" style="44" customWidth="1"/>
    <col min="10" max="10" width="14.875" style="51" customWidth="1"/>
    <col min="11" max="11" width="9.75390625" style="51" bestFit="1" customWidth="1"/>
    <col min="12" max="12" width="12.375" style="51" customWidth="1"/>
    <col min="13" max="16384" width="9.125" style="51" customWidth="1"/>
  </cols>
  <sheetData>
    <row r="1" spans="1:9" ht="18.75">
      <c r="A1" s="1"/>
      <c r="B1" s="2"/>
      <c r="C1" s="2"/>
      <c r="D1" s="3"/>
      <c r="E1" s="4"/>
      <c r="F1" s="5"/>
      <c r="G1" s="6" t="s">
        <v>46</v>
      </c>
      <c r="H1" s="7"/>
      <c r="I1" s="5"/>
    </row>
    <row r="2" spans="1:9" ht="18.75">
      <c r="A2" s="1"/>
      <c r="B2" s="2"/>
      <c r="C2" s="2"/>
      <c r="D2" s="3"/>
      <c r="E2" s="4"/>
      <c r="F2" s="5"/>
      <c r="G2" s="6" t="s">
        <v>0</v>
      </c>
      <c r="H2" s="7"/>
      <c r="I2" s="5"/>
    </row>
    <row r="3" spans="1:9" ht="18.75">
      <c r="A3" s="1"/>
      <c r="B3" s="2"/>
      <c r="C3" s="2"/>
      <c r="D3" s="3"/>
      <c r="E3" s="4"/>
      <c r="F3" s="5"/>
      <c r="G3" s="6" t="s">
        <v>210</v>
      </c>
      <c r="H3" s="7"/>
      <c r="I3" s="5"/>
    </row>
    <row r="4" spans="1:9" ht="18.75" customHeight="1">
      <c r="A4" s="1"/>
      <c r="B4" s="2"/>
      <c r="C4" s="2"/>
      <c r="D4" s="3"/>
      <c r="E4" s="4"/>
      <c r="F4" s="5"/>
      <c r="G4" s="87" t="s">
        <v>54</v>
      </c>
      <c r="H4" s="87"/>
      <c r="I4" s="87"/>
    </row>
    <row r="5" spans="1:9" ht="18.75">
      <c r="A5" s="1"/>
      <c r="B5" s="2"/>
      <c r="C5" s="2"/>
      <c r="D5" s="3"/>
      <c r="E5" s="4"/>
      <c r="F5" s="5"/>
      <c r="G5" s="62" t="s">
        <v>292</v>
      </c>
      <c r="H5" s="62"/>
      <c r="I5" s="62"/>
    </row>
    <row r="6" spans="1:9" ht="18.75">
      <c r="A6" s="1"/>
      <c r="B6" s="2"/>
      <c r="C6" s="2"/>
      <c r="D6" s="3"/>
      <c r="E6" s="4"/>
      <c r="F6" s="5"/>
      <c r="G6" s="8"/>
      <c r="H6" s="8"/>
      <c r="I6" s="5"/>
    </row>
    <row r="7" spans="1:9" ht="31.5" customHeight="1">
      <c r="A7" s="88" t="s">
        <v>47</v>
      </c>
      <c r="B7" s="89"/>
      <c r="C7" s="89"/>
      <c r="D7" s="89"/>
      <c r="E7" s="89"/>
      <c r="F7" s="89"/>
      <c r="G7" s="89"/>
      <c r="H7" s="89"/>
      <c r="I7" s="89"/>
    </row>
    <row r="8" spans="1:9" ht="18.75">
      <c r="A8" s="9"/>
      <c r="B8" s="10"/>
      <c r="C8" s="10"/>
      <c r="D8" s="11"/>
      <c r="E8" s="12"/>
      <c r="F8" s="13"/>
      <c r="G8" s="14"/>
      <c r="H8" s="13"/>
      <c r="I8" s="15" t="s">
        <v>1</v>
      </c>
    </row>
    <row r="9" spans="1:9" ht="102">
      <c r="A9" s="16" t="s">
        <v>2</v>
      </c>
      <c r="B9" s="17" t="s">
        <v>3</v>
      </c>
      <c r="C9" s="17" t="s">
        <v>4</v>
      </c>
      <c r="D9" s="73" t="s">
        <v>5</v>
      </c>
      <c r="E9" s="73" t="s">
        <v>6</v>
      </c>
      <c r="F9" s="18" t="s">
        <v>7</v>
      </c>
      <c r="G9" s="19" t="s">
        <v>8</v>
      </c>
      <c r="H9" s="18" t="s">
        <v>9</v>
      </c>
      <c r="I9" s="18" t="s">
        <v>10</v>
      </c>
    </row>
    <row r="10" spans="1:9" ht="18.75">
      <c r="A10" s="20">
        <v>1</v>
      </c>
      <c r="B10" s="21">
        <v>2</v>
      </c>
      <c r="C10" s="20">
        <v>3</v>
      </c>
      <c r="D10" s="20">
        <v>4</v>
      </c>
      <c r="E10" s="20">
        <v>5</v>
      </c>
      <c r="F10" s="20">
        <v>6</v>
      </c>
      <c r="G10" s="20">
        <v>7</v>
      </c>
      <c r="H10" s="20">
        <v>8</v>
      </c>
      <c r="I10" s="20">
        <v>9</v>
      </c>
    </row>
    <row r="11" spans="1:9" ht="19.5">
      <c r="A11" s="22" t="s">
        <v>60</v>
      </c>
      <c r="B11" s="23"/>
      <c r="C11" s="23"/>
      <c r="D11" s="24" t="s">
        <v>122</v>
      </c>
      <c r="E11" s="25"/>
      <c r="F11" s="26"/>
      <c r="G11" s="27"/>
      <c r="H11" s="26"/>
      <c r="I11" s="26">
        <f>SUM(I12:I13)</f>
        <v>1646400</v>
      </c>
    </row>
    <row r="12" spans="1:9" ht="18.75">
      <c r="A12" s="28"/>
      <c r="B12" s="29" t="s">
        <v>11</v>
      </c>
      <c r="C12" s="29" t="s">
        <v>12</v>
      </c>
      <c r="D12" s="30" t="s">
        <v>13</v>
      </c>
      <c r="E12" s="33" t="s">
        <v>14</v>
      </c>
      <c r="F12" s="26"/>
      <c r="G12" s="27"/>
      <c r="H12" s="26"/>
      <c r="I12" s="31">
        <v>1370000</v>
      </c>
    </row>
    <row r="13" spans="1:9" ht="18.75">
      <c r="A13" s="28"/>
      <c r="B13" s="21" t="s">
        <v>61</v>
      </c>
      <c r="C13" s="29" t="s">
        <v>62</v>
      </c>
      <c r="D13" s="30" t="s">
        <v>63</v>
      </c>
      <c r="E13" s="33" t="s">
        <v>14</v>
      </c>
      <c r="F13" s="31"/>
      <c r="G13" s="32"/>
      <c r="H13" s="31"/>
      <c r="I13" s="31">
        <f>250000+35000-8600</f>
        <v>276400</v>
      </c>
    </row>
    <row r="14" spans="1:9" ht="37.5">
      <c r="A14" s="22" t="s">
        <v>64</v>
      </c>
      <c r="B14" s="21"/>
      <c r="C14" s="21"/>
      <c r="D14" s="24" t="s">
        <v>164</v>
      </c>
      <c r="E14" s="33"/>
      <c r="F14" s="31"/>
      <c r="G14" s="32"/>
      <c r="H14" s="31"/>
      <c r="I14" s="26">
        <f>SUM(I15:I15)</f>
        <v>619628</v>
      </c>
    </row>
    <row r="15" spans="1:9" ht="18.75">
      <c r="A15" s="28"/>
      <c r="B15" s="29" t="s">
        <v>11</v>
      </c>
      <c r="C15" s="29" t="s">
        <v>12</v>
      </c>
      <c r="D15" s="30" t="s">
        <v>13</v>
      </c>
      <c r="E15" s="33" t="s">
        <v>14</v>
      </c>
      <c r="F15" s="31"/>
      <c r="G15" s="32"/>
      <c r="H15" s="31"/>
      <c r="I15" s="31">
        <f>217300+500000-33000-64672</f>
        <v>619628</v>
      </c>
    </row>
    <row r="16" spans="1:9" ht="37.5">
      <c r="A16" s="22" t="s">
        <v>65</v>
      </c>
      <c r="B16" s="21"/>
      <c r="C16" s="21"/>
      <c r="D16" s="24" t="s">
        <v>165</v>
      </c>
      <c r="E16" s="33"/>
      <c r="F16" s="31"/>
      <c r="G16" s="32"/>
      <c r="H16" s="31"/>
      <c r="I16" s="26">
        <f>SUM(I17:I18)</f>
        <v>1108612</v>
      </c>
    </row>
    <row r="17" spans="1:9" ht="18.75">
      <c r="A17" s="28"/>
      <c r="B17" s="29" t="s">
        <v>11</v>
      </c>
      <c r="C17" s="29" t="s">
        <v>12</v>
      </c>
      <c r="D17" s="30" t="s">
        <v>13</v>
      </c>
      <c r="E17" s="33" t="s">
        <v>14</v>
      </c>
      <c r="F17" s="31"/>
      <c r="G17" s="32"/>
      <c r="H17" s="31"/>
      <c r="I17" s="31">
        <f>217300+800000</f>
        <v>1017300</v>
      </c>
    </row>
    <row r="18" spans="1:9" ht="18.75">
      <c r="A18" s="28"/>
      <c r="B18" s="29" t="s">
        <v>30</v>
      </c>
      <c r="C18" s="29" t="s">
        <v>29</v>
      </c>
      <c r="D18" s="30" t="s">
        <v>31</v>
      </c>
      <c r="E18" s="25" t="s">
        <v>14</v>
      </c>
      <c r="F18" s="34"/>
      <c r="G18" s="35"/>
      <c r="H18" s="34"/>
      <c r="I18" s="31">
        <v>91312</v>
      </c>
    </row>
    <row r="19" spans="1:9" ht="37.5">
      <c r="A19" s="22" t="s">
        <v>66</v>
      </c>
      <c r="B19" s="21"/>
      <c r="C19" s="21"/>
      <c r="D19" s="24" t="s">
        <v>166</v>
      </c>
      <c r="E19" s="33"/>
      <c r="F19" s="31"/>
      <c r="G19" s="32"/>
      <c r="H19" s="31"/>
      <c r="I19" s="26">
        <f>SUM(I20)</f>
        <v>150316</v>
      </c>
    </row>
    <row r="20" spans="1:9" ht="18.75">
      <c r="A20" s="28"/>
      <c r="B20" s="29" t="s">
        <v>11</v>
      </c>
      <c r="C20" s="29" t="s">
        <v>12</v>
      </c>
      <c r="D20" s="30" t="s">
        <v>13</v>
      </c>
      <c r="E20" s="33" t="s">
        <v>14</v>
      </c>
      <c r="F20" s="31"/>
      <c r="G20" s="32"/>
      <c r="H20" s="31"/>
      <c r="I20" s="31">
        <f>217300-66984</f>
        <v>150316</v>
      </c>
    </row>
    <row r="21" spans="1:9" ht="37.5">
      <c r="A21" s="22" t="s">
        <v>15</v>
      </c>
      <c r="B21" s="23"/>
      <c r="C21" s="23"/>
      <c r="D21" s="24" t="s">
        <v>235</v>
      </c>
      <c r="E21" s="33"/>
      <c r="F21" s="31"/>
      <c r="G21" s="32"/>
      <c r="H21" s="31"/>
      <c r="I21" s="38">
        <f>SUM(I22,I23,I26,I30,I32,I33,I34,I35:I39,I40,I41:I45,)</f>
        <v>14854789.97</v>
      </c>
    </row>
    <row r="22" spans="1:9" ht="18.75">
      <c r="A22" s="28"/>
      <c r="B22" s="29" t="s">
        <v>11</v>
      </c>
      <c r="C22" s="29" t="s">
        <v>12</v>
      </c>
      <c r="D22" s="30" t="s">
        <v>13</v>
      </c>
      <c r="E22" s="33" t="s">
        <v>14</v>
      </c>
      <c r="F22" s="31"/>
      <c r="G22" s="32"/>
      <c r="H22" s="31"/>
      <c r="I22" s="31">
        <v>10000</v>
      </c>
    </row>
    <row r="23" spans="1:9" ht="18.75">
      <c r="A23" s="28"/>
      <c r="B23" s="29" t="s">
        <v>67</v>
      </c>
      <c r="C23" s="29" t="s">
        <v>68</v>
      </c>
      <c r="D23" s="30" t="s">
        <v>69</v>
      </c>
      <c r="E23" s="25" t="s">
        <v>14</v>
      </c>
      <c r="F23" s="31"/>
      <c r="G23" s="32"/>
      <c r="H23" s="31"/>
      <c r="I23" s="31">
        <f>800000+43500+91000-42570+7000+50728+400000+1354730+15000+276600+115000+30000+100000+3798+30000-132500</f>
        <v>3142286</v>
      </c>
    </row>
    <row r="24" spans="1:9" ht="75">
      <c r="A24" s="28"/>
      <c r="B24" s="29"/>
      <c r="C24" s="29"/>
      <c r="D24" s="30" t="s">
        <v>202</v>
      </c>
      <c r="E24" s="25"/>
      <c r="F24" s="31"/>
      <c r="G24" s="32"/>
      <c r="H24" s="31"/>
      <c r="I24" s="78">
        <v>276600</v>
      </c>
    </row>
    <row r="25" spans="1:9" ht="93.75">
      <c r="A25" s="28"/>
      <c r="B25" s="29"/>
      <c r="C25" s="29"/>
      <c r="D25" s="30" t="s">
        <v>211</v>
      </c>
      <c r="E25" s="25"/>
      <c r="F25" s="31"/>
      <c r="G25" s="32"/>
      <c r="H25" s="31"/>
      <c r="I25" s="78">
        <v>115000</v>
      </c>
    </row>
    <row r="26" spans="1:9" ht="56.25">
      <c r="A26" s="28"/>
      <c r="B26" s="21" t="s">
        <v>70</v>
      </c>
      <c r="C26" s="29" t="s">
        <v>68</v>
      </c>
      <c r="D26" s="30" t="s">
        <v>71</v>
      </c>
      <c r="E26" s="25" t="s">
        <v>14</v>
      </c>
      <c r="F26" s="31"/>
      <c r="G26" s="32"/>
      <c r="H26" s="31"/>
      <c r="I26" s="31">
        <f>800000+1870000+3200000+30000+53000+143300-53105+59399+6000-146895+442630-392160+747400+147680+150000-17+146895-9800+147900-113419-102881+2428573+240000+10000-10247+7200+26000-53000</f>
        <v>9774453</v>
      </c>
    </row>
    <row r="27" spans="1:9" ht="37.5">
      <c r="A27" s="28"/>
      <c r="B27" s="29"/>
      <c r="C27" s="29"/>
      <c r="D27" s="30" t="s">
        <v>123</v>
      </c>
      <c r="E27" s="25"/>
      <c r="F27" s="34"/>
      <c r="G27" s="35"/>
      <c r="H27" s="34"/>
      <c r="I27" s="31">
        <v>1870000</v>
      </c>
    </row>
    <row r="28" spans="1:9" s="75" customFormat="1" ht="112.5">
      <c r="A28" s="28"/>
      <c r="B28" s="29"/>
      <c r="C28" s="29"/>
      <c r="D28" s="30" t="s">
        <v>172</v>
      </c>
      <c r="E28" s="25"/>
      <c r="F28" s="34"/>
      <c r="G28" s="35"/>
      <c r="H28" s="34"/>
      <c r="I28" s="31">
        <v>442630</v>
      </c>
    </row>
    <row r="29" spans="1:9" ht="75">
      <c r="A29" s="28"/>
      <c r="B29" s="29"/>
      <c r="C29" s="29"/>
      <c r="D29" s="30" t="s">
        <v>202</v>
      </c>
      <c r="E29" s="25"/>
      <c r="F29" s="34"/>
      <c r="G29" s="35"/>
      <c r="H29" s="34"/>
      <c r="I29" s="78">
        <v>240000</v>
      </c>
    </row>
    <row r="30" spans="1:9" ht="37.5">
      <c r="A30" s="28"/>
      <c r="B30" s="21" t="s">
        <v>72</v>
      </c>
      <c r="C30" s="29" t="s">
        <v>68</v>
      </c>
      <c r="D30" s="30" t="s">
        <v>73</v>
      </c>
      <c r="E30" s="25" t="s">
        <v>14</v>
      </c>
      <c r="F30" s="31"/>
      <c r="G30" s="32"/>
      <c r="H30" s="31"/>
      <c r="I30" s="78">
        <f>70000-12200+3000+6060+36620</f>
        <v>103480</v>
      </c>
    </row>
    <row r="31" spans="1:9" ht="37.5">
      <c r="A31" s="28"/>
      <c r="B31" s="29"/>
      <c r="C31" s="29"/>
      <c r="D31" s="30" t="s">
        <v>123</v>
      </c>
      <c r="E31" s="25"/>
      <c r="F31" s="34"/>
      <c r="G31" s="35"/>
      <c r="H31" s="34"/>
      <c r="I31" s="78">
        <f>70000-12200</f>
        <v>57800</v>
      </c>
    </row>
    <row r="32" spans="1:9" ht="37.5">
      <c r="A32" s="28"/>
      <c r="B32" s="21" t="s">
        <v>131</v>
      </c>
      <c r="C32" s="21" t="s">
        <v>68</v>
      </c>
      <c r="D32" s="30" t="s">
        <v>132</v>
      </c>
      <c r="E32" s="25" t="s">
        <v>14</v>
      </c>
      <c r="F32" s="34"/>
      <c r="G32" s="35"/>
      <c r="H32" s="34"/>
      <c r="I32" s="31">
        <f>14700-8510+40000</f>
        <v>46190</v>
      </c>
    </row>
    <row r="33" spans="1:9" ht="18.75">
      <c r="A33" s="28"/>
      <c r="B33" s="21" t="s">
        <v>133</v>
      </c>
      <c r="C33" s="21"/>
      <c r="D33" s="30" t="s">
        <v>134</v>
      </c>
      <c r="E33" s="25" t="s">
        <v>14</v>
      </c>
      <c r="F33" s="34"/>
      <c r="G33" s="35"/>
      <c r="H33" s="34"/>
      <c r="I33" s="78">
        <f>94450+8600</f>
        <v>103050</v>
      </c>
    </row>
    <row r="34" spans="1:9" ht="37.5">
      <c r="A34" s="28"/>
      <c r="B34" s="21" t="s">
        <v>135</v>
      </c>
      <c r="C34" s="21" t="s">
        <v>78</v>
      </c>
      <c r="D34" s="30" t="s">
        <v>136</v>
      </c>
      <c r="E34" s="25" t="s">
        <v>14</v>
      </c>
      <c r="F34" s="34"/>
      <c r="G34" s="35"/>
      <c r="H34" s="34"/>
      <c r="I34" s="31">
        <f>198800-18493+50000+473600</f>
        <v>703907</v>
      </c>
    </row>
    <row r="35" spans="1:9" ht="112.5" customHeight="1">
      <c r="A35" s="28"/>
      <c r="B35" s="29">
        <v>150110</v>
      </c>
      <c r="C35" s="21" t="s">
        <v>16</v>
      </c>
      <c r="D35" s="30" t="s">
        <v>17</v>
      </c>
      <c r="E35" s="25" t="s">
        <v>212</v>
      </c>
      <c r="F35" s="26"/>
      <c r="G35" s="27"/>
      <c r="H35" s="26"/>
      <c r="I35" s="31">
        <f>222256</f>
        <v>222256</v>
      </c>
    </row>
    <row r="36" spans="1:9" ht="112.5">
      <c r="A36" s="28"/>
      <c r="B36" s="29">
        <v>150110</v>
      </c>
      <c r="C36" s="21" t="s">
        <v>16</v>
      </c>
      <c r="D36" s="30" t="s">
        <v>17</v>
      </c>
      <c r="E36" s="25" t="s">
        <v>213</v>
      </c>
      <c r="F36" s="26"/>
      <c r="G36" s="27"/>
      <c r="H36" s="26"/>
      <c r="I36" s="31">
        <v>10247</v>
      </c>
    </row>
    <row r="37" spans="1:9" ht="150" customHeight="1">
      <c r="A37" s="28"/>
      <c r="B37" s="29">
        <v>150110</v>
      </c>
      <c r="C37" s="21" t="s">
        <v>16</v>
      </c>
      <c r="D37" s="30" t="s">
        <v>17</v>
      </c>
      <c r="E37" s="25" t="s">
        <v>214</v>
      </c>
      <c r="F37" s="26"/>
      <c r="G37" s="27"/>
      <c r="H37" s="26"/>
      <c r="I37" s="31">
        <v>140000</v>
      </c>
    </row>
    <row r="38" spans="1:9" ht="112.5">
      <c r="A38" s="28"/>
      <c r="B38" s="29">
        <v>150110</v>
      </c>
      <c r="C38" s="21" t="s">
        <v>16</v>
      </c>
      <c r="D38" s="30" t="s">
        <v>17</v>
      </c>
      <c r="E38" s="25" t="s">
        <v>236</v>
      </c>
      <c r="F38" s="26"/>
      <c r="G38" s="27"/>
      <c r="H38" s="26"/>
      <c r="I38" s="31">
        <v>16400</v>
      </c>
    </row>
    <row r="39" spans="1:9" ht="168.75">
      <c r="A39" s="28"/>
      <c r="B39" s="29">
        <v>150110</v>
      </c>
      <c r="C39" s="21" t="s">
        <v>16</v>
      </c>
      <c r="D39" s="30" t="s">
        <v>17</v>
      </c>
      <c r="E39" s="25" t="s">
        <v>237</v>
      </c>
      <c r="F39" s="26"/>
      <c r="G39" s="27"/>
      <c r="H39" s="26"/>
      <c r="I39" s="31">
        <v>8562</v>
      </c>
    </row>
    <row r="40" spans="1:9" ht="93.75">
      <c r="A40" s="28"/>
      <c r="B40" s="29">
        <v>150112</v>
      </c>
      <c r="C40" s="21" t="s">
        <v>18</v>
      </c>
      <c r="D40" s="30" t="s">
        <v>19</v>
      </c>
      <c r="E40" s="25" t="s">
        <v>206</v>
      </c>
      <c r="F40" s="26"/>
      <c r="G40" s="27"/>
      <c r="H40" s="26"/>
      <c r="I40" s="31">
        <f>30078-1060</f>
        <v>29018</v>
      </c>
    </row>
    <row r="41" spans="1:10" s="79" customFormat="1" ht="150">
      <c r="A41" s="28"/>
      <c r="B41" s="29">
        <v>150112</v>
      </c>
      <c r="C41" s="21" t="s">
        <v>18</v>
      </c>
      <c r="D41" s="30" t="s">
        <v>19</v>
      </c>
      <c r="E41" s="25" t="s">
        <v>186</v>
      </c>
      <c r="F41" s="26"/>
      <c r="G41" s="27"/>
      <c r="H41" s="26"/>
      <c r="I41" s="31">
        <f>23027+1077</f>
        <v>24104</v>
      </c>
      <c r="J41" s="76" t="s">
        <v>203</v>
      </c>
    </row>
    <row r="42" spans="1:9" ht="168.75">
      <c r="A42" s="28"/>
      <c r="B42" s="29">
        <v>150112</v>
      </c>
      <c r="C42" s="21" t="s">
        <v>18</v>
      </c>
      <c r="D42" s="30" t="s">
        <v>19</v>
      </c>
      <c r="E42" s="25" t="s">
        <v>215</v>
      </c>
      <c r="F42" s="26"/>
      <c r="G42" s="27"/>
      <c r="H42" s="26"/>
      <c r="I42" s="31">
        <v>175000</v>
      </c>
    </row>
    <row r="43" spans="1:10" ht="131.25">
      <c r="A43" s="28"/>
      <c r="B43" s="29">
        <v>150112</v>
      </c>
      <c r="C43" s="21" t="s">
        <v>18</v>
      </c>
      <c r="D43" s="30" t="s">
        <v>19</v>
      </c>
      <c r="E43" s="25" t="s">
        <v>216</v>
      </c>
      <c r="F43" s="26"/>
      <c r="G43" s="27"/>
      <c r="H43" s="26"/>
      <c r="I43" s="31">
        <v>200000</v>
      </c>
      <c r="J43" s="71"/>
    </row>
    <row r="44" spans="1:9" ht="131.25">
      <c r="A44" s="28"/>
      <c r="B44" s="29">
        <v>150112</v>
      </c>
      <c r="C44" s="21" t="s">
        <v>18</v>
      </c>
      <c r="D44" s="30" t="s">
        <v>19</v>
      </c>
      <c r="E44" s="25" t="s">
        <v>217</v>
      </c>
      <c r="F44" s="26"/>
      <c r="G44" s="27"/>
      <c r="H44" s="26"/>
      <c r="I44" s="84">
        <v>126696.97</v>
      </c>
    </row>
    <row r="45" spans="1:9" ht="131.25">
      <c r="A45" s="28"/>
      <c r="B45" s="29">
        <v>150112</v>
      </c>
      <c r="C45" s="21" t="s">
        <v>18</v>
      </c>
      <c r="D45" s="30" t="s">
        <v>19</v>
      </c>
      <c r="E45" s="25" t="s">
        <v>238</v>
      </c>
      <c r="F45" s="26"/>
      <c r="G45" s="27"/>
      <c r="H45" s="26"/>
      <c r="I45" s="84">
        <v>19140</v>
      </c>
    </row>
    <row r="46" spans="1:9" ht="37.5">
      <c r="A46" s="22">
        <v>1110</v>
      </c>
      <c r="B46" s="23"/>
      <c r="C46" s="23"/>
      <c r="D46" s="24" t="s">
        <v>235</v>
      </c>
      <c r="E46" s="33"/>
      <c r="F46" s="31"/>
      <c r="G46" s="32"/>
      <c r="H46" s="31"/>
      <c r="I46" s="26">
        <f>SUM(I47:I48)</f>
        <v>1167451</v>
      </c>
    </row>
    <row r="47" spans="1:9" ht="18.75">
      <c r="A47" s="28"/>
      <c r="B47" s="21" t="s">
        <v>77</v>
      </c>
      <c r="C47" s="21" t="s">
        <v>78</v>
      </c>
      <c r="D47" s="30" t="s">
        <v>79</v>
      </c>
      <c r="E47" s="25" t="s">
        <v>14</v>
      </c>
      <c r="F47" s="34"/>
      <c r="G47" s="35"/>
      <c r="H47" s="34"/>
      <c r="I47" s="31">
        <f>740000+377231</f>
        <v>1117231</v>
      </c>
    </row>
    <row r="48" spans="1:9" ht="37.5">
      <c r="A48" s="28"/>
      <c r="B48" s="21" t="s">
        <v>55</v>
      </c>
      <c r="C48" s="21" t="s">
        <v>78</v>
      </c>
      <c r="D48" s="30" t="s">
        <v>56</v>
      </c>
      <c r="E48" s="25" t="s">
        <v>14</v>
      </c>
      <c r="F48" s="34"/>
      <c r="G48" s="35"/>
      <c r="H48" s="34"/>
      <c r="I48" s="31">
        <f>50220</f>
        <v>50220</v>
      </c>
    </row>
    <row r="49" spans="1:9" ht="37.5">
      <c r="A49" s="22" t="s">
        <v>187</v>
      </c>
      <c r="B49" s="23"/>
      <c r="C49" s="23"/>
      <c r="D49" s="24" t="s">
        <v>235</v>
      </c>
      <c r="E49" s="37"/>
      <c r="F49" s="34"/>
      <c r="G49" s="35"/>
      <c r="H49" s="34"/>
      <c r="I49" s="26">
        <f>SUM(I50:I54)</f>
        <v>548000</v>
      </c>
    </row>
    <row r="50" spans="1:9" ht="18.75">
      <c r="A50" s="28"/>
      <c r="B50" s="21" t="s">
        <v>188</v>
      </c>
      <c r="C50" s="21" t="s">
        <v>90</v>
      </c>
      <c r="D50" s="30" t="s">
        <v>189</v>
      </c>
      <c r="E50" s="25" t="s">
        <v>14</v>
      </c>
      <c r="F50" s="34"/>
      <c r="G50" s="35"/>
      <c r="H50" s="34"/>
      <c r="I50" s="31">
        <f>100000</f>
        <v>100000</v>
      </c>
    </row>
    <row r="51" spans="1:9" ht="75">
      <c r="A51" s="28"/>
      <c r="B51" s="54">
        <v>180409</v>
      </c>
      <c r="C51" s="21" t="s">
        <v>21</v>
      </c>
      <c r="D51" s="30" t="s">
        <v>27</v>
      </c>
      <c r="E51" s="25" t="s">
        <v>142</v>
      </c>
      <c r="F51" s="34"/>
      <c r="G51" s="35"/>
      <c r="H51" s="34"/>
      <c r="I51" s="31">
        <v>300000</v>
      </c>
    </row>
    <row r="52" spans="1:9" ht="75">
      <c r="A52" s="28"/>
      <c r="B52" s="54">
        <v>180409</v>
      </c>
      <c r="C52" s="21" t="s">
        <v>21</v>
      </c>
      <c r="D52" s="30" t="s">
        <v>27</v>
      </c>
      <c r="E52" s="25" t="s">
        <v>170</v>
      </c>
      <c r="F52" s="34"/>
      <c r="G52" s="35"/>
      <c r="H52" s="34"/>
      <c r="I52" s="31">
        <v>35000</v>
      </c>
    </row>
    <row r="53" spans="1:10" ht="75">
      <c r="A53" s="28"/>
      <c r="B53" s="54">
        <v>180409</v>
      </c>
      <c r="C53" s="21" t="s">
        <v>21</v>
      </c>
      <c r="D53" s="30" t="s">
        <v>27</v>
      </c>
      <c r="E53" s="25" t="s">
        <v>239</v>
      </c>
      <c r="F53" s="34"/>
      <c r="G53" s="35"/>
      <c r="H53" s="34"/>
      <c r="I53" s="78">
        <v>20000</v>
      </c>
      <c r="J53" s="71"/>
    </row>
    <row r="54" spans="1:9" ht="75">
      <c r="A54" s="28"/>
      <c r="B54" s="54">
        <v>180409</v>
      </c>
      <c r="C54" s="21" t="s">
        <v>21</v>
      </c>
      <c r="D54" s="30" t="s">
        <v>27</v>
      </c>
      <c r="E54" s="25" t="s">
        <v>234</v>
      </c>
      <c r="F54" s="34"/>
      <c r="G54" s="35"/>
      <c r="H54" s="34"/>
      <c r="I54" s="78">
        <f>73000+10000+10000</f>
        <v>93000</v>
      </c>
    </row>
    <row r="55" spans="1:9" ht="37.5">
      <c r="A55" s="22">
        <v>11</v>
      </c>
      <c r="B55" s="23"/>
      <c r="C55" s="23"/>
      <c r="D55" s="24" t="s">
        <v>240</v>
      </c>
      <c r="E55" s="37"/>
      <c r="F55" s="34"/>
      <c r="G55" s="35"/>
      <c r="H55" s="34"/>
      <c r="I55" s="26">
        <f>SUM(I56:I56)</f>
        <v>140000</v>
      </c>
    </row>
    <row r="56" spans="1:9" ht="37.5">
      <c r="A56" s="28"/>
      <c r="B56" s="21" t="s">
        <v>55</v>
      </c>
      <c r="C56" s="21" t="s">
        <v>78</v>
      </c>
      <c r="D56" s="30" t="s">
        <v>56</v>
      </c>
      <c r="E56" s="25" t="s">
        <v>14</v>
      </c>
      <c r="F56" s="34"/>
      <c r="G56" s="35"/>
      <c r="H56" s="34"/>
      <c r="I56" s="31">
        <f>80000+250000+15220-155000-50220</f>
        <v>140000</v>
      </c>
    </row>
    <row r="57" spans="1:9" ht="37.5">
      <c r="A57" s="22" t="s">
        <v>20</v>
      </c>
      <c r="B57" s="23"/>
      <c r="C57" s="23"/>
      <c r="D57" s="24" t="s">
        <v>241</v>
      </c>
      <c r="E57" s="37"/>
      <c r="F57" s="34"/>
      <c r="G57" s="35"/>
      <c r="H57" s="34"/>
      <c r="I57" s="38">
        <f>SUM(I58:I59,I61:I64,I65:I75)</f>
        <v>8222740.029999999</v>
      </c>
    </row>
    <row r="58" spans="1:9" ht="18.75">
      <c r="A58" s="28"/>
      <c r="B58" s="29" t="s">
        <v>11</v>
      </c>
      <c r="C58" s="29" t="s">
        <v>12</v>
      </c>
      <c r="D58" s="30" t="s">
        <v>13</v>
      </c>
      <c r="E58" s="33" t="s">
        <v>14</v>
      </c>
      <c r="F58" s="31"/>
      <c r="G58" s="32"/>
      <c r="H58" s="31"/>
      <c r="I58" s="31">
        <v>33600</v>
      </c>
    </row>
    <row r="59" spans="1:9" ht="37.5">
      <c r="A59" s="28"/>
      <c r="B59" s="29" t="s">
        <v>80</v>
      </c>
      <c r="C59" s="29" t="s">
        <v>81</v>
      </c>
      <c r="D59" s="30" t="s">
        <v>82</v>
      </c>
      <c r="E59" s="25" t="s">
        <v>14</v>
      </c>
      <c r="F59" s="34"/>
      <c r="G59" s="35"/>
      <c r="H59" s="34"/>
      <c r="I59" s="31">
        <f>2890200+31800+87000+68830+50000-50000+755176-100473-22303</f>
        <v>3710230</v>
      </c>
    </row>
    <row r="60" spans="1:9" ht="37.5">
      <c r="A60" s="28"/>
      <c r="B60" s="29"/>
      <c r="C60" s="29"/>
      <c r="D60" s="30" t="s">
        <v>124</v>
      </c>
      <c r="E60" s="25"/>
      <c r="F60" s="34"/>
      <c r="G60" s="35"/>
      <c r="H60" s="34"/>
      <c r="I60" s="31">
        <v>1750200</v>
      </c>
    </row>
    <row r="61" spans="1:9" ht="18.75">
      <c r="A61" s="28"/>
      <c r="B61" s="21" t="s">
        <v>83</v>
      </c>
      <c r="C61" s="21" t="s">
        <v>84</v>
      </c>
      <c r="D61" s="30" t="s">
        <v>85</v>
      </c>
      <c r="E61" s="25" t="s">
        <v>14</v>
      </c>
      <c r="F61" s="34"/>
      <c r="G61" s="35"/>
      <c r="H61" s="34"/>
      <c r="I61" s="31">
        <f>1500000+500000+44800+45000+49998+24500+1302000-1295435-500000+65000+5000-822364</f>
        <v>918499</v>
      </c>
    </row>
    <row r="62" spans="1:9" ht="93.75" customHeight="1">
      <c r="A62" s="28"/>
      <c r="B62" s="21" t="s">
        <v>242</v>
      </c>
      <c r="C62" s="21" t="s">
        <v>204</v>
      </c>
      <c r="D62" s="30" t="s">
        <v>205</v>
      </c>
      <c r="E62" s="25" t="s">
        <v>14</v>
      </c>
      <c r="F62" s="34"/>
      <c r="G62" s="35"/>
      <c r="H62" s="34"/>
      <c r="I62" s="78">
        <f>1352000-1569+121600</f>
        <v>1472031</v>
      </c>
    </row>
    <row r="63" spans="1:9" ht="75">
      <c r="A63" s="28"/>
      <c r="B63" s="21" t="s">
        <v>218</v>
      </c>
      <c r="C63" s="21" t="s">
        <v>204</v>
      </c>
      <c r="D63" s="30" t="s">
        <v>219</v>
      </c>
      <c r="E63" s="25" t="s">
        <v>14</v>
      </c>
      <c r="F63" s="34"/>
      <c r="G63" s="35"/>
      <c r="H63" s="34"/>
      <c r="I63" s="78">
        <v>20000</v>
      </c>
    </row>
    <row r="64" spans="1:9" ht="93.75" customHeight="1">
      <c r="A64" s="28"/>
      <c r="B64" s="21" t="s">
        <v>220</v>
      </c>
      <c r="C64" s="21" t="s">
        <v>204</v>
      </c>
      <c r="D64" s="30" t="s">
        <v>221</v>
      </c>
      <c r="E64" s="25" t="s">
        <v>14</v>
      </c>
      <c r="F64" s="34"/>
      <c r="G64" s="35"/>
      <c r="H64" s="34"/>
      <c r="I64" s="78">
        <f>151800+20000</f>
        <v>171800</v>
      </c>
    </row>
    <row r="65" spans="1:10" ht="150">
      <c r="A65" s="28"/>
      <c r="B65" s="29">
        <v>150101</v>
      </c>
      <c r="C65" s="21" t="s">
        <v>21</v>
      </c>
      <c r="D65" s="30" t="s">
        <v>22</v>
      </c>
      <c r="E65" s="25" t="s">
        <v>160</v>
      </c>
      <c r="F65" s="34"/>
      <c r="G65" s="35"/>
      <c r="H65" s="34"/>
      <c r="I65" s="31">
        <f>64000+3000000-2853692.97</f>
        <v>210307.0299999998</v>
      </c>
      <c r="J65" s="71"/>
    </row>
    <row r="66" spans="1:10" ht="112.5">
      <c r="A66" s="28"/>
      <c r="B66" s="29">
        <v>150101</v>
      </c>
      <c r="C66" s="21" t="s">
        <v>21</v>
      </c>
      <c r="D66" s="30" t="s">
        <v>22</v>
      </c>
      <c r="E66" s="25" t="s">
        <v>23</v>
      </c>
      <c r="F66" s="34">
        <v>607687</v>
      </c>
      <c r="G66" s="35">
        <v>0.003</v>
      </c>
      <c r="H66" s="34">
        <v>0</v>
      </c>
      <c r="I66" s="31">
        <f>590507+150000-1911</f>
        <v>738596</v>
      </c>
      <c r="J66" s="71"/>
    </row>
    <row r="67" spans="1:10" ht="75">
      <c r="A67" s="28"/>
      <c r="B67" s="29">
        <v>150101</v>
      </c>
      <c r="C67" s="21" t="s">
        <v>21</v>
      </c>
      <c r="D67" s="30" t="s">
        <v>22</v>
      </c>
      <c r="E67" s="25" t="s">
        <v>243</v>
      </c>
      <c r="F67" s="34"/>
      <c r="G67" s="35"/>
      <c r="H67" s="34"/>
      <c r="I67" s="31">
        <f>383000-40823</f>
        <v>342177</v>
      </c>
      <c r="J67" s="71"/>
    </row>
    <row r="68" spans="1:10" ht="206.25">
      <c r="A68" s="28"/>
      <c r="B68" s="29">
        <v>150101</v>
      </c>
      <c r="C68" s="21" t="s">
        <v>21</v>
      </c>
      <c r="D68" s="30" t="s">
        <v>22</v>
      </c>
      <c r="E68" s="25" t="s">
        <v>222</v>
      </c>
      <c r="F68" s="34"/>
      <c r="G68" s="35"/>
      <c r="H68" s="34"/>
      <c r="I68" s="31">
        <f>125000+132500</f>
        <v>257500</v>
      </c>
      <c r="J68" s="72"/>
    </row>
    <row r="69" spans="1:9" ht="93.75">
      <c r="A69" s="28"/>
      <c r="B69" s="29">
        <v>150101</v>
      </c>
      <c r="C69" s="21" t="s">
        <v>21</v>
      </c>
      <c r="D69" s="30" t="s">
        <v>22</v>
      </c>
      <c r="E69" s="25" t="s">
        <v>270</v>
      </c>
      <c r="F69" s="34"/>
      <c r="G69" s="35"/>
      <c r="H69" s="34"/>
      <c r="I69" s="31">
        <f>135000-75000</f>
        <v>60000</v>
      </c>
    </row>
    <row r="70" spans="1:9" ht="93.75">
      <c r="A70" s="28"/>
      <c r="B70" s="29">
        <v>150101</v>
      </c>
      <c r="C70" s="21" t="s">
        <v>21</v>
      </c>
      <c r="D70" s="30" t="s">
        <v>22</v>
      </c>
      <c r="E70" s="25" t="s">
        <v>223</v>
      </c>
      <c r="F70" s="34"/>
      <c r="G70" s="35"/>
      <c r="H70" s="34"/>
      <c r="I70" s="31">
        <v>160000</v>
      </c>
    </row>
    <row r="71" spans="1:9" ht="93.75">
      <c r="A71" s="28"/>
      <c r="B71" s="29">
        <v>150101</v>
      </c>
      <c r="C71" s="21" t="s">
        <v>21</v>
      </c>
      <c r="D71" s="30" t="s">
        <v>22</v>
      </c>
      <c r="E71" s="25" t="s">
        <v>224</v>
      </c>
      <c r="F71" s="34"/>
      <c r="G71" s="35"/>
      <c r="H71" s="34"/>
      <c r="I71" s="31">
        <v>15000</v>
      </c>
    </row>
    <row r="72" spans="1:9" ht="112.5">
      <c r="A72" s="28"/>
      <c r="B72" s="29">
        <v>150101</v>
      </c>
      <c r="C72" s="21" t="s">
        <v>21</v>
      </c>
      <c r="D72" s="30" t="s">
        <v>22</v>
      </c>
      <c r="E72" s="25" t="s">
        <v>225</v>
      </c>
      <c r="F72" s="34"/>
      <c r="G72" s="35"/>
      <c r="H72" s="34"/>
      <c r="I72" s="31">
        <v>76000</v>
      </c>
    </row>
    <row r="73" spans="1:9" ht="131.25">
      <c r="A73" s="28"/>
      <c r="B73" s="29">
        <v>150101</v>
      </c>
      <c r="C73" s="21" t="s">
        <v>21</v>
      </c>
      <c r="D73" s="30" t="s">
        <v>22</v>
      </c>
      <c r="E73" s="25" t="s">
        <v>244</v>
      </c>
      <c r="F73" s="34"/>
      <c r="G73" s="35"/>
      <c r="H73" s="34"/>
      <c r="I73" s="31">
        <v>7000</v>
      </c>
    </row>
    <row r="74" spans="1:9" ht="150">
      <c r="A74" s="28"/>
      <c r="B74" s="29">
        <v>150101</v>
      </c>
      <c r="C74" s="21" t="s">
        <v>21</v>
      </c>
      <c r="D74" s="30" t="s">
        <v>22</v>
      </c>
      <c r="E74" s="25" t="s">
        <v>245</v>
      </c>
      <c r="F74" s="34"/>
      <c r="G74" s="35"/>
      <c r="H74" s="34"/>
      <c r="I74" s="31">
        <v>15000</v>
      </c>
    </row>
    <row r="75" spans="1:9" ht="168.75">
      <c r="A75" s="28"/>
      <c r="B75" s="21" t="s">
        <v>226</v>
      </c>
      <c r="C75" s="21" t="s">
        <v>21</v>
      </c>
      <c r="D75" s="30" t="s">
        <v>227</v>
      </c>
      <c r="E75" s="25" t="s">
        <v>246</v>
      </c>
      <c r="F75" s="34"/>
      <c r="G75" s="35"/>
      <c r="H75" s="34"/>
      <c r="I75" s="31">
        <v>15000</v>
      </c>
    </row>
    <row r="76" spans="1:9" ht="77.25">
      <c r="A76" s="22">
        <v>15</v>
      </c>
      <c r="B76" s="23"/>
      <c r="C76" s="23"/>
      <c r="D76" s="36" t="s">
        <v>167</v>
      </c>
      <c r="E76" s="37"/>
      <c r="F76" s="34"/>
      <c r="G76" s="35"/>
      <c r="H76" s="34"/>
      <c r="I76" s="38">
        <f>SUM(I77:I77)</f>
        <v>200000</v>
      </c>
    </row>
    <row r="77" spans="1:9" ht="281.25">
      <c r="A77" s="28"/>
      <c r="B77" s="21" t="s">
        <v>24</v>
      </c>
      <c r="C77" s="29" t="s">
        <v>25</v>
      </c>
      <c r="D77" s="30" t="s">
        <v>26</v>
      </c>
      <c r="E77" s="25" t="s">
        <v>14</v>
      </c>
      <c r="F77" s="34"/>
      <c r="G77" s="35"/>
      <c r="H77" s="34"/>
      <c r="I77" s="84">
        <f>200000-200000+200000</f>
        <v>200000</v>
      </c>
    </row>
    <row r="78" spans="1:9" ht="77.25">
      <c r="A78" s="22">
        <v>1501</v>
      </c>
      <c r="B78" s="23"/>
      <c r="C78" s="23"/>
      <c r="D78" s="36" t="s">
        <v>168</v>
      </c>
      <c r="E78" s="33"/>
      <c r="F78" s="31"/>
      <c r="G78" s="32"/>
      <c r="H78" s="31"/>
      <c r="I78" s="26">
        <f>SUM(I79)</f>
        <v>7199</v>
      </c>
    </row>
    <row r="79" spans="1:9" s="74" customFormat="1" ht="37.5">
      <c r="A79" s="28"/>
      <c r="B79" s="21" t="s">
        <v>137</v>
      </c>
      <c r="C79" s="21" t="s">
        <v>25</v>
      </c>
      <c r="D79" s="30" t="s">
        <v>138</v>
      </c>
      <c r="E79" s="25" t="s">
        <v>14</v>
      </c>
      <c r="F79" s="34"/>
      <c r="G79" s="35"/>
      <c r="H79" s="34"/>
      <c r="I79" s="31">
        <v>7199</v>
      </c>
    </row>
    <row r="80" spans="1:9" ht="56.25">
      <c r="A80" s="22">
        <v>1502</v>
      </c>
      <c r="B80" s="23"/>
      <c r="C80" s="23"/>
      <c r="D80" s="24" t="s">
        <v>247</v>
      </c>
      <c r="E80" s="33"/>
      <c r="F80" s="31"/>
      <c r="G80" s="32"/>
      <c r="H80" s="31"/>
      <c r="I80" s="77">
        <f>SUM(I81:I82)</f>
        <v>283199</v>
      </c>
    </row>
    <row r="81" spans="1:9" ht="18.75">
      <c r="A81" s="28"/>
      <c r="B81" s="29" t="s">
        <v>11</v>
      </c>
      <c r="C81" s="29" t="s">
        <v>12</v>
      </c>
      <c r="D81" s="30" t="s">
        <v>13</v>
      </c>
      <c r="E81" s="25" t="s">
        <v>14</v>
      </c>
      <c r="F81" s="34"/>
      <c r="G81" s="35"/>
      <c r="H81" s="34"/>
      <c r="I81" s="31">
        <v>275000</v>
      </c>
    </row>
    <row r="82" spans="1:9" ht="37.5">
      <c r="A82" s="28"/>
      <c r="B82" s="21" t="s">
        <v>137</v>
      </c>
      <c r="C82" s="21" t="s">
        <v>25</v>
      </c>
      <c r="D82" s="30" t="s">
        <v>138</v>
      </c>
      <c r="E82" s="25" t="s">
        <v>14</v>
      </c>
      <c r="F82" s="34"/>
      <c r="G82" s="35"/>
      <c r="H82" s="34"/>
      <c r="I82" s="31">
        <v>8199</v>
      </c>
    </row>
    <row r="83" spans="1:9" ht="18.75">
      <c r="A83" s="22" t="s">
        <v>87</v>
      </c>
      <c r="B83" s="23"/>
      <c r="C83" s="23"/>
      <c r="D83" s="24" t="s">
        <v>248</v>
      </c>
      <c r="E83" s="37"/>
      <c r="F83" s="34"/>
      <c r="G83" s="35"/>
      <c r="H83" s="34"/>
      <c r="I83" s="26">
        <f>SUM(I84:I86)</f>
        <v>507835</v>
      </c>
    </row>
    <row r="84" spans="1:9" ht="18.75">
      <c r="A84" s="28"/>
      <c r="B84" s="29" t="s">
        <v>11</v>
      </c>
      <c r="C84" s="29" t="s">
        <v>12</v>
      </c>
      <c r="D84" s="30" t="s">
        <v>13</v>
      </c>
      <c r="E84" s="25" t="s">
        <v>14</v>
      </c>
      <c r="F84" s="34"/>
      <c r="G84" s="35"/>
      <c r="H84" s="34"/>
      <c r="I84" s="31">
        <f>12000-12000</f>
        <v>0</v>
      </c>
    </row>
    <row r="85" spans="1:9" ht="56.25">
      <c r="A85" s="28"/>
      <c r="B85" s="21" t="s">
        <v>139</v>
      </c>
      <c r="C85" s="21" t="s">
        <v>140</v>
      </c>
      <c r="D85" s="30" t="s">
        <v>141</v>
      </c>
      <c r="E85" s="25" t="s">
        <v>14</v>
      </c>
      <c r="F85" s="34"/>
      <c r="G85" s="35"/>
      <c r="H85" s="34"/>
      <c r="I85" s="31">
        <f>4000-4000+7835</f>
        <v>7835</v>
      </c>
    </row>
    <row r="86" spans="1:9" ht="18.75">
      <c r="A86" s="81"/>
      <c r="B86" s="82" t="s">
        <v>208</v>
      </c>
      <c r="C86" s="82" t="s">
        <v>140</v>
      </c>
      <c r="D86" s="83" t="s">
        <v>209</v>
      </c>
      <c r="E86" s="80" t="s">
        <v>14</v>
      </c>
      <c r="F86" s="34"/>
      <c r="G86" s="35"/>
      <c r="H86" s="34"/>
      <c r="I86" s="78">
        <v>500000</v>
      </c>
    </row>
    <row r="87" spans="1:9" ht="18.75">
      <c r="A87" s="22" t="s">
        <v>88</v>
      </c>
      <c r="B87" s="23"/>
      <c r="C87" s="23"/>
      <c r="D87" s="24" t="s">
        <v>249</v>
      </c>
      <c r="E87" s="37"/>
      <c r="F87" s="34"/>
      <c r="G87" s="35"/>
      <c r="H87" s="34"/>
      <c r="I87" s="26">
        <f>SUM(I88:I89)</f>
        <v>163000</v>
      </c>
    </row>
    <row r="88" spans="1:9" ht="37.5" customHeight="1">
      <c r="A88" s="28"/>
      <c r="B88" s="21" t="s">
        <v>89</v>
      </c>
      <c r="C88" s="21" t="s">
        <v>90</v>
      </c>
      <c r="D88" s="30" t="s">
        <v>91</v>
      </c>
      <c r="E88" s="25" t="s">
        <v>14</v>
      </c>
      <c r="F88" s="34"/>
      <c r="G88" s="35"/>
      <c r="H88" s="34"/>
      <c r="I88" s="31">
        <f>100000+3000</f>
        <v>103000</v>
      </c>
    </row>
    <row r="89" spans="1:9" ht="75">
      <c r="A89" s="28"/>
      <c r="B89" s="54">
        <v>180409</v>
      </c>
      <c r="C89" s="21" t="s">
        <v>21</v>
      </c>
      <c r="D89" s="30" t="s">
        <v>27</v>
      </c>
      <c r="E89" s="25" t="s">
        <v>143</v>
      </c>
      <c r="F89" s="34"/>
      <c r="G89" s="35"/>
      <c r="H89" s="34"/>
      <c r="I89" s="31">
        <v>60000</v>
      </c>
    </row>
    <row r="90" spans="1:9" ht="37.5">
      <c r="A90" s="22" t="s">
        <v>93</v>
      </c>
      <c r="B90" s="23"/>
      <c r="C90" s="23"/>
      <c r="D90" s="24" t="s">
        <v>250</v>
      </c>
      <c r="E90" s="37"/>
      <c r="F90" s="34"/>
      <c r="G90" s="35"/>
      <c r="H90" s="34"/>
      <c r="I90" s="26">
        <f>SUM(I91)</f>
        <v>1780000</v>
      </c>
    </row>
    <row r="91" spans="1:10" ht="18.75">
      <c r="A91" s="28"/>
      <c r="B91" s="29" t="s">
        <v>11</v>
      </c>
      <c r="C91" s="29" t="s">
        <v>12</v>
      </c>
      <c r="D91" s="30" t="s">
        <v>13</v>
      </c>
      <c r="E91" s="25" t="s">
        <v>14</v>
      </c>
      <c r="F91" s="34"/>
      <c r="G91" s="35"/>
      <c r="H91" s="34"/>
      <c r="I91" s="31">
        <f>1270000-40000-50000+600000</f>
        <v>1780000</v>
      </c>
      <c r="J91" s="71"/>
    </row>
    <row r="92" spans="1:10" ht="56.25">
      <c r="A92" s="22" t="s">
        <v>94</v>
      </c>
      <c r="B92" s="23"/>
      <c r="C92" s="23"/>
      <c r="D92" s="24" t="s">
        <v>251</v>
      </c>
      <c r="E92" s="37"/>
      <c r="F92" s="34"/>
      <c r="G92" s="35"/>
      <c r="H92" s="34"/>
      <c r="I92" s="26">
        <f>SUM(I93:I96,)</f>
        <v>1130000</v>
      </c>
      <c r="J92" s="71"/>
    </row>
    <row r="93" spans="1:9" ht="18.75">
      <c r="A93" s="28"/>
      <c r="B93" s="29" t="s">
        <v>11</v>
      </c>
      <c r="C93" s="29" t="s">
        <v>12</v>
      </c>
      <c r="D93" s="30" t="s">
        <v>13</v>
      </c>
      <c r="E93" s="25" t="s">
        <v>14</v>
      </c>
      <c r="F93" s="34"/>
      <c r="G93" s="35"/>
      <c r="H93" s="34"/>
      <c r="I93" s="31">
        <v>36000</v>
      </c>
    </row>
    <row r="94" spans="1:9" ht="37.5">
      <c r="A94" s="28"/>
      <c r="B94" s="21" t="s">
        <v>95</v>
      </c>
      <c r="C94" s="21" t="s">
        <v>96</v>
      </c>
      <c r="D94" s="30" t="s">
        <v>97</v>
      </c>
      <c r="E94" s="25" t="s">
        <v>98</v>
      </c>
      <c r="F94" s="34"/>
      <c r="G94" s="35"/>
      <c r="H94" s="34"/>
      <c r="I94" s="31">
        <v>900000</v>
      </c>
    </row>
    <row r="95" spans="1:9" ht="112.5">
      <c r="A95" s="28"/>
      <c r="B95" s="29" t="s">
        <v>99</v>
      </c>
      <c r="C95" s="29" t="s">
        <v>100</v>
      </c>
      <c r="D95" s="30" t="s">
        <v>101</v>
      </c>
      <c r="E95" s="25" t="s">
        <v>102</v>
      </c>
      <c r="F95" s="34"/>
      <c r="G95" s="35"/>
      <c r="H95" s="34"/>
      <c r="I95" s="31">
        <v>94000</v>
      </c>
    </row>
    <row r="96" spans="1:9" ht="93.75">
      <c r="A96" s="28"/>
      <c r="B96" s="21" t="s">
        <v>103</v>
      </c>
      <c r="C96" s="21" t="s">
        <v>21</v>
      </c>
      <c r="D96" s="30" t="s">
        <v>104</v>
      </c>
      <c r="E96" s="25" t="s">
        <v>105</v>
      </c>
      <c r="F96" s="34"/>
      <c r="G96" s="35"/>
      <c r="H96" s="34"/>
      <c r="I96" s="31">
        <f>50000+50000</f>
        <v>100000</v>
      </c>
    </row>
    <row r="97" spans="1:9" ht="75" customHeight="1">
      <c r="A97" s="22" t="s">
        <v>28</v>
      </c>
      <c r="B97" s="23"/>
      <c r="C97" s="23"/>
      <c r="D97" s="24" t="s">
        <v>252</v>
      </c>
      <c r="E97" s="37"/>
      <c r="F97" s="34"/>
      <c r="G97" s="35"/>
      <c r="H97" s="34"/>
      <c r="I97" s="38">
        <f>SUM(I98,I99,I100,I101,I103,I105,I106:I137,I147,I148,I149,I152,I153:I172,I173:I175,I177:I181,I139,I141:I146,I150:I151)</f>
        <v>101893209</v>
      </c>
    </row>
    <row r="98" spans="1:9" ht="18.75">
      <c r="A98" s="28"/>
      <c r="B98" s="29" t="s">
        <v>11</v>
      </c>
      <c r="C98" s="29" t="s">
        <v>12</v>
      </c>
      <c r="D98" s="30" t="s">
        <v>13</v>
      </c>
      <c r="E98" s="25" t="s">
        <v>14</v>
      </c>
      <c r="F98" s="34"/>
      <c r="G98" s="35"/>
      <c r="H98" s="34"/>
      <c r="I98" s="31">
        <f>800000+1000000+300000-1300000-120000-180000-52831+129306</f>
        <v>576475</v>
      </c>
    </row>
    <row r="99" spans="1:9" ht="18.75">
      <c r="A99" s="28"/>
      <c r="B99" s="29" t="s">
        <v>106</v>
      </c>
      <c r="C99" s="29" t="s">
        <v>107</v>
      </c>
      <c r="D99" s="30" t="s">
        <v>108</v>
      </c>
      <c r="E99" s="25" t="s">
        <v>14</v>
      </c>
      <c r="F99" s="34"/>
      <c r="G99" s="35"/>
      <c r="H99" s="34"/>
      <c r="I99" s="31">
        <f>800000+200000+1000000+51485+28250+200000+280850-573000+200000+115000-45000+13705+45900-44776</f>
        <v>2272414</v>
      </c>
    </row>
    <row r="100" spans="1:9" ht="37.5">
      <c r="A100" s="28"/>
      <c r="B100" s="29">
        <v>100102</v>
      </c>
      <c r="C100" s="21" t="s">
        <v>107</v>
      </c>
      <c r="D100" s="30" t="s">
        <v>109</v>
      </c>
      <c r="E100" s="25" t="s">
        <v>14</v>
      </c>
      <c r="F100" s="34"/>
      <c r="G100" s="35"/>
      <c r="H100" s="34"/>
      <c r="I100" s="31">
        <f>9165000+200000+850000-400000-1350000+800000-25000-70000+310000-58000</f>
        <v>9422000</v>
      </c>
    </row>
    <row r="101" spans="1:9" ht="18.75">
      <c r="A101" s="28"/>
      <c r="B101" s="21" t="s">
        <v>110</v>
      </c>
      <c r="C101" s="21" t="s">
        <v>29</v>
      </c>
      <c r="D101" s="30" t="s">
        <v>111</v>
      </c>
      <c r="E101" s="25" t="s">
        <v>14</v>
      </c>
      <c r="F101" s="34"/>
      <c r="G101" s="35"/>
      <c r="H101" s="34"/>
      <c r="I101" s="31">
        <f>5000000+43400+1302</f>
        <v>5044702</v>
      </c>
    </row>
    <row r="102" spans="1:9" ht="75">
      <c r="A102" s="28"/>
      <c r="B102" s="21"/>
      <c r="C102" s="21" t="s">
        <v>29</v>
      </c>
      <c r="D102" s="30" t="s">
        <v>202</v>
      </c>
      <c r="E102" s="25"/>
      <c r="F102" s="34"/>
      <c r="G102" s="35"/>
      <c r="H102" s="34"/>
      <c r="I102" s="78">
        <v>43400</v>
      </c>
    </row>
    <row r="103" spans="1:9" ht="18.75">
      <c r="A103" s="28"/>
      <c r="B103" s="29" t="s">
        <v>30</v>
      </c>
      <c r="C103" s="29" t="s">
        <v>29</v>
      </c>
      <c r="D103" s="30" t="s">
        <v>31</v>
      </c>
      <c r="E103" s="25" t="s">
        <v>14</v>
      </c>
      <c r="F103" s="34"/>
      <c r="G103" s="35"/>
      <c r="H103" s="34"/>
      <c r="I103" s="31">
        <f>1706000+6733250-200000-30000-800000+726750-49507+200000-65000+165000-103200+37000-136168-199000+49500-477900-200000+573000+499000+440000+15000+110000-200000+85886+9750+50000-77719</f>
        <v>8861642</v>
      </c>
    </row>
    <row r="104" spans="1:9" ht="75" customHeight="1">
      <c r="A104" s="28"/>
      <c r="B104" s="21"/>
      <c r="C104" s="21" t="s">
        <v>29</v>
      </c>
      <c r="D104" s="30" t="s">
        <v>202</v>
      </c>
      <c r="E104" s="25"/>
      <c r="F104" s="34"/>
      <c r="G104" s="35"/>
      <c r="H104" s="34"/>
      <c r="I104" s="78">
        <v>440000</v>
      </c>
    </row>
    <row r="105" spans="1:9" ht="75">
      <c r="A105" s="28"/>
      <c r="B105" s="21" t="s">
        <v>190</v>
      </c>
      <c r="C105" s="29" t="s">
        <v>29</v>
      </c>
      <c r="D105" s="30" t="s">
        <v>191</v>
      </c>
      <c r="E105" s="25" t="s">
        <v>14</v>
      </c>
      <c r="F105" s="34"/>
      <c r="G105" s="35"/>
      <c r="H105" s="34"/>
      <c r="I105" s="31">
        <v>13300</v>
      </c>
    </row>
    <row r="106" spans="1:9" ht="112.5">
      <c r="A106" s="28"/>
      <c r="B106" s="29">
        <v>150101</v>
      </c>
      <c r="C106" s="21" t="s">
        <v>21</v>
      </c>
      <c r="D106" s="30" t="s">
        <v>22</v>
      </c>
      <c r="E106" s="25" t="s">
        <v>49</v>
      </c>
      <c r="F106" s="34"/>
      <c r="G106" s="35"/>
      <c r="H106" s="34"/>
      <c r="I106" s="31">
        <f>100000+56118</f>
        <v>156118</v>
      </c>
    </row>
    <row r="107" spans="1:9" ht="93.75">
      <c r="A107" s="28"/>
      <c r="B107" s="29">
        <v>150101</v>
      </c>
      <c r="C107" s="21" t="s">
        <v>21</v>
      </c>
      <c r="D107" s="30" t="s">
        <v>22</v>
      </c>
      <c r="E107" s="25" t="s">
        <v>253</v>
      </c>
      <c r="F107" s="34">
        <v>168016</v>
      </c>
      <c r="G107" s="35">
        <v>0.018</v>
      </c>
      <c r="H107" s="34">
        <v>0</v>
      </c>
      <c r="I107" s="31">
        <v>28000</v>
      </c>
    </row>
    <row r="108" spans="1:9" ht="93.75">
      <c r="A108" s="28"/>
      <c r="B108" s="29">
        <v>150101</v>
      </c>
      <c r="C108" s="21" t="s">
        <v>21</v>
      </c>
      <c r="D108" s="30" t="s">
        <v>22</v>
      </c>
      <c r="E108" s="25" t="s">
        <v>254</v>
      </c>
      <c r="F108" s="34">
        <v>168016</v>
      </c>
      <c r="G108" s="35">
        <v>0.018</v>
      </c>
      <c r="H108" s="34">
        <v>0</v>
      </c>
      <c r="I108" s="31">
        <v>7000</v>
      </c>
    </row>
    <row r="109" spans="1:9" ht="93.75" customHeight="1">
      <c r="A109" s="28"/>
      <c r="B109" s="29">
        <v>150101</v>
      </c>
      <c r="C109" s="21" t="s">
        <v>21</v>
      </c>
      <c r="D109" s="30" t="s">
        <v>22</v>
      </c>
      <c r="E109" s="25" t="s">
        <v>50</v>
      </c>
      <c r="F109" s="34">
        <v>168016</v>
      </c>
      <c r="G109" s="35">
        <v>0.018</v>
      </c>
      <c r="H109" s="34">
        <v>0</v>
      </c>
      <c r="I109" s="31">
        <f>165000+202955-141677</f>
        <v>226278</v>
      </c>
    </row>
    <row r="110" spans="1:9" ht="112.5">
      <c r="A110" s="28"/>
      <c r="B110" s="29">
        <v>150101</v>
      </c>
      <c r="C110" s="21" t="s">
        <v>21</v>
      </c>
      <c r="D110" s="30" t="s">
        <v>22</v>
      </c>
      <c r="E110" s="25" t="s">
        <v>51</v>
      </c>
      <c r="F110" s="34">
        <v>198130</v>
      </c>
      <c r="G110" s="35">
        <v>0.016</v>
      </c>
      <c r="H110" s="34">
        <v>0</v>
      </c>
      <c r="I110" s="31">
        <f>195000+66564</f>
        <v>261564</v>
      </c>
    </row>
    <row r="111" spans="1:9" ht="112.5">
      <c r="A111" s="28"/>
      <c r="B111" s="29">
        <v>150101</v>
      </c>
      <c r="C111" s="21" t="s">
        <v>21</v>
      </c>
      <c r="D111" s="30" t="s">
        <v>22</v>
      </c>
      <c r="E111" s="25" t="s">
        <v>52</v>
      </c>
      <c r="F111" s="34">
        <v>167929</v>
      </c>
      <c r="G111" s="35">
        <v>0.017</v>
      </c>
      <c r="H111" s="34">
        <v>0</v>
      </c>
      <c r="I111" s="31">
        <f>165000+43691</f>
        <v>208691</v>
      </c>
    </row>
    <row r="112" spans="1:9" ht="93.75">
      <c r="A112" s="28"/>
      <c r="B112" s="29">
        <v>150101</v>
      </c>
      <c r="C112" s="21" t="s">
        <v>21</v>
      </c>
      <c r="D112" s="30" t="s">
        <v>22</v>
      </c>
      <c r="E112" s="25" t="s">
        <v>32</v>
      </c>
      <c r="F112" s="34">
        <v>288130</v>
      </c>
      <c r="G112" s="35">
        <v>0.011</v>
      </c>
      <c r="H112" s="34">
        <v>0</v>
      </c>
      <c r="I112" s="31">
        <f>285000+31422-35000</f>
        <v>281422</v>
      </c>
    </row>
    <row r="113" spans="1:9" ht="112.5">
      <c r="A113" s="28"/>
      <c r="B113" s="29">
        <v>150101</v>
      </c>
      <c r="C113" s="21" t="s">
        <v>21</v>
      </c>
      <c r="D113" s="30" t="s">
        <v>22</v>
      </c>
      <c r="E113" s="25" t="s">
        <v>33</v>
      </c>
      <c r="F113" s="34">
        <v>584049</v>
      </c>
      <c r="G113" s="35">
        <v>0.412</v>
      </c>
      <c r="H113" s="34">
        <v>0</v>
      </c>
      <c r="I113" s="31">
        <v>343237</v>
      </c>
    </row>
    <row r="114" spans="1:9" ht="75" customHeight="1">
      <c r="A114" s="28"/>
      <c r="B114" s="29">
        <v>150101</v>
      </c>
      <c r="C114" s="21" t="s">
        <v>21</v>
      </c>
      <c r="D114" s="30" t="s">
        <v>22</v>
      </c>
      <c r="E114" s="25" t="s">
        <v>48</v>
      </c>
      <c r="F114" s="52"/>
      <c r="G114" s="53"/>
      <c r="H114" s="52"/>
      <c r="I114" s="31">
        <v>65000</v>
      </c>
    </row>
    <row r="115" spans="1:9" ht="75">
      <c r="A115" s="28"/>
      <c r="B115" s="29">
        <v>150101</v>
      </c>
      <c r="C115" s="21" t="s">
        <v>21</v>
      </c>
      <c r="D115" s="30" t="s">
        <v>22</v>
      </c>
      <c r="E115" s="25" t="s">
        <v>173</v>
      </c>
      <c r="F115" s="52"/>
      <c r="G115" s="53"/>
      <c r="H115" s="52"/>
      <c r="I115" s="31">
        <f>750000-709886</f>
        <v>40114</v>
      </c>
    </row>
    <row r="116" spans="1:9" ht="75">
      <c r="A116" s="28"/>
      <c r="B116" s="29">
        <v>150101</v>
      </c>
      <c r="C116" s="21" t="s">
        <v>21</v>
      </c>
      <c r="D116" s="30" t="s">
        <v>22</v>
      </c>
      <c r="E116" s="25" t="s">
        <v>125</v>
      </c>
      <c r="F116" s="52"/>
      <c r="G116" s="53"/>
      <c r="H116" s="52"/>
      <c r="I116" s="31">
        <f>750000+110000</f>
        <v>860000</v>
      </c>
    </row>
    <row r="117" spans="1:9" ht="56.25">
      <c r="A117" s="28"/>
      <c r="B117" s="29">
        <v>150101</v>
      </c>
      <c r="C117" s="21" t="s">
        <v>21</v>
      </c>
      <c r="D117" s="30" t="s">
        <v>22</v>
      </c>
      <c r="E117" s="25" t="s">
        <v>126</v>
      </c>
      <c r="F117" s="52"/>
      <c r="G117" s="53"/>
      <c r="H117" s="52"/>
      <c r="I117" s="31">
        <f>500000-444000</f>
        <v>56000</v>
      </c>
    </row>
    <row r="118" spans="1:9" ht="75">
      <c r="A118" s="28"/>
      <c r="B118" s="29">
        <v>150101</v>
      </c>
      <c r="C118" s="21" t="s">
        <v>21</v>
      </c>
      <c r="D118" s="30" t="s">
        <v>22</v>
      </c>
      <c r="E118" s="25" t="s">
        <v>207</v>
      </c>
      <c r="F118" s="52"/>
      <c r="G118" s="53"/>
      <c r="H118" s="52"/>
      <c r="I118" s="31">
        <f>400000+200000</f>
        <v>600000</v>
      </c>
    </row>
    <row r="119" spans="1:9" ht="37.5">
      <c r="A119" s="28"/>
      <c r="B119" s="29">
        <v>150101</v>
      </c>
      <c r="C119" s="21" t="s">
        <v>21</v>
      </c>
      <c r="D119" s="30" t="s">
        <v>22</v>
      </c>
      <c r="E119" s="25" t="s">
        <v>228</v>
      </c>
      <c r="F119" s="52"/>
      <c r="G119" s="53"/>
      <c r="H119" s="52"/>
      <c r="I119" s="31">
        <f>600000-240000-156764-22000</f>
        <v>181236</v>
      </c>
    </row>
    <row r="120" spans="1:9" ht="75">
      <c r="A120" s="28"/>
      <c r="B120" s="21" t="s">
        <v>174</v>
      </c>
      <c r="C120" s="21" t="s">
        <v>175</v>
      </c>
      <c r="D120" s="30" t="s">
        <v>22</v>
      </c>
      <c r="E120" s="25" t="s">
        <v>176</v>
      </c>
      <c r="F120" s="52"/>
      <c r="G120" s="53"/>
      <c r="H120" s="52"/>
      <c r="I120" s="31">
        <f>240000</f>
        <v>240000</v>
      </c>
    </row>
    <row r="121" spans="1:9" ht="56.25">
      <c r="A121" s="28"/>
      <c r="B121" s="29">
        <v>150101</v>
      </c>
      <c r="C121" s="21" t="s">
        <v>21</v>
      </c>
      <c r="D121" s="30" t="s">
        <v>22</v>
      </c>
      <c r="E121" s="25" t="s">
        <v>255</v>
      </c>
      <c r="F121" s="52"/>
      <c r="G121" s="53"/>
      <c r="H121" s="52"/>
      <c r="I121" s="31">
        <v>5000000</v>
      </c>
    </row>
    <row r="122" spans="1:9" ht="75">
      <c r="A122" s="28"/>
      <c r="B122" s="29">
        <v>150101</v>
      </c>
      <c r="C122" s="21" t="s">
        <v>21</v>
      </c>
      <c r="D122" s="30" t="s">
        <v>22</v>
      </c>
      <c r="E122" s="25" t="s">
        <v>169</v>
      </c>
      <c r="F122" s="52"/>
      <c r="G122" s="53"/>
      <c r="H122" s="52"/>
      <c r="I122" s="31">
        <f>180000+23708-120000</f>
        <v>83708</v>
      </c>
    </row>
    <row r="123" spans="1:9" ht="56.25">
      <c r="A123" s="28"/>
      <c r="B123" s="29">
        <v>150101</v>
      </c>
      <c r="C123" s="21" t="s">
        <v>21</v>
      </c>
      <c r="D123" s="30" t="s">
        <v>22</v>
      </c>
      <c r="E123" s="25" t="s">
        <v>271</v>
      </c>
      <c r="F123" s="52"/>
      <c r="G123" s="53"/>
      <c r="H123" s="52"/>
      <c r="I123" s="31">
        <f>15000</f>
        <v>15000</v>
      </c>
    </row>
    <row r="124" spans="1:9" ht="56.25">
      <c r="A124" s="28"/>
      <c r="B124" s="29">
        <v>150101</v>
      </c>
      <c r="C124" s="21" t="s">
        <v>21</v>
      </c>
      <c r="D124" s="30" t="s">
        <v>22</v>
      </c>
      <c r="E124" s="25" t="s">
        <v>272</v>
      </c>
      <c r="F124" s="52"/>
      <c r="G124" s="53"/>
      <c r="H124" s="52"/>
      <c r="I124" s="31">
        <f>15000</f>
        <v>15000</v>
      </c>
    </row>
    <row r="125" spans="1:9" ht="56.25">
      <c r="A125" s="28"/>
      <c r="B125" s="29">
        <v>150101</v>
      </c>
      <c r="C125" s="21" t="s">
        <v>21</v>
      </c>
      <c r="D125" s="30" t="s">
        <v>22</v>
      </c>
      <c r="E125" s="25" t="s">
        <v>273</v>
      </c>
      <c r="F125" s="52"/>
      <c r="G125" s="53"/>
      <c r="H125" s="52"/>
      <c r="I125" s="31">
        <f>15000</f>
        <v>15000</v>
      </c>
    </row>
    <row r="126" spans="1:9" ht="75">
      <c r="A126" s="28"/>
      <c r="B126" s="29">
        <v>150101</v>
      </c>
      <c r="C126" s="21" t="s">
        <v>21</v>
      </c>
      <c r="D126" s="30" t="s">
        <v>22</v>
      </c>
      <c r="E126" s="25" t="s">
        <v>274</v>
      </c>
      <c r="F126" s="52"/>
      <c r="G126" s="53"/>
      <c r="H126" s="52"/>
      <c r="I126" s="31">
        <f>15000</f>
        <v>15000</v>
      </c>
    </row>
    <row r="127" spans="1:9" ht="93.75" customHeight="1">
      <c r="A127" s="28"/>
      <c r="B127" s="29">
        <v>150101</v>
      </c>
      <c r="C127" s="21" t="s">
        <v>21</v>
      </c>
      <c r="D127" s="30" t="s">
        <v>22</v>
      </c>
      <c r="E127" s="25" t="s">
        <v>275</v>
      </c>
      <c r="F127" s="52"/>
      <c r="G127" s="53"/>
      <c r="H127" s="52"/>
      <c r="I127" s="31">
        <f>15000</f>
        <v>15000</v>
      </c>
    </row>
    <row r="128" spans="1:9" ht="56.25">
      <c r="A128" s="28"/>
      <c r="B128" s="29">
        <v>150101</v>
      </c>
      <c r="C128" s="21" t="s">
        <v>21</v>
      </c>
      <c r="D128" s="30" t="s">
        <v>22</v>
      </c>
      <c r="E128" s="25" t="s">
        <v>276</v>
      </c>
      <c r="F128" s="52"/>
      <c r="G128" s="53"/>
      <c r="H128" s="52"/>
      <c r="I128" s="31">
        <f>15000</f>
        <v>15000</v>
      </c>
    </row>
    <row r="129" spans="1:9" ht="131.25" customHeight="1">
      <c r="A129" s="28"/>
      <c r="B129" s="29">
        <v>150101</v>
      </c>
      <c r="C129" s="21" t="s">
        <v>21</v>
      </c>
      <c r="D129" s="30" t="s">
        <v>22</v>
      </c>
      <c r="E129" s="25" t="s">
        <v>277</v>
      </c>
      <c r="F129" s="52"/>
      <c r="G129" s="53"/>
      <c r="H129" s="52"/>
      <c r="I129" s="31">
        <f>15000</f>
        <v>15000</v>
      </c>
    </row>
    <row r="130" spans="1:9" ht="75">
      <c r="A130" s="28"/>
      <c r="B130" s="29">
        <v>150101</v>
      </c>
      <c r="C130" s="21" t="s">
        <v>21</v>
      </c>
      <c r="D130" s="30" t="s">
        <v>22</v>
      </c>
      <c r="E130" s="25" t="s">
        <v>278</v>
      </c>
      <c r="F130" s="52"/>
      <c r="G130" s="53"/>
      <c r="H130" s="52"/>
      <c r="I130" s="31">
        <f>15000</f>
        <v>15000</v>
      </c>
    </row>
    <row r="131" spans="1:9" ht="75" customHeight="1">
      <c r="A131" s="28"/>
      <c r="B131" s="29">
        <v>150101</v>
      </c>
      <c r="C131" s="21" t="s">
        <v>21</v>
      </c>
      <c r="D131" s="30" t="s">
        <v>22</v>
      </c>
      <c r="E131" s="25" t="s">
        <v>144</v>
      </c>
      <c r="F131" s="52"/>
      <c r="G131" s="53"/>
      <c r="H131" s="52"/>
      <c r="I131" s="31">
        <f>180000+23056</f>
        <v>203056</v>
      </c>
    </row>
    <row r="132" spans="1:9" ht="75">
      <c r="A132" s="28"/>
      <c r="B132" s="29">
        <v>150101</v>
      </c>
      <c r="C132" s="21" t="s">
        <v>21</v>
      </c>
      <c r="D132" s="30" t="s">
        <v>22</v>
      </c>
      <c r="E132" s="25" t="s">
        <v>112</v>
      </c>
      <c r="F132" s="52"/>
      <c r="G132" s="53"/>
      <c r="H132" s="52"/>
      <c r="I132" s="31">
        <f>510400+265000</f>
        <v>775400</v>
      </c>
    </row>
    <row r="133" spans="1:9" ht="168.75">
      <c r="A133" s="28"/>
      <c r="B133" s="29">
        <v>150101</v>
      </c>
      <c r="C133" s="21" t="s">
        <v>21</v>
      </c>
      <c r="D133" s="30" t="s">
        <v>22</v>
      </c>
      <c r="E133" s="25" t="s">
        <v>86</v>
      </c>
      <c r="F133" s="52">
        <v>842836</v>
      </c>
      <c r="G133" s="53">
        <v>0.05</v>
      </c>
      <c r="H133" s="52">
        <v>363196</v>
      </c>
      <c r="I133" s="31">
        <f>438700+359377</f>
        <v>798077</v>
      </c>
    </row>
    <row r="134" spans="1:9" ht="75">
      <c r="A134" s="28"/>
      <c r="B134" s="29">
        <v>150101</v>
      </c>
      <c r="C134" s="21" t="s">
        <v>21</v>
      </c>
      <c r="D134" s="30" t="s">
        <v>22</v>
      </c>
      <c r="E134" s="25" t="s">
        <v>256</v>
      </c>
      <c r="F134" s="52"/>
      <c r="G134" s="53"/>
      <c r="H134" s="52"/>
      <c r="I134" s="31">
        <v>200000</v>
      </c>
    </row>
    <row r="135" spans="1:9" ht="93.75">
      <c r="A135" s="28"/>
      <c r="B135" s="29">
        <v>150101</v>
      </c>
      <c r="C135" s="21" t="s">
        <v>21</v>
      </c>
      <c r="D135" s="30" t="s">
        <v>22</v>
      </c>
      <c r="E135" s="25" t="s">
        <v>127</v>
      </c>
      <c r="F135" s="52"/>
      <c r="G135" s="53"/>
      <c r="H135" s="52"/>
      <c r="I135" s="31">
        <v>30000</v>
      </c>
    </row>
    <row r="136" spans="1:9" ht="56.25">
      <c r="A136" s="28"/>
      <c r="B136" s="29">
        <v>150101</v>
      </c>
      <c r="C136" s="21" t="s">
        <v>21</v>
      </c>
      <c r="D136" s="30" t="s">
        <v>22</v>
      </c>
      <c r="E136" s="25" t="s">
        <v>161</v>
      </c>
      <c r="F136" s="52"/>
      <c r="G136" s="53"/>
      <c r="H136" s="52"/>
      <c r="I136" s="31">
        <f>5000+7000</f>
        <v>12000</v>
      </c>
    </row>
    <row r="137" spans="1:9" ht="93.75">
      <c r="A137" s="28"/>
      <c r="B137" s="29">
        <v>150101</v>
      </c>
      <c r="C137" s="21" t="s">
        <v>21</v>
      </c>
      <c r="D137" s="30" t="s">
        <v>22</v>
      </c>
      <c r="E137" s="25" t="s">
        <v>229</v>
      </c>
      <c r="F137" s="52"/>
      <c r="G137" s="53"/>
      <c r="H137" s="52"/>
      <c r="I137" s="31">
        <f>80000+200000-200000+22000</f>
        <v>102000</v>
      </c>
    </row>
    <row r="138" spans="1:9" ht="75">
      <c r="A138" s="28"/>
      <c r="B138" s="29"/>
      <c r="C138" s="21"/>
      <c r="D138" s="30" t="s">
        <v>177</v>
      </c>
      <c r="E138" s="25"/>
      <c r="F138" s="52"/>
      <c r="G138" s="53"/>
      <c r="H138" s="52"/>
      <c r="I138" s="31">
        <v>80000</v>
      </c>
    </row>
    <row r="139" spans="1:9" ht="75">
      <c r="A139" s="28"/>
      <c r="B139" s="29">
        <v>150101</v>
      </c>
      <c r="C139" s="21" t="s">
        <v>21</v>
      </c>
      <c r="D139" s="30" t="s">
        <v>22</v>
      </c>
      <c r="E139" s="25" t="s">
        <v>178</v>
      </c>
      <c r="F139" s="52"/>
      <c r="G139" s="53"/>
      <c r="H139" s="52"/>
      <c r="I139" s="31">
        <v>7000</v>
      </c>
    </row>
    <row r="140" spans="1:9" ht="75">
      <c r="A140" s="28"/>
      <c r="B140" s="29"/>
      <c r="C140" s="21"/>
      <c r="D140" s="30" t="s">
        <v>177</v>
      </c>
      <c r="E140" s="25"/>
      <c r="F140" s="52"/>
      <c r="G140" s="53"/>
      <c r="H140" s="52"/>
      <c r="I140" s="31">
        <v>7000</v>
      </c>
    </row>
    <row r="141" spans="1:9" ht="93.75" customHeight="1">
      <c r="A141" s="28"/>
      <c r="B141" s="29">
        <v>150101</v>
      </c>
      <c r="C141" s="21" t="s">
        <v>21</v>
      </c>
      <c r="D141" s="30" t="s">
        <v>22</v>
      </c>
      <c r="E141" s="25" t="s">
        <v>179</v>
      </c>
      <c r="F141" s="52"/>
      <c r="G141" s="53"/>
      <c r="H141" s="52"/>
      <c r="I141" s="31">
        <v>1300000</v>
      </c>
    </row>
    <row r="142" spans="1:9" ht="56.25">
      <c r="A142" s="28"/>
      <c r="B142" s="29">
        <v>150101</v>
      </c>
      <c r="C142" s="21" t="s">
        <v>21</v>
      </c>
      <c r="D142" s="30" t="s">
        <v>22</v>
      </c>
      <c r="E142" s="25" t="s">
        <v>180</v>
      </c>
      <c r="F142" s="52"/>
      <c r="G142" s="53"/>
      <c r="H142" s="52"/>
      <c r="I142" s="31">
        <f>455000</f>
        <v>455000</v>
      </c>
    </row>
    <row r="143" spans="1:9" ht="56.25">
      <c r="A143" s="28"/>
      <c r="B143" s="29">
        <v>150101</v>
      </c>
      <c r="C143" s="21" t="s">
        <v>21</v>
      </c>
      <c r="D143" s="30" t="s">
        <v>22</v>
      </c>
      <c r="E143" s="25" t="s">
        <v>192</v>
      </c>
      <c r="F143" s="52"/>
      <c r="G143" s="53"/>
      <c r="H143" s="52"/>
      <c r="I143" s="31">
        <v>100000</v>
      </c>
    </row>
    <row r="144" spans="1:9" ht="75">
      <c r="A144" s="28"/>
      <c r="B144" s="29">
        <v>150101</v>
      </c>
      <c r="C144" s="21" t="s">
        <v>21</v>
      </c>
      <c r="D144" s="30" t="s">
        <v>22</v>
      </c>
      <c r="E144" s="80" t="s">
        <v>200</v>
      </c>
      <c r="F144" s="52"/>
      <c r="G144" s="53"/>
      <c r="H144" s="52"/>
      <c r="I144" s="31">
        <v>750000</v>
      </c>
    </row>
    <row r="145" spans="1:9" ht="75">
      <c r="A145" s="28"/>
      <c r="B145" s="29">
        <v>150101</v>
      </c>
      <c r="C145" s="21" t="s">
        <v>21</v>
      </c>
      <c r="D145" s="30" t="s">
        <v>22</v>
      </c>
      <c r="E145" s="80" t="s">
        <v>201</v>
      </c>
      <c r="F145" s="52"/>
      <c r="G145" s="53"/>
      <c r="H145" s="52"/>
      <c r="I145" s="78">
        <v>200000</v>
      </c>
    </row>
    <row r="146" spans="1:9" ht="75">
      <c r="A146" s="28"/>
      <c r="B146" s="29">
        <v>150101</v>
      </c>
      <c r="C146" s="21" t="s">
        <v>21</v>
      </c>
      <c r="D146" s="30" t="s">
        <v>22</v>
      </c>
      <c r="E146" s="80" t="s">
        <v>257</v>
      </c>
      <c r="F146" s="52"/>
      <c r="G146" s="53"/>
      <c r="H146" s="52"/>
      <c r="I146" s="78">
        <v>10000</v>
      </c>
    </row>
    <row r="147" spans="1:9" ht="93.75">
      <c r="A147" s="28"/>
      <c r="B147" s="21" t="s">
        <v>113</v>
      </c>
      <c r="C147" s="21" t="s">
        <v>16</v>
      </c>
      <c r="D147" s="30" t="s">
        <v>114</v>
      </c>
      <c r="E147" s="25" t="s">
        <v>230</v>
      </c>
      <c r="F147" s="52"/>
      <c r="G147" s="53"/>
      <c r="H147" s="52"/>
      <c r="I147" s="31">
        <f>2718000-295000-32743</f>
        <v>2390257</v>
      </c>
    </row>
    <row r="148" spans="1:9" ht="112.5">
      <c r="A148" s="28"/>
      <c r="B148" s="21" t="s">
        <v>113</v>
      </c>
      <c r="C148" s="21" t="s">
        <v>16</v>
      </c>
      <c r="D148" s="30" t="s">
        <v>114</v>
      </c>
      <c r="E148" s="25" t="s">
        <v>181</v>
      </c>
      <c r="F148" s="52"/>
      <c r="G148" s="53"/>
      <c r="H148" s="52"/>
      <c r="I148" s="31">
        <v>776000</v>
      </c>
    </row>
    <row r="149" spans="1:9" ht="131.25">
      <c r="A149" s="28"/>
      <c r="B149" s="21" t="s">
        <v>113</v>
      </c>
      <c r="C149" s="21" t="s">
        <v>16</v>
      </c>
      <c r="D149" s="30" t="s">
        <v>114</v>
      </c>
      <c r="E149" s="25" t="s">
        <v>258</v>
      </c>
      <c r="F149" s="52"/>
      <c r="G149" s="53"/>
      <c r="H149" s="52"/>
      <c r="I149" s="31">
        <v>200000</v>
      </c>
    </row>
    <row r="150" spans="1:9" ht="131.25">
      <c r="A150" s="28"/>
      <c r="B150" s="21" t="s">
        <v>92</v>
      </c>
      <c r="C150" s="29" t="s">
        <v>90</v>
      </c>
      <c r="D150" s="30" t="s">
        <v>128</v>
      </c>
      <c r="E150" s="25" t="s">
        <v>231</v>
      </c>
      <c r="F150" s="34"/>
      <c r="G150" s="35"/>
      <c r="H150" s="34"/>
      <c r="I150" s="31">
        <v>80000</v>
      </c>
    </row>
    <row r="151" spans="1:9" ht="150">
      <c r="A151" s="28"/>
      <c r="B151" s="21" t="s">
        <v>226</v>
      </c>
      <c r="C151" s="21" t="s">
        <v>21</v>
      </c>
      <c r="D151" s="30" t="s">
        <v>227</v>
      </c>
      <c r="E151" s="25" t="s">
        <v>279</v>
      </c>
      <c r="F151" s="34"/>
      <c r="G151" s="35"/>
      <c r="H151" s="34"/>
      <c r="I151" s="31">
        <f>465858</f>
        <v>465858</v>
      </c>
    </row>
    <row r="152" spans="1:9" ht="75" customHeight="1">
      <c r="A152" s="28"/>
      <c r="B152" s="29" t="s">
        <v>34</v>
      </c>
      <c r="C152" s="29" t="s">
        <v>35</v>
      </c>
      <c r="D152" s="30" t="s">
        <v>36</v>
      </c>
      <c r="E152" s="25" t="s">
        <v>14</v>
      </c>
      <c r="F152" s="34"/>
      <c r="G152" s="35"/>
      <c r="H152" s="34"/>
      <c r="I152" s="31">
        <f>630000+2800000-30000-10000</f>
        <v>3390000</v>
      </c>
    </row>
    <row r="153" spans="1:9" ht="112.5">
      <c r="A153" s="28"/>
      <c r="B153" s="54">
        <v>180409</v>
      </c>
      <c r="C153" s="21" t="s">
        <v>21</v>
      </c>
      <c r="D153" s="30" t="s">
        <v>27</v>
      </c>
      <c r="E153" s="25" t="s">
        <v>37</v>
      </c>
      <c r="F153" s="34"/>
      <c r="G153" s="35"/>
      <c r="H153" s="34"/>
      <c r="I153" s="31">
        <v>200000</v>
      </c>
    </row>
    <row r="154" spans="1:9" ht="75">
      <c r="A154" s="28"/>
      <c r="B154" s="54">
        <v>180409</v>
      </c>
      <c r="C154" s="21" t="s">
        <v>21</v>
      </c>
      <c r="D154" s="30" t="s">
        <v>27</v>
      </c>
      <c r="E154" s="25" t="s">
        <v>259</v>
      </c>
      <c r="F154" s="34"/>
      <c r="G154" s="35"/>
      <c r="H154" s="34"/>
      <c r="I154" s="31">
        <v>50000</v>
      </c>
    </row>
    <row r="155" spans="1:9" ht="75">
      <c r="A155" s="28"/>
      <c r="B155" s="54">
        <v>180409</v>
      </c>
      <c r="C155" s="21" t="s">
        <v>21</v>
      </c>
      <c r="D155" s="30" t="s">
        <v>27</v>
      </c>
      <c r="E155" s="25" t="s">
        <v>38</v>
      </c>
      <c r="F155" s="34"/>
      <c r="G155" s="35"/>
      <c r="H155" s="34"/>
      <c r="I155" s="31">
        <v>200000</v>
      </c>
    </row>
    <row r="156" spans="1:9" ht="93.75">
      <c r="A156" s="28"/>
      <c r="B156" s="54">
        <v>180409</v>
      </c>
      <c r="C156" s="21" t="s">
        <v>21</v>
      </c>
      <c r="D156" s="30" t="s">
        <v>27</v>
      </c>
      <c r="E156" s="25" t="s">
        <v>115</v>
      </c>
      <c r="F156" s="34"/>
      <c r="G156" s="35"/>
      <c r="H156" s="34"/>
      <c r="I156" s="31">
        <v>2625100</v>
      </c>
    </row>
    <row r="157" spans="1:9" ht="75">
      <c r="A157" s="28"/>
      <c r="B157" s="54">
        <v>180409</v>
      </c>
      <c r="C157" s="21" t="s">
        <v>21</v>
      </c>
      <c r="D157" s="30" t="s">
        <v>27</v>
      </c>
      <c r="E157" s="25" t="s">
        <v>116</v>
      </c>
      <c r="F157" s="34"/>
      <c r="G157" s="35"/>
      <c r="H157" s="34"/>
      <c r="I157" s="31">
        <v>5500000</v>
      </c>
    </row>
    <row r="158" spans="1:9" ht="75">
      <c r="A158" s="28"/>
      <c r="B158" s="54">
        <v>180409</v>
      </c>
      <c r="C158" s="21" t="s">
        <v>21</v>
      </c>
      <c r="D158" s="30" t="s">
        <v>27</v>
      </c>
      <c r="E158" s="25" t="s">
        <v>14</v>
      </c>
      <c r="F158" s="34"/>
      <c r="G158" s="35"/>
      <c r="H158" s="34"/>
      <c r="I158" s="31">
        <f>1700000-149246-1001000-300000-249000</f>
        <v>754</v>
      </c>
    </row>
    <row r="159" spans="1:9" ht="75">
      <c r="A159" s="28"/>
      <c r="B159" s="54">
        <v>180409</v>
      </c>
      <c r="C159" s="21" t="s">
        <v>21</v>
      </c>
      <c r="D159" s="30" t="s">
        <v>27</v>
      </c>
      <c r="E159" s="25" t="s">
        <v>117</v>
      </c>
      <c r="F159" s="34"/>
      <c r="G159" s="35"/>
      <c r="H159" s="34"/>
      <c r="I159" s="31">
        <v>100000</v>
      </c>
    </row>
    <row r="160" spans="1:9" ht="75">
      <c r="A160" s="28"/>
      <c r="B160" s="54">
        <v>180409</v>
      </c>
      <c r="C160" s="21" t="s">
        <v>21</v>
      </c>
      <c r="D160" s="30" t="s">
        <v>27</v>
      </c>
      <c r="E160" s="25" t="s">
        <v>145</v>
      </c>
      <c r="F160" s="34"/>
      <c r="G160" s="35"/>
      <c r="H160" s="34"/>
      <c r="I160" s="31">
        <f>5000000+12600000</f>
        <v>17600000</v>
      </c>
    </row>
    <row r="161" spans="1:9" ht="93.75">
      <c r="A161" s="28"/>
      <c r="B161" s="54">
        <v>180409</v>
      </c>
      <c r="C161" s="21" t="s">
        <v>21</v>
      </c>
      <c r="D161" s="30" t="s">
        <v>27</v>
      </c>
      <c r="E161" s="25" t="s">
        <v>171</v>
      </c>
      <c r="F161" s="34"/>
      <c r="G161" s="35"/>
      <c r="H161" s="34"/>
      <c r="I161" s="31">
        <v>2500000</v>
      </c>
    </row>
    <row r="162" spans="1:9" ht="75">
      <c r="A162" s="28"/>
      <c r="B162" s="54">
        <v>180409</v>
      </c>
      <c r="C162" s="21" t="s">
        <v>21</v>
      </c>
      <c r="D162" s="30" t="s">
        <v>27</v>
      </c>
      <c r="E162" s="25" t="s">
        <v>130</v>
      </c>
      <c r="F162" s="34"/>
      <c r="G162" s="35"/>
      <c r="H162" s="34"/>
      <c r="I162" s="31">
        <v>5500000</v>
      </c>
    </row>
    <row r="163" spans="1:9" ht="75">
      <c r="A163" s="28"/>
      <c r="B163" s="54">
        <v>180409</v>
      </c>
      <c r="C163" s="21" t="s">
        <v>21</v>
      </c>
      <c r="D163" s="30" t="s">
        <v>27</v>
      </c>
      <c r="E163" s="25" t="s">
        <v>129</v>
      </c>
      <c r="F163" s="34"/>
      <c r="G163" s="35"/>
      <c r="H163" s="34"/>
      <c r="I163" s="31">
        <v>7000000</v>
      </c>
    </row>
    <row r="164" spans="1:9" ht="75">
      <c r="A164" s="28"/>
      <c r="B164" s="54">
        <v>180409</v>
      </c>
      <c r="C164" s="21" t="s">
        <v>21</v>
      </c>
      <c r="D164" s="30" t="s">
        <v>27</v>
      </c>
      <c r="E164" s="25" t="s">
        <v>146</v>
      </c>
      <c r="F164" s="34"/>
      <c r="G164" s="35"/>
      <c r="H164" s="34"/>
      <c r="I164" s="31">
        <v>200000</v>
      </c>
    </row>
    <row r="165" spans="1:9" ht="75">
      <c r="A165" s="28"/>
      <c r="B165" s="54">
        <v>180409</v>
      </c>
      <c r="C165" s="21" t="s">
        <v>21</v>
      </c>
      <c r="D165" s="30" t="s">
        <v>27</v>
      </c>
      <c r="E165" s="25" t="s">
        <v>147</v>
      </c>
      <c r="F165" s="34"/>
      <c r="G165" s="35"/>
      <c r="H165" s="34"/>
      <c r="I165" s="31">
        <v>337301</v>
      </c>
    </row>
    <row r="166" spans="1:9" ht="75">
      <c r="A166" s="28"/>
      <c r="B166" s="54">
        <v>180409</v>
      </c>
      <c r="C166" s="21" t="s">
        <v>21</v>
      </c>
      <c r="D166" s="30" t="s">
        <v>27</v>
      </c>
      <c r="E166" s="25" t="s">
        <v>193</v>
      </c>
      <c r="F166" s="34"/>
      <c r="G166" s="35"/>
      <c r="H166" s="34"/>
      <c r="I166" s="31">
        <v>423141</v>
      </c>
    </row>
    <row r="167" spans="1:9" ht="75">
      <c r="A167" s="28"/>
      <c r="B167" s="54">
        <v>180409</v>
      </c>
      <c r="C167" s="21" t="s">
        <v>21</v>
      </c>
      <c r="D167" s="30" t="s">
        <v>27</v>
      </c>
      <c r="E167" s="25" t="s">
        <v>232</v>
      </c>
      <c r="F167" s="34"/>
      <c r="G167" s="35"/>
      <c r="H167" s="34"/>
      <c r="I167" s="31">
        <v>28100</v>
      </c>
    </row>
    <row r="168" spans="1:9" ht="75">
      <c r="A168" s="28"/>
      <c r="B168" s="54">
        <v>180409</v>
      </c>
      <c r="C168" s="21" t="s">
        <v>21</v>
      </c>
      <c r="D168" s="30" t="s">
        <v>27</v>
      </c>
      <c r="E168" s="25" t="s">
        <v>194</v>
      </c>
      <c r="F168" s="34"/>
      <c r="G168" s="35"/>
      <c r="H168" s="34"/>
      <c r="I168" s="31">
        <v>100000</v>
      </c>
    </row>
    <row r="169" spans="1:9" ht="93.75">
      <c r="A169" s="28"/>
      <c r="B169" s="54">
        <v>180409</v>
      </c>
      <c r="C169" s="21" t="s">
        <v>21</v>
      </c>
      <c r="D169" s="30" t="s">
        <v>27</v>
      </c>
      <c r="E169" s="25" t="s">
        <v>195</v>
      </c>
      <c r="F169" s="34"/>
      <c r="G169" s="35"/>
      <c r="H169" s="34"/>
      <c r="I169" s="31">
        <v>300000</v>
      </c>
    </row>
    <row r="170" spans="1:9" ht="75">
      <c r="A170" s="28"/>
      <c r="B170" s="54">
        <v>180409</v>
      </c>
      <c r="C170" s="21" t="s">
        <v>21</v>
      </c>
      <c r="D170" s="30" t="s">
        <v>27</v>
      </c>
      <c r="E170" s="25" t="s">
        <v>196</v>
      </c>
      <c r="F170" s="34"/>
      <c r="G170" s="35"/>
      <c r="H170" s="34"/>
      <c r="I170" s="31">
        <v>600000</v>
      </c>
    </row>
    <row r="171" spans="1:9" ht="93.75">
      <c r="A171" s="28"/>
      <c r="B171" s="54">
        <v>180409</v>
      </c>
      <c r="C171" s="21" t="s">
        <v>21</v>
      </c>
      <c r="D171" s="30" t="s">
        <v>27</v>
      </c>
      <c r="E171" s="25" t="s">
        <v>233</v>
      </c>
      <c r="F171" s="34"/>
      <c r="G171" s="35"/>
      <c r="H171" s="34"/>
      <c r="I171" s="31">
        <f>5000000+622364</f>
        <v>5622364</v>
      </c>
    </row>
    <row r="172" spans="1:9" ht="75">
      <c r="A172" s="28"/>
      <c r="B172" s="54">
        <v>180409</v>
      </c>
      <c r="C172" s="21" t="s">
        <v>21</v>
      </c>
      <c r="D172" s="30" t="s">
        <v>27</v>
      </c>
      <c r="E172" s="25" t="s">
        <v>260</v>
      </c>
      <c r="F172" s="34"/>
      <c r="G172" s="35"/>
      <c r="H172" s="34"/>
      <c r="I172" s="31">
        <v>130000</v>
      </c>
    </row>
    <row r="173" spans="1:9" ht="75">
      <c r="A173" s="28"/>
      <c r="B173" s="54">
        <v>250324</v>
      </c>
      <c r="C173" s="21" t="s">
        <v>75</v>
      </c>
      <c r="D173" s="30" t="s">
        <v>148</v>
      </c>
      <c r="E173" s="25" t="s">
        <v>162</v>
      </c>
      <c r="F173" s="34"/>
      <c r="G173" s="35"/>
      <c r="H173" s="34"/>
      <c r="I173" s="31">
        <v>1000000</v>
      </c>
    </row>
    <row r="174" spans="1:9" ht="75">
      <c r="A174" s="28"/>
      <c r="B174" s="54">
        <v>250324</v>
      </c>
      <c r="C174" s="21" t="s">
        <v>75</v>
      </c>
      <c r="D174" s="30" t="s">
        <v>148</v>
      </c>
      <c r="E174" s="25" t="s">
        <v>149</v>
      </c>
      <c r="F174" s="34"/>
      <c r="G174" s="35"/>
      <c r="H174" s="34"/>
      <c r="I174" s="31">
        <v>1000000</v>
      </c>
    </row>
    <row r="175" spans="1:9" ht="93.75">
      <c r="A175" s="28"/>
      <c r="B175" s="54">
        <v>250324</v>
      </c>
      <c r="C175" s="21" t="s">
        <v>75</v>
      </c>
      <c r="D175" s="30" t="s">
        <v>148</v>
      </c>
      <c r="E175" s="25" t="s">
        <v>163</v>
      </c>
      <c r="F175" s="34"/>
      <c r="G175" s="35"/>
      <c r="H175" s="34"/>
      <c r="I175" s="31">
        <v>500000</v>
      </c>
    </row>
    <row r="176" spans="1:9" ht="18.75">
      <c r="A176" s="67"/>
      <c r="B176" s="22"/>
      <c r="C176" s="23"/>
      <c r="D176" s="24"/>
      <c r="E176" s="25"/>
      <c r="F176" s="69"/>
      <c r="G176" s="70"/>
      <c r="H176" s="69"/>
      <c r="I176" s="26">
        <f>SUM(I177:I180)</f>
        <v>2600000</v>
      </c>
    </row>
    <row r="177" spans="1:9" ht="18.75">
      <c r="A177" s="28"/>
      <c r="B177" s="21" t="s">
        <v>74</v>
      </c>
      <c r="C177" s="21" t="s">
        <v>75</v>
      </c>
      <c r="D177" s="30" t="s">
        <v>76</v>
      </c>
      <c r="E177" s="33" t="s">
        <v>118</v>
      </c>
      <c r="F177" s="34"/>
      <c r="G177" s="35"/>
      <c r="H177" s="34"/>
      <c r="I177" s="31">
        <v>600000</v>
      </c>
    </row>
    <row r="178" spans="1:9" ht="18.75">
      <c r="A178" s="28"/>
      <c r="B178" s="21" t="s">
        <v>74</v>
      </c>
      <c r="C178" s="21" t="s">
        <v>75</v>
      </c>
      <c r="D178" s="30" t="s">
        <v>76</v>
      </c>
      <c r="E178" s="33" t="s">
        <v>119</v>
      </c>
      <c r="F178" s="34"/>
      <c r="G178" s="35"/>
      <c r="H178" s="34"/>
      <c r="I178" s="31">
        <v>1000000</v>
      </c>
    </row>
    <row r="179" spans="1:9" ht="18.75">
      <c r="A179" s="28"/>
      <c r="B179" s="21" t="s">
        <v>74</v>
      </c>
      <c r="C179" s="21" t="s">
        <v>75</v>
      </c>
      <c r="D179" s="30" t="s">
        <v>76</v>
      </c>
      <c r="E179" s="33" t="s">
        <v>120</v>
      </c>
      <c r="F179" s="34"/>
      <c r="G179" s="35"/>
      <c r="H179" s="34"/>
      <c r="I179" s="31">
        <f>3800000+656300-4456300</f>
        <v>0</v>
      </c>
    </row>
    <row r="180" spans="1:9" ht="18.75">
      <c r="A180" s="28"/>
      <c r="B180" s="21" t="s">
        <v>74</v>
      </c>
      <c r="C180" s="21" t="s">
        <v>75</v>
      </c>
      <c r="D180" s="30" t="s">
        <v>76</v>
      </c>
      <c r="E180" s="33" t="s">
        <v>159</v>
      </c>
      <c r="F180" s="34"/>
      <c r="G180" s="35"/>
      <c r="H180" s="34"/>
      <c r="I180" s="31">
        <v>1000000</v>
      </c>
    </row>
    <row r="181" spans="1:9" ht="112.5">
      <c r="A181" s="28"/>
      <c r="B181" s="21" t="s">
        <v>153</v>
      </c>
      <c r="C181" s="21" t="s">
        <v>182</v>
      </c>
      <c r="D181" s="30" t="s">
        <v>183</v>
      </c>
      <c r="E181" s="33" t="s">
        <v>291</v>
      </c>
      <c r="F181" s="34"/>
      <c r="G181" s="35"/>
      <c r="H181" s="34"/>
      <c r="I181" s="31">
        <f>400000+182900</f>
        <v>582900</v>
      </c>
    </row>
    <row r="182" spans="1:9" ht="37.5">
      <c r="A182" s="22" t="s">
        <v>39</v>
      </c>
      <c r="B182" s="23"/>
      <c r="C182" s="23"/>
      <c r="D182" s="24" t="s">
        <v>261</v>
      </c>
      <c r="E182" s="37"/>
      <c r="F182" s="34"/>
      <c r="G182" s="35"/>
      <c r="H182" s="34"/>
      <c r="I182" s="26">
        <f>SUM(I183:I185,I186:I196)</f>
        <v>2722000</v>
      </c>
    </row>
    <row r="183" spans="1:9" ht="18.75">
      <c r="A183" s="28"/>
      <c r="B183" s="29" t="s">
        <v>11</v>
      </c>
      <c r="C183" s="29" t="s">
        <v>12</v>
      </c>
      <c r="D183" s="30" t="s">
        <v>13</v>
      </c>
      <c r="E183" s="25" t="s">
        <v>14</v>
      </c>
      <c r="F183" s="34"/>
      <c r="G183" s="35"/>
      <c r="H183" s="34"/>
      <c r="I183" s="31">
        <v>36000</v>
      </c>
    </row>
    <row r="184" spans="1:9" ht="56.25">
      <c r="A184" s="28"/>
      <c r="B184" s="29">
        <v>150101</v>
      </c>
      <c r="C184" s="21" t="s">
        <v>21</v>
      </c>
      <c r="D184" s="30" t="s">
        <v>22</v>
      </c>
      <c r="E184" s="25" t="s">
        <v>262</v>
      </c>
      <c r="F184" s="52"/>
      <c r="G184" s="53"/>
      <c r="H184" s="52"/>
      <c r="I184" s="31">
        <v>576000</v>
      </c>
    </row>
    <row r="185" spans="1:9" ht="37.5">
      <c r="A185" s="28"/>
      <c r="B185" s="29" t="s">
        <v>40</v>
      </c>
      <c r="C185" s="29" t="s">
        <v>41</v>
      </c>
      <c r="D185" s="30" t="s">
        <v>42</v>
      </c>
      <c r="E185" s="55" t="s">
        <v>43</v>
      </c>
      <c r="F185" s="34"/>
      <c r="G185" s="35"/>
      <c r="H185" s="34"/>
      <c r="I185" s="31">
        <f>2414600-826000-27600</f>
        <v>1561000</v>
      </c>
    </row>
    <row r="186" spans="1:9" ht="75">
      <c r="A186" s="28"/>
      <c r="B186" s="54">
        <v>180409</v>
      </c>
      <c r="C186" s="21" t="s">
        <v>21</v>
      </c>
      <c r="D186" s="30" t="s">
        <v>27</v>
      </c>
      <c r="E186" s="25" t="s">
        <v>280</v>
      </c>
      <c r="F186" s="34"/>
      <c r="G186" s="35"/>
      <c r="H186" s="34"/>
      <c r="I186" s="31">
        <f>147500</f>
        <v>147500</v>
      </c>
    </row>
    <row r="187" spans="1:9" ht="75">
      <c r="A187" s="28"/>
      <c r="B187" s="54">
        <v>180409</v>
      </c>
      <c r="C187" s="21" t="s">
        <v>21</v>
      </c>
      <c r="D187" s="30" t="s">
        <v>27</v>
      </c>
      <c r="E187" s="25" t="s">
        <v>281</v>
      </c>
      <c r="F187" s="34"/>
      <c r="G187" s="35"/>
      <c r="H187" s="34"/>
      <c r="I187" s="31">
        <f>32500</f>
        <v>32500</v>
      </c>
    </row>
    <row r="188" spans="1:9" ht="75">
      <c r="A188" s="28"/>
      <c r="B188" s="54">
        <v>180409</v>
      </c>
      <c r="C188" s="21" t="s">
        <v>21</v>
      </c>
      <c r="D188" s="30" t="s">
        <v>27</v>
      </c>
      <c r="E188" s="25" t="s">
        <v>282</v>
      </c>
      <c r="F188" s="34"/>
      <c r="G188" s="35"/>
      <c r="H188" s="34"/>
      <c r="I188" s="31">
        <f>5300</f>
        <v>5300</v>
      </c>
    </row>
    <row r="189" spans="1:9" ht="75">
      <c r="A189" s="28"/>
      <c r="B189" s="54">
        <v>180409</v>
      </c>
      <c r="C189" s="21" t="s">
        <v>21</v>
      </c>
      <c r="D189" s="30" t="s">
        <v>27</v>
      </c>
      <c r="E189" s="25" t="s">
        <v>283</v>
      </c>
      <c r="F189" s="34"/>
      <c r="G189" s="35"/>
      <c r="H189" s="34"/>
      <c r="I189" s="31">
        <f>1200</f>
        <v>1200</v>
      </c>
    </row>
    <row r="190" spans="1:9" ht="75">
      <c r="A190" s="28"/>
      <c r="B190" s="54">
        <v>180409</v>
      </c>
      <c r="C190" s="21" t="s">
        <v>21</v>
      </c>
      <c r="D190" s="30" t="s">
        <v>27</v>
      </c>
      <c r="E190" s="25" t="s">
        <v>284</v>
      </c>
      <c r="F190" s="34"/>
      <c r="G190" s="35"/>
      <c r="H190" s="34"/>
      <c r="I190" s="31">
        <f>13000</f>
        <v>13000</v>
      </c>
    </row>
    <row r="191" spans="1:9" ht="93.75">
      <c r="A191" s="28"/>
      <c r="B191" s="54">
        <v>180409</v>
      </c>
      <c r="C191" s="21" t="s">
        <v>21</v>
      </c>
      <c r="D191" s="30" t="s">
        <v>27</v>
      </c>
      <c r="E191" s="25" t="s">
        <v>285</v>
      </c>
      <c r="F191" s="34"/>
      <c r="G191" s="35"/>
      <c r="H191" s="34"/>
      <c r="I191" s="31">
        <f>70000</f>
        <v>70000</v>
      </c>
    </row>
    <row r="192" spans="1:9" ht="75">
      <c r="A192" s="28"/>
      <c r="B192" s="54">
        <v>180409</v>
      </c>
      <c r="C192" s="21" t="s">
        <v>21</v>
      </c>
      <c r="D192" s="30" t="s">
        <v>27</v>
      </c>
      <c r="E192" s="25" t="s">
        <v>286</v>
      </c>
      <c r="F192" s="34"/>
      <c r="G192" s="35"/>
      <c r="H192" s="34"/>
      <c r="I192" s="31">
        <f>5500</f>
        <v>5500</v>
      </c>
    </row>
    <row r="193" spans="1:9" ht="75">
      <c r="A193" s="28"/>
      <c r="B193" s="54">
        <v>180409</v>
      </c>
      <c r="C193" s="21" t="s">
        <v>21</v>
      </c>
      <c r="D193" s="30" t="s">
        <v>27</v>
      </c>
      <c r="E193" s="25" t="s">
        <v>287</v>
      </c>
      <c r="F193" s="34"/>
      <c r="G193" s="35"/>
      <c r="H193" s="34"/>
      <c r="I193" s="31">
        <f>50000</f>
        <v>50000</v>
      </c>
    </row>
    <row r="194" spans="1:9" ht="75">
      <c r="A194" s="28"/>
      <c r="B194" s="54">
        <v>180409</v>
      </c>
      <c r="C194" s="21" t="s">
        <v>21</v>
      </c>
      <c r="D194" s="30" t="s">
        <v>27</v>
      </c>
      <c r="E194" s="25" t="s">
        <v>288</v>
      </c>
      <c r="F194" s="34"/>
      <c r="G194" s="35"/>
      <c r="H194" s="34"/>
      <c r="I194" s="31">
        <f>90000</f>
        <v>90000</v>
      </c>
    </row>
    <row r="195" spans="1:9" ht="75">
      <c r="A195" s="28"/>
      <c r="B195" s="54">
        <v>180409</v>
      </c>
      <c r="C195" s="21" t="s">
        <v>21</v>
      </c>
      <c r="D195" s="30" t="s">
        <v>27</v>
      </c>
      <c r="E195" s="25" t="s">
        <v>289</v>
      </c>
      <c r="F195" s="34"/>
      <c r="G195" s="35"/>
      <c r="H195" s="34"/>
      <c r="I195" s="31">
        <f>34000</f>
        <v>34000</v>
      </c>
    </row>
    <row r="196" spans="1:9" ht="75">
      <c r="A196" s="28"/>
      <c r="B196" s="54">
        <v>180409</v>
      </c>
      <c r="C196" s="21" t="s">
        <v>21</v>
      </c>
      <c r="D196" s="30" t="s">
        <v>27</v>
      </c>
      <c r="E196" s="25" t="s">
        <v>290</v>
      </c>
      <c r="F196" s="34"/>
      <c r="G196" s="35"/>
      <c r="H196" s="34"/>
      <c r="I196" s="31">
        <f>100000</f>
        <v>100000</v>
      </c>
    </row>
    <row r="197" spans="1:9" ht="37.5">
      <c r="A197" s="22" t="s">
        <v>184</v>
      </c>
      <c r="B197" s="23"/>
      <c r="C197" s="23"/>
      <c r="D197" s="24" t="s">
        <v>263</v>
      </c>
      <c r="E197" s="37"/>
      <c r="F197" s="34"/>
      <c r="G197" s="35"/>
      <c r="H197" s="34"/>
      <c r="I197" s="26">
        <f>SUM(I198)</f>
        <v>17000</v>
      </c>
    </row>
    <row r="198" spans="1:9" ht="18.75">
      <c r="A198" s="28"/>
      <c r="B198" s="29" t="s">
        <v>11</v>
      </c>
      <c r="C198" s="29" t="s">
        <v>12</v>
      </c>
      <c r="D198" s="30" t="s">
        <v>13</v>
      </c>
      <c r="E198" s="25" t="s">
        <v>14</v>
      </c>
      <c r="F198" s="34"/>
      <c r="G198" s="35"/>
      <c r="H198" s="34"/>
      <c r="I198" s="31">
        <v>17000</v>
      </c>
    </row>
    <row r="199" spans="1:9" ht="37.5">
      <c r="A199" s="22">
        <v>60</v>
      </c>
      <c r="B199" s="23"/>
      <c r="C199" s="23"/>
      <c r="D199" s="24" t="s">
        <v>264</v>
      </c>
      <c r="E199" s="37"/>
      <c r="F199" s="34"/>
      <c r="G199" s="35"/>
      <c r="H199" s="34"/>
      <c r="I199" s="26">
        <f>SUM(I200)</f>
        <v>450000</v>
      </c>
    </row>
    <row r="200" spans="1:9" ht="75">
      <c r="A200" s="28"/>
      <c r="B200" s="21" t="s">
        <v>57</v>
      </c>
      <c r="C200" s="21" t="s">
        <v>21</v>
      </c>
      <c r="D200" s="30" t="s">
        <v>58</v>
      </c>
      <c r="E200" s="25" t="s">
        <v>293</v>
      </c>
      <c r="F200" s="34"/>
      <c r="G200" s="35"/>
      <c r="H200" s="34"/>
      <c r="I200" s="31">
        <v>450000</v>
      </c>
    </row>
    <row r="201" spans="1:9" ht="37.5">
      <c r="A201" s="22">
        <v>65</v>
      </c>
      <c r="B201" s="23"/>
      <c r="C201" s="23"/>
      <c r="D201" s="24" t="s">
        <v>265</v>
      </c>
      <c r="E201" s="37"/>
      <c r="F201" s="34"/>
      <c r="G201" s="35"/>
      <c r="H201" s="34"/>
      <c r="I201" s="26">
        <f>SUM(I202:I208)</f>
        <v>25180000</v>
      </c>
    </row>
    <row r="202" spans="1:9" ht="75">
      <c r="A202" s="28"/>
      <c r="B202" s="21" t="s">
        <v>57</v>
      </c>
      <c r="C202" s="21" t="s">
        <v>21</v>
      </c>
      <c r="D202" s="30" t="s">
        <v>58</v>
      </c>
      <c r="E202" s="25" t="s">
        <v>59</v>
      </c>
      <c r="F202" s="34"/>
      <c r="G202" s="35"/>
      <c r="H202" s="34"/>
      <c r="I202" s="31">
        <f>4700000+542000-520000</f>
        <v>4722000</v>
      </c>
    </row>
    <row r="203" spans="1:9" ht="131.25">
      <c r="A203" s="28"/>
      <c r="B203" s="21" t="s">
        <v>57</v>
      </c>
      <c r="C203" s="21" t="s">
        <v>21</v>
      </c>
      <c r="D203" s="30" t="s">
        <v>58</v>
      </c>
      <c r="E203" s="25" t="s">
        <v>197</v>
      </c>
      <c r="F203" s="34"/>
      <c r="G203" s="35"/>
      <c r="H203" s="34"/>
      <c r="I203" s="31">
        <f>1800000-542000+60000+2000000+520000+1500000+13400000-20000-1500000</f>
        <v>17218000</v>
      </c>
    </row>
    <row r="204" spans="1:9" ht="112.5">
      <c r="A204" s="28"/>
      <c r="B204" s="21" t="s">
        <v>57</v>
      </c>
      <c r="C204" s="21" t="s">
        <v>21</v>
      </c>
      <c r="D204" s="30" t="s">
        <v>58</v>
      </c>
      <c r="E204" s="25" t="s">
        <v>198</v>
      </c>
      <c r="F204" s="34"/>
      <c r="G204" s="35"/>
      <c r="H204" s="34"/>
      <c r="I204" s="31">
        <v>600000</v>
      </c>
    </row>
    <row r="205" spans="1:9" ht="150">
      <c r="A205" s="28"/>
      <c r="B205" s="21" t="s">
        <v>57</v>
      </c>
      <c r="C205" s="21" t="s">
        <v>21</v>
      </c>
      <c r="D205" s="30" t="s">
        <v>58</v>
      </c>
      <c r="E205" s="25" t="s">
        <v>266</v>
      </c>
      <c r="F205" s="34"/>
      <c r="G205" s="35"/>
      <c r="H205" s="34"/>
      <c r="I205" s="31">
        <f>1000000-500000</f>
        <v>500000</v>
      </c>
    </row>
    <row r="206" spans="1:9" ht="75">
      <c r="A206" s="28"/>
      <c r="B206" s="21" t="s">
        <v>57</v>
      </c>
      <c r="C206" s="21" t="s">
        <v>21</v>
      </c>
      <c r="D206" s="30" t="s">
        <v>58</v>
      </c>
      <c r="E206" s="25" t="s">
        <v>199</v>
      </c>
      <c r="F206" s="34"/>
      <c r="G206" s="35"/>
      <c r="H206" s="34"/>
      <c r="I206" s="31">
        <v>1000000</v>
      </c>
    </row>
    <row r="207" spans="1:9" ht="75">
      <c r="A207" s="28"/>
      <c r="B207" s="21" t="s">
        <v>57</v>
      </c>
      <c r="C207" s="21" t="s">
        <v>21</v>
      </c>
      <c r="D207" s="30" t="s">
        <v>58</v>
      </c>
      <c r="E207" s="25" t="s">
        <v>150</v>
      </c>
      <c r="F207" s="34"/>
      <c r="G207" s="35"/>
      <c r="H207" s="34"/>
      <c r="I207" s="31">
        <f>500000+325000+195000+120000</f>
        <v>1140000</v>
      </c>
    </row>
    <row r="208" spans="1:9" ht="75">
      <c r="A208" s="28"/>
      <c r="B208" s="21" t="s">
        <v>57</v>
      </c>
      <c r="C208" s="21" t="s">
        <v>21</v>
      </c>
      <c r="D208" s="30" t="s">
        <v>58</v>
      </c>
      <c r="E208" s="25" t="s">
        <v>151</v>
      </c>
      <c r="F208" s="34"/>
      <c r="G208" s="35"/>
      <c r="H208" s="34"/>
      <c r="I208" s="31">
        <f>4000000+4000000-1600000-6400000</f>
        <v>0</v>
      </c>
    </row>
    <row r="209" spans="1:9" ht="56.25">
      <c r="A209" s="22">
        <v>67</v>
      </c>
      <c r="B209" s="23"/>
      <c r="C209" s="23"/>
      <c r="D209" s="24" t="s">
        <v>267</v>
      </c>
      <c r="E209" s="37"/>
      <c r="F209" s="34"/>
      <c r="G209" s="35"/>
      <c r="H209" s="34"/>
      <c r="I209" s="26">
        <f>SUM(I210)</f>
        <v>101000</v>
      </c>
    </row>
    <row r="210" spans="1:9" ht="18.75">
      <c r="A210" s="28"/>
      <c r="B210" s="29" t="s">
        <v>11</v>
      </c>
      <c r="C210" s="29" t="s">
        <v>12</v>
      </c>
      <c r="D210" s="30" t="s">
        <v>13</v>
      </c>
      <c r="E210" s="25" t="s">
        <v>14</v>
      </c>
      <c r="F210" s="34"/>
      <c r="G210" s="35"/>
      <c r="H210" s="34"/>
      <c r="I210" s="31">
        <f>101000</f>
        <v>101000</v>
      </c>
    </row>
    <row r="211" spans="1:9" ht="37.5">
      <c r="A211" s="22">
        <v>73</v>
      </c>
      <c r="B211" s="23"/>
      <c r="C211" s="23"/>
      <c r="D211" s="24" t="s">
        <v>268</v>
      </c>
      <c r="E211" s="37"/>
      <c r="F211" s="34"/>
      <c r="G211" s="35"/>
      <c r="H211" s="34"/>
      <c r="I211" s="26">
        <f>SUM(I212:I215)</f>
        <v>1311763</v>
      </c>
    </row>
    <row r="212" spans="1:9" ht="18.75">
      <c r="A212" s="28"/>
      <c r="B212" s="29" t="s">
        <v>11</v>
      </c>
      <c r="C212" s="29" t="s">
        <v>12</v>
      </c>
      <c r="D212" s="30" t="s">
        <v>13</v>
      </c>
      <c r="E212" s="25" t="s">
        <v>14</v>
      </c>
      <c r="F212" s="34"/>
      <c r="G212" s="35"/>
      <c r="H212" s="34"/>
      <c r="I212" s="31">
        <f>50000-13776</f>
        <v>36224</v>
      </c>
    </row>
    <row r="213" spans="1:9" ht="112.5">
      <c r="A213" s="28"/>
      <c r="B213" s="21" t="s">
        <v>113</v>
      </c>
      <c r="C213" s="21" t="s">
        <v>21</v>
      </c>
      <c r="D213" s="30" t="s">
        <v>17</v>
      </c>
      <c r="E213" s="25" t="s">
        <v>121</v>
      </c>
      <c r="F213" s="34"/>
      <c r="G213" s="35"/>
      <c r="H213" s="34"/>
      <c r="I213" s="31">
        <f>75539+24451</f>
        <v>99990</v>
      </c>
    </row>
    <row r="214" spans="1:9" ht="112.5">
      <c r="A214" s="28"/>
      <c r="B214" s="21" t="s">
        <v>92</v>
      </c>
      <c r="C214" s="21" t="s">
        <v>21</v>
      </c>
      <c r="D214" s="30" t="s">
        <v>128</v>
      </c>
      <c r="E214" s="25" t="s">
        <v>185</v>
      </c>
      <c r="F214" s="34"/>
      <c r="G214" s="35"/>
      <c r="H214" s="34"/>
      <c r="I214" s="31">
        <f>200000</f>
        <v>200000</v>
      </c>
    </row>
    <row r="215" spans="1:9" ht="131.25">
      <c r="A215" s="28"/>
      <c r="B215" s="21" t="s">
        <v>92</v>
      </c>
      <c r="C215" s="21" t="s">
        <v>21</v>
      </c>
      <c r="D215" s="30" t="s">
        <v>128</v>
      </c>
      <c r="E215" s="25" t="s">
        <v>152</v>
      </c>
      <c r="F215" s="34"/>
      <c r="G215" s="35"/>
      <c r="H215" s="34"/>
      <c r="I215" s="31">
        <f>200000+1000000-200000-24451</f>
        <v>975549</v>
      </c>
    </row>
    <row r="216" spans="1:9" ht="37.5">
      <c r="A216" s="22">
        <v>75</v>
      </c>
      <c r="B216" s="23"/>
      <c r="C216" s="23"/>
      <c r="D216" s="24" t="s">
        <v>269</v>
      </c>
      <c r="E216" s="37"/>
      <c r="F216" s="34"/>
      <c r="G216" s="35"/>
      <c r="H216" s="34"/>
      <c r="I216" s="26">
        <f>SUM(I217)</f>
        <v>43000</v>
      </c>
    </row>
    <row r="217" spans="1:9" ht="18.75">
      <c r="A217" s="28"/>
      <c r="B217" s="29" t="s">
        <v>11</v>
      </c>
      <c r="C217" s="29" t="s">
        <v>12</v>
      </c>
      <c r="D217" s="30" t="s">
        <v>13</v>
      </c>
      <c r="E217" s="25" t="s">
        <v>14</v>
      </c>
      <c r="F217" s="34"/>
      <c r="G217" s="35"/>
      <c r="H217" s="34"/>
      <c r="I217" s="31">
        <f>80000-16500-20500</f>
        <v>43000</v>
      </c>
    </row>
    <row r="218" spans="1:9" ht="37.5">
      <c r="A218" s="67">
        <v>76</v>
      </c>
      <c r="B218" s="68"/>
      <c r="C218" s="68"/>
      <c r="D218" s="24" t="s">
        <v>269</v>
      </c>
      <c r="E218" s="25"/>
      <c r="F218" s="69"/>
      <c r="G218" s="70"/>
      <c r="H218" s="69"/>
      <c r="I218" s="26">
        <f>SUM(I219)</f>
        <v>74761</v>
      </c>
    </row>
    <row r="219" spans="1:9" ht="18.75">
      <c r="A219" s="28"/>
      <c r="B219" s="21" t="s">
        <v>153</v>
      </c>
      <c r="C219" s="21" t="s">
        <v>75</v>
      </c>
      <c r="D219" s="30" t="s">
        <v>154</v>
      </c>
      <c r="E219" s="25" t="s">
        <v>14</v>
      </c>
      <c r="F219" s="34"/>
      <c r="G219" s="35"/>
      <c r="H219" s="34"/>
      <c r="I219" s="31">
        <f>I220</f>
        <v>74761</v>
      </c>
    </row>
    <row r="220" spans="1:9" ht="75">
      <c r="A220" s="28"/>
      <c r="B220" s="21"/>
      <c r="C220" s="29"/>
      <c r="D220" s="30" t="s">
        <v>155</v>
      </c>
      <c r="E220" s="25"/>
      <c r="F220" s="34"/>
      <c r="G220" s="35"/>
      <c r="H220" s="34"/>
      <c r="I220" s="31">
        <f>169960-87000-8199</f>
        <v>74761</v>
      </c>
    </row>
    <row r="221" spans="1:9" ht="18.75">
      <c r="A221" s="63"/>
      <c r="B221" s="63"/>
      <c r="C221" s="63"/>
      <c r="D221" s="64" t="s">
        <v>44</v>
      </c>
      <c r="E221" s="65"/>
      <c r="F221" s="66"/>
      <c r="G221" s="66"/>
      <c r="H221" s="66"/>
      <c r="I221" s="38">
        <f>SUM(I11,I14,I16,I19,I21,I55,I57,I76,I78,I80,I83,I87,I90,I92,I97,I182,I197,I201,I209,I211,I216,I218,I46,I49,I199)</f>
        <v>164321903</v>
      </c>
    </row>
    <row r="222" spans="1:9" ht="18.75">
      <c r="A222" s="1"/>
      <c r="B222" s="2"/>
      <c r="C222" s="2"/>
      <c r="D222" s="3"/>
      <c r="E222" s="4"/>
      <c r="F222" s="5"/>
      <c r="G222" s="56"/>
      <c r="H222" s="5"/>
      <c r="I222" s="5"/>
    </row>
    <row r="223" spans="1:9" ht="23.25">
      <c r="A223" s="39" t="s">
        <v>45</v>
      </c>
      <c r="B223" s="57"/>
      <c r="C223" s="57"/>
      <c r="D223" s="58"/>
      <c r="E223" s="59"/>
      <c r="F223" s="86" t="s">
        <v>53</v>
      </c>
      <c r="G223" s="86"/>
      <c r="H223" s="86"/>
      <c r="I223" s="60"/>
    </row>
    <row r="224" ht="15.75">
      <c r="I224" s="46">
        <f>'[1]Лист1'!$O$537-I221</f>
        <v>0</v>
      </c>
    </row>
    <row r="226" spans="2:9" ht="23.25">
      <c r="B226" s="2"/>
      <c r="C226" s="47" t="s">
        <v>156</v>
      </c>
      <c r="D226" s="48">
        <f>D227-D228</f>
        <v>2037700</v>
      </c>
      <c r="F226" s="51"/>
      <c r="G226" s="51"/>
      <c r="H226" s="51"/>
      <c r="I226" s="51"/>
    </row>
    <row r="227" spans="3:9" ht="18.75">
      <c r="C227" s="49" t="s">
        <v>157</v>
      </c>
      <c r="D227" s="50">
        <v>2037700</v>
      </c>
      <c r="E227" s="85"/>
      <c r="F227" s="51"/>
      <c r="G227" s="51"/>
      <c r="H227" s="51"/>
      <c r="I227" s="51"/>
    </row>
    <row r="228" spans="3:9" ht="18.75">
      <c r="C228" s="49" t="s">
        <v>158</v>
      </c>
      <c r="D228" s="50">
        <f>W221</f>
        <v>0</v>
      </c>
      <c r="F228" s="51"/>
      <c r="G228" s="51"/>
      <c r="H228" s="51"/>
      <c r="I228" s="51"/>
    </row>
    <row r="229" spans="1:9" ht="12.75">
      <c r="A229" s="61"/>
      <c r="F229" s="51"/>
      <c r="G229" s="51"/>
      <c r="H229" s="51"/>
      <c r="I229" s="51"/>
    </row>
    <row r="230" spans="6:9" ht="12.75">
      <c r="F230" s="51"/>
      <c r="G230" s="51"/>
      <c r="H230" s="51"/>
      <c r="I230" s="51"/>
    </row>
    <row r="231" spans="6:9" ht="12.75">
      <c r="F231" s="51"/>
      <c r="G231" s="51"/>
      <c r="H231" s="51"/>
      <c r="I231" s="51"/>
    </row>
    <row r="232" spans="6:9" ht="12.75">
      <c r="F232" s="51"/>
      <c r="G232" s="51"/>
      <c r="H232" s="51"/>
      <c r="I232" s="51"/>
    </row>
    <row r="233" spans="6:9" ht="12.75">
      <c r="F233" s="51"/>
      <c r="G233" s="51"/>
      <c r="H233" s="51"/>
      <c r="I233" s="51"/>
    </row>
    <row r="234" spans="6:9" ht="12.75">
      <c r="F234" s="51"/>
      <c r="G234" s="51"/>
      <c r="H234" s="51"/>
      <c r="I234" s="51"/>
    </row>
    <row r="235" spans="6:9" ht="12.75">
      <c r="F235" s="51"/>
      <c r="G235" s="51"/>
      <c r="H235" s="51"/>
      <c r="I235" s="51"/>
    </row>
    <row r="236" spans="6:9" ht="12.75">
      <c r="F236" s="51"/>
      <c r="G236" s="51"/>
      <c r="H236" s="51"/>
      <c r="I236" s="51"/>
    </row>
    <row r="237" spans="6:9" ht="12.75">
      <c r="F237" s="51"/>
      <c r="G237" s="51"/>
      <c r="H237" s="51"/>
      <c r="I237" s="51"/>
    </row>
    <row r="238" spans="6:9" ht="12.75">
      <c r="F238" s="51"/>
      <c r="G238" s="51"/>
      <c r="H238" s="51"/>
      <c r="I238" s="51"/>
    </row>
    <row r="239" spans="6:9" ht="12.75">
      <c r="F239" s="51"/>
      <c r="G239" s="51"/>
      <c r="H239" s="51"/>
      <c r="I239" s="51"/>
    </row>
    <row r="240" spans="6:9" ht="12.75">
      <c r="F240" s="51"/>
      <c r="G240" s="51"/>
      <c r="H240" s="51"/>
      <c r="I240" s="51"/>
    </row>
    <row r="241" spans="6:9" ht="12.75">
      <c r="F241" s="51"/>
      <c r="G241" s="51"/>
      <c r="H241" s="51"/>
      <c r="I241" s="51"/>
    </row>
  </sheetData>
  <sheetProtection/>
  <mergeCells count="3">
    <mergeCell ref="F223:H223"/>
    <mergeCell ref="G4:I4"/>
    <mergeCell ref="A7:I7"/>
  </mergeCells>
  <printOptions/>
  <pageMargins left="0.5905511811023623" right="0.1968503937007874" top="0.64" bottom="0.45" header="0.64" footer="0.11811023622047245"/>
  <pageSetup fitToHeight="45"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2016-10-31T09:48:36Z</cp:lastPrinted>
  <dcterms:created xsi:type="dcterms:W3CDTF">2015-10-08T13:35:36Z</dcterms:created>
  <dcterms:modified xsi:type="dcterms:W3CDTF">2016-11-02T09:33:07Z</dcterms:modified>
  <cp:category/>
  <cp:version/>
  <cp:contentType/>
  <cp:contentStatus/>
</cp:coreProperties>
</file>