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44" yWindow="480" windowWidth="13536" windowHeight="7128" activeTab="0"/>
  </bookViews>
  <sheets>
    <sheet name="02.2022" sheetId="1" r:id="rId1"/>
  </sheets>
  <definedNames>
    <definedName name="_Hlk88833253" localSheetId="0">'02.2022'!$E$231</definedName>
    <definedName name="_xlnm.Print_Titles" localSheetId="0">'02.2022'!$11:$16</definedName>
    <definedName name="_xlnm.Print_Area" localSheetId="0">'02.2022'!$A$1:$J$279</definedName>
  </definedNames>
  <calcPr fullCalcOnLoad="1"/>
</workbook>
</file>

<file path=xl/sharedStrings.xml><?xml version="1.0" encoding="utf-8"?>
<sst xmlns="http://schemas.openxmlformats.org/spreadsheetml/2006/main" count="748" uniqueCount="428">
  <si>
    <t>Програма забезпечення діяльності органів самоорганізації населення Кам'янської міської теріторіальної громади  на 2022-2026 роки</t>
  </si>
  <si>
    <t>Програма розвитку житлового господарства Кам’янської міської територіальної громади на 2022–2025 роки</t>
  </si>
  <si>
    <t xml:space="preserve">Програма
розвитку Комунального підприємства
Кам`янської міської ради
«Центральні тепломережі»
на 2022–2024 роки
</t>
  </si>
  <si>
    <t xml:space="preserve">Програма
розвитку Комунального підприємства
Кам’янської міської ради
«Добробут» на 2022–2025 роки
</t>
  </si>
  <si>
    <t xml:space="preserve">Програма
розвитку Комунального підприємства
Кам’янської міської ради
«Кам’янська теплопостачальна 
компанія» на 2022–2025 роки
</t>
  </si>
  <si>
    <t xml:space="preserve"> Програма
розвитку та утримання
Комунального підприємства
Кам’янської міської ради
«Управляюча компанія
по обслуговуванню житлового фонду»
на 2022 рік
</t>
  </si>
  <si>
    <t xml:space="preserve">Комплексна 
програма «Розвиток комунальної аптечної мережі Кам’янської міської територіальної громади» 
на 2022–2024 роки
</t>
  </si>
  <si>
    <t xml:space="preserve"> Програма розвитку земельних відносин
Кам’янської міської територіальної громади
 на 2022–2023 роки
</t>
  </si>
  <si>
    <t xml:space="preserve">Програма розвитку
міського електричного транспорту 
Кам’янської міської територіальної громади
на 2022-2025 роки
</t>
  </si>
  <si>
    <t xml:space="preserve">Програма розвитку Комунального підприємства Кам’янської міської ради «Екосервіс» на 2022 рік </t>
  </si>
  <si>
    <t xml:space="preserve">Програма розвитку 
Комунального підприємства Кам’янської 
міської ради «Парки Кам’янського»  
на 2022–2023 роки
</t>
  </si>
  <si>
    <t>Програма розвитку культури Кам`янської міської територіальної громади на 2022 рік</t>
  </si>
  <si>
    <t>Програма підтримки внутрішньо переміщених осіб на 2022 рік</t>
  </si>
  <si>
    <t>Програма благоустрою на території Кам`янської міської територіальної громади на 2022-2024 роки</t>
  </si>
  <si>
    <t>Програма розвитку транспортного комплексу Кам'янської міської територіальної громади на 2022-2025 роки</t>
  </si>
  <si>
    <t>Програма розвитку міського електричного транспорту Кам'янської міської територіальної громади на 2022-2025 роки</t>
  </si>
  <si>
    <t xml:space="preserve"> Програма по проведенню технічної інвентаризації об’єктів комунальної власності Кам’янської міської територіальної громади </t>
  </si>
  <si>
    <t xml:space="preserve">Програма партиципаторного бюджетування (бюджету участі) Кам’янської міської територіальної громади на 2022–2026 роки </t>
  </si>
  <si>
    <t xml:space="preserve">Програма
захисту прав дітей та розвитку сімейних форм виховання Кам’янської міської територіальної громади на 2022–2025 роки
</t>
  </si>
  <si>
    <t xml:space="preserve"> Програма «Молодь Кам’янської міської територіальної громади на 2022–2026 роки»</t>
  </si>
  <si>
    <t>Програма розвитку фізичної культури і спорту Кам’янської міської територіальної громади на 2022–2026 роки</t>
  </si>
  <si>
    <r>
      <t>Будівництво</t>
    </r>
    <r>
      <rPr>
        <sz val="18"/>
        <rFont val="Calibri"/>
        <family val="2"/>
      </rPr>
      <t>¹</t>
    </r>
    <r>
      <rPr>
        <sz val="18"/>
        <rFont val="Times New Roman"/>
        <family val="1"/>
      </rPr>
      <t xml:space="preserve"> установ та закладів соціальної сфери</t>
    </r>
  </si>
  <si>
    <t>7366</t>
  </si>
  <si>
    <t>Програма економічного і соціального розвитку Кам'янської міської територіальної громади на 2022рік</t>
  </si>
  <si>
    <t>Програма забезпечення заходів щодо набуття права власності (користування) на житло мешканцями при відселенні з аварійних (непридатних для проживання) житлових приміщень, будинків</t>
  </si>
  <si>
    <t>2918110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</si>
  <si>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</si>
  <si>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</si>
  <si>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</si>
  <si>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Програма вдосконалення і розвитку місцевої системи централізованого оповіщення цивільного захисту на території Кам'янської міської територіальної громади на 2022-2023 роки</t>
  </si>
  <si>
    <t>Комплексна програма «Здоров'я  населення  Кам'янської міської територіальної громадина  2022-2024 роки"</t>
  </si>
  <si>
    <t>Програма безпечної життєдіяльності населення в закладах охорони здоров'я Кам'янської міської територіальної громадина  2022-2025 роки"</t>
  </si>
  <si>
    <t>Програма розвитку освіти Кам'янської міської територіальної громади на 2022-2025 роки</t>
  </si>
  <si>
    <t xml:space="preserve"> Програма «Шкільний автобус» на 2022-2025 роки</t>
  </si>
  <si>
    <t>Програма забезпечення пожежної безпеки в закладах освіти та культури Кам'янської міської територіальної громади на 2022 рік</t>
  </si>
  <si>
    <t xml:space="preserve">Програма енергоефективності та зменшення споживання енергетичних ресурсів Кам’янської міської територіальної громади на 2022 рік </t>
  </si>
  <si>
    <t>0813050</t>
  </si>
  <si>
    <t>Пільгове медичне обслуговування осіб, які постраждали внаслідок Чорнобильської катастрофи</t>
  </si>
  <si>
    <t>у тому числі інші субвенції з місцевого бюджету (субвенція з обласного бюджету місцевим бюджетам на пільгове медичне обслуговування осіб, які постраждали внаслідок Чорнобильської катастрофи)</t>
  </si>
  <si>
    <t xml:space="preserve">Комплексна програма реалізації містобудівної політики Кам’янської міської територіальної громади на 2022 – 2029 роки </t>
  </si>
  <si>
    <t xml:space="preserve">Програма розвитку місцевого самоврядування Кам'янської міської теріторіальної громади  на 2022-2026 роки </t>
  </si>
  <si>
    <t xml:space="preserve">Програма розвитку місцевого самоврядування Кам'янської міської теріторіальної громади на 2022-2026 роки </t>
  </si>
  <si>
    <t>Наталія КТІТАРОВА</t>
  </si>
  <si>
    <t>0717670</t>
  </si>
  <si>
    <t>3242</t>
  </si>
  <si>
    <t>Інші заходи у сфері соціального захисту і соціального забезпечення</t>
  </si>
  <si>
    <t>0813192</t>
  </si>
  <si>
    <t>0813241</t>
  </si>
  <si>
    <t>0813242</t>
  </si>
  <si>
    <t>Забезпечення діяльності  інших закладів у сфері соціального захисту і  соціального забезпечення</t>
  </si>
  <si>
    <t>Надання соціальних гарантій фізичним особам, які надають соціальні послуги громадянам похилого віку,особам з  інвалідністю, дітям  з  інвалідністю, хворим, які не здатні до самообслуговування і потребують сторонньої допомоги</t>
  </si>
  <si>
    <t>Інші програми та заходи у сфері освіти</t>
  </si>
  <si>
    <t>Підготовка земельних ділянок несількогосподарського призначення або прав на них комунальної власності для продажу на земельних торгах та проведення таких торгів</t>
  </si>
  <si>
    <t>0913242</t>
  </si>
  <si>
    <t>1517321</t>
  </si>
  <si>
    <t>7321</t>
  </si>
  <si>
    <t xml:space="preserve">Амбулаторно-поліклінічна допомога населенню,крім первинної медичної допомоги </t>
  </si>
  <si>
    <t>0712080</t>
  </si>
  <si>
    <t>2080</t>
  </si>
  <si>
    <t>0721</t>
  </si>
  <si>
    <t>1100000</t>
  </si>
  <si>
    <t>1110000</t>
  </si>
  <si>
    <t>1113131</t>
  </si>
  <si>
    <t>1113242</t>
  </si>
  <si>
    <t>1090</t>
  </si>
  <si>
    <t>1115021</t>
  </si>
  <si>
    <t>1115022</t>
  </si>
  <si>
    <t>5022</t>
  </si>
  <si>
    <t>1115031</t>
  </si>
  <si>
    <t>1115032</t>
  </si>
  <si>
    <t>1115061</t>
  </si>
  <si>
    <t>5061</t>
  </si>
  <si>
    <t>1115062</t>
  </si>
  <si>
    <t>5062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</si>
  <si>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</si>
  <si>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Інші програми та заходи у сфері охорони здоров`я</t>
  </si>
  <si>
    <t>0614082</t>
  </si>
  <si>
    <t>0829</t>
  </si>
  <si>
    <t>Інші заходи в галузі культури та мистецтва</t>
  </si>
  <si>
    <t>(грн)</t>
  </si>
  <si>
    <t>Найменування головного розпорядника коштів міського бюджету/ відповідального виконавця,найменування  бюджетної програми  згідно з Типовою програмною класифікацією видатків та кредитування місцевих бюджетів</t>
  </si>
  <si>
    <t>Х</t>
  </si>
  <si>
    <t>УСЬОГО</t>
  </si>
  <si>
    <t>Проведення експертної грошової оцінки земельної ділянки чи права на неї</t>
  </si>
  <si>
    <t>2151</t>
  </si>
  <si>
    <t>Забезпечення діяльності інших закладів охорони здоров'я</t>
  </si>
  <si>
    <t>Утримання та розвиток автомобільних доріг та дорожньої інфраструктури за рахунок коштів місцевого бюджету</t>
  </si>
  <si>
    <t>0614030</t>
  </si>
  <si>
    <t>Забезпечення діяльності бібліотек</t>
  </si>
  <si>
    <t>0614040</t>
  </si>
  <si>
    <t>4040</t>
  </si>
  <si>
    <t>0824</t>
  </si>
  <si>
    <t>Забезпечення діяльності музеїв i виставок</t>
  </si>
  <si>
    <t>Департамент економічного розвитку міської ради</t>
  </si>
  <si>
    <t>5031</t>
  </si>
  <si>
    <t>Утримання та навчально-тренувальна робота комунальних дитячо-юнацьких спортивних шкіл</t>
  </si>
  <si>
    <t>до рішення міської ради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</si>
  <si>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</si>
  <si>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</si>
  <si>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</si>
  <si>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</si>
  <si>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1517530</t>
  </si>
  <si>
    <t>7530</t>
  </si>
  <si>
    <t>0460</t>
  </si>
  <si>
    <t>Інші заходи у сфері зв'язку, телекомунікації та інформатики</t>
  </si>
  <si>
    <t>Загальний фонд</t>
  </si>
  <si>
    <t>Спеціальний фонд</t>
  </si>
  <si>
    <t>0100000</t>
  </si>
  <si>
    <t>0110000</t>
  </si>
  <si>
    <t>0830</t>
  </si>
  <si>
    <t>0133</t>
  </si>
  <si>
    <t>1050</t>
  </si>
  <si>
    <t>Організація та проведення громадських робіт</t>
  </si>
  <si>
    <t>0620</t>
  </si>
  <si>
    <t>Департамент з гуманітарних питань  міської ради</t>
  </si>
  <si>
    <t>0910</t>
  </si>
  <si>
    <t>0921</t>
  </si>
  <si>
    <t>0960</t>
  </si>
  <si>
    <t>0990</t>
  </si>
  <si>
    <t>1040</t>
  </si>
  <si>
    <t>0810</t>
  </si>
  <si>
    <t xml:space="preserve">Дата та номер документа, яким затверджено місцеву регіональну програму </t>
  </si>
  <si>
    <t>Усього</t>
  </si>
  <si>
    <t>усього</t>
  </si>
  <si>
    <t>у тому числі бюджет розвитку</t>
  </si>
  <si>
    <t>0490</t>
  </si>
  <si>
    <t>0731</t>
  </si>
  <si>
    <t>0763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</si>
  <si>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</si>
  <si>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</si>
  <si>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Компенсаційні виплати на пільговий проїзд електротранспортом окремим категоріям громадян</t>
  </si>
  <si>
    <t>3100000</t>
  </si>
  <si>
    <t>3110000</t>
  </si>
  <si>
    <t>Відділ реклами міської ради</t>
  </si>
  <si>
    <t>Департамент муніципальних послуг та  регуляторної політики  міської ради</t>
  </si>
  <si>
    <t>Департамент  комунальної власності, земельних відносин та реєстрації речових прав на нерухоме майно міської ради</t>
  </si>
  <si>
    <t>0421</t>
  </si>
  <si>
    <t>Департамент житлово-комунального господарства та будівництва міської ради</t>
  </si>
  <si>
    <t>0456</t>
  </si>
  <si>
    <t>0180</t>
  </si>
  <si>
    <t>Управління  містобудування та архітектури міської ради</t>
  </si>
  <si>
    <t>0443</t>
  </si>
  <si>
    <t>Інші заходи та заклади молодіжної політики</t>
  </si>
  <si>
    <t>0540</t>
  </si>
  <si>
    <t>Управління  транспортної інфраструктури та зв`язку міської ради</t>
  </si>
  <si>
    <t>Інші заходи у сфері електротранспорту</t>
  </si>
  <si>
    <t>0451</t>
  </si>
  <si>
    <t>Управління  з питань надзвичайних ситуацій та цивільного захисту населення міської ради</t>
  </si>
  <si>
    <t>0470</t>
  </si>
  <si>
    <t>1110180</t>
  </si>
  <si>
    <t>Служба у справах дітей міської ради</t>
  </si>
  <si>
    <t>Здійснення заходів та реалізація проектів на виконання Державної цільової соціальної програми `Молодь України`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</si>
  <si>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</si>
  <si>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Заходи державної політики з питань сім`ї</t>
  </si>
  <si>
    <t>Заходи державної політики з питань дітей та їх соціального захисту</t>
  </si>
  <si>
    <t>Багатопрофільна стаціонарна медична допомога населенню</t>
  </si>
  <si>
    <t>3416020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</si>
  <si>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</si>
  <si>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Внески до статутного капіталу суб'єктів господарювання</t>
  </si>
  <si>
    <t>Заходи з енергозбереження</t>
  </si>
  <si>
    <t>Управління охорони здоров'я міської ради</t>
  </si>
  <si>
    <t>0710000</t>
  </si>
  <si>
    <t>0712010</t>
  </si>
  <si>
    <t>0118410</t>
  </si>
  <si>
    <t>Фінансова підтримка засобів масової інформації</t>
  </si>
  <si>
    <t>0600000</t>
  </si>
  <si>
    <t>Департамент соціальної політики міської ради</t>
  </si>
  <si>
    <t>(код бюджету)</t>
  </si>
  <si>
    <t>0610000</t>
  </si>
  <si>
    <t>3131</t>
  </si>
  <si>
    <t>0613140</t>
  </si>
  <si>
    <t>3140</t>
  </si>
  <si>
    <t>0700000</t>
  </si>
  <si>
    <t>0800000</t>
  </si>
  <si>
    <t>0810000</t>
  </si>
  <si>
    <t>0813031</t>
  </si>
  <si>
    <t xml:space="preserve">Надання інших пільг окремим категоріям громадян відповідно  до законодавства </t>
  </si>
  <si>
    <t>0813033</t>
  </si>
  <si>
    <t>0813035</t>
  </si>
  <si>
    <t>0813036</t>
  </si>
  <si>
    <t>0813123</t>
  </si>
  <si>
    <t>0813140</t>
  </si>
  <si>
    <t>0813180</t>
  </si>
  <si>
    <t>0813160</t>
  </si>
  <si>
    <t>0900000</t>
  </si>
  <si>
    <t>0910000</t>
  </si>
  <si>
    <t>0913111</t>
  </si>
  <si>
    <t>3111</t>
  </si>
  <si>
    <t>0913112</t>
  </si>
  <si>
    <t>3112</t>
  </si>
  <si>
    <t>1500000</t>
  </si>
  <si>
    <t>1510000</t>
  </si>
  <si>
    <t>2800000</t>
  </si>
  <si>
    <t>2810000</t>
  </si>
  <si>
    <t>1900000</t>
  </si>
  <si>
    <t>1910000</t>
  </si>
  <si>
    <t>Здійснення заходів із землеустрою</t>
  </si>
  <si>
    <t>3400000</t>
  </si>
  <si>
    <t>3410000</t>
  </si>
  <si>
    <t>Природоохоронні заходи за рахунок цільових фондів</t>
  </si>
  <si>
    <t>0611010</t>
  </si>
  <si>
    <t>Надання дошкільної освітии</t>
  </si>
  <si>
    <t>0913113</t>
  </si>
  <si>
    <t>3113</t>
  </si>
  <si>
    <t>Підтримка та утримання малих групових будинків</t>
  </si>
  <si>
    <t>Експлуатація та технічне обслуговування житлового фонду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</si>
  <si>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</si>
  <si>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0110180</t>
  </si>
  <si>
    <t>0610180</t>
  </si>
  <si>
    <t>0710180</t>
  </si>
  <si>
    <t>0810180</t>
  </si>
  <si>
    <t>0910180</t>
  </si>
  <si>
    <t>х</t>
  </si>
  <si>
    <t>Департамент  екології та природних ресурсів міської ради</t>
  </si>
  <si>
    <t>0116017</t>
  </si>
  <si>
    <t>0116030</t>
  </si>
  <si>
    <t>0113133</t>
  </si>
  <si>
    <t>5021</t>
  </si>
  <si>
    <t>5041</t>
  </si>
  <si>
    <t>Утримання центрів фізичної культури і спорту осіб з інвалідністю і реабілітаційних шкіл</t>
  </si>
  <si>
    <t>Утримання та фінансова підтримка спортивних споруд</t>
  </si>
  <si>
    <t>Підтримка спорту вищих досягнень та організацій, які здійснюють фізкультурно-спортивну діяльність в регіоні</t>
  </si>
  <si>
    <t>5032</t>
  </si>
  <si>
    <t>Фінансова підтримка дитячо-юнацьких спортивних шкіл фізкультурно-спортивних товариств</t>
  </si>
  <si>
    <t>Додаток 6</t>
  </si>
  <si>
    <t>Надання позашкільної освіти закладами позашкільної освіти, заходи із позашкільної роботи з дітьми</t>
  </si>
  <si>
    <t>Організація благоустрою населених пунктів</t>
  </si>
  <si>
    <t>Департамент фінансів міської ради</t>
  </si>
  <si>
    <t>0617340</t>
  </si>
  <si>
    <t>Проектування, реставрація та охорона пам'яток архітектури</t>
  </si>
  <si>
    <t>0611070</t>
  </si>
  <si>
    <t>6017</t>
  </si>
  <si>
    <t>Управління державного архітектурно-будівельного контролю міської ради</t>
  </si>
  <si>
    <t>0614010</t>
  </si>
  <si>
    <t>4010</t>
  </si>
  <si>
    <t>0821</t>
  </si>
  <si>
    <t>4030</t>
  </si>
  <si>
    <t>Фінансова підтримка театрів</t>
  </si>
  <si>
    <t>1513242</t>
  </si>
  <si>
    <t>2917330</t>
  </si>
  <si>
    <t>7330</t>
  </si>
  <si>
    <t>1617530</t>
  </si>
  <si>
    <t>Надання фінансової підтримки громадським об'єднанням ветеранів  і осіб з інвалідністю, діяльність яких має соціальну спрямованість</t>
  </si>
  <si>
    <t>0611021</t>
  </si>
  <si>
    <t>1021</t>
  </si>
  <si>
    <t xml:space="preserve">Надання загальної середньої освіти закладами загальної середньої освіти </t>
  </si>
  <si>
    <t>0611022</t>
  </si>
  <si>
    <t>1022</t>
  </si>
  <si>
    <t>0611080</t>
  </si>
  <si>
    <t>1080</t>
  </si>
  <si>
    <t>0611142</t>
  </si>
  <si>
    <t>1142</t>
  </si>
  <si>
    <t>Будівництво¹ освітніх установ та закладів</t>
  </si>
  <si>
    <t>Будівництво¹ медичних установ та закладів</t>
  </si>
  <si>
    <t>Будівництво¹ об'єктів житлово-комунального господарства</t>
  </si>
  <si>
    <t>Будівництво¹ інших об'єктів комунальної власності</t>
  </si>
  <si>
    <t>0455</t>
  </si>
  <si>
    <t>3133</t>
  </si>
  <si>
    <t>Інша діяльність у сфері державного управління</t>
  </si>
  <si>
    <t>0813032</t>
  </si>
  <si>
    <t>3032</t>
  </si>
  <si>
    <t>Надання пільг окремим категоріям громадян з оплати послуг зв'язку</t>
  </si>
  <si>
    <t>1070</t>
  </si>
  <si>
    <t>Надання дошкільної освіти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</si>
  <si>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</si>
  <si>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0717322</t>
  </si>
  <si>
    <t>2111</t>
  </si>
  <si>
    <t>'Первинна медична допомога населенню, що надається центрами первинної медичної (медико-санітарної) допомоги</t>
  </si>
  <si>
    <t>0726</t>
  </si>
  <si>
    <t>0712111</t>
  </si>
  <si>
    <t>3719800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</si>
  <si>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</si>
  <si>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Управління молоді та спорту міської ради</t>
  </si>
  <si>
    <t>Забезпеченння діяльності палаців і будинків культури, клубів, центрів дозвілля та інших клубних закладів</t>
  </si>
  <si>
    <t>0614060</t>
  </si>
  <si>
    <t>0828</t>
  </si>
  <si>
    <t>Відділ з питань інфраструктурного розвитку Карнаухівського старостинського округу міської ради</t>
  </si>
  <si>
    <t>6030</t>
  </si>
  <si>
    <t>0922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</si>
  <si>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</si>
  <si>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Секретар міської ради</t>
  </si>
  <si>
    <t>7670</t>
  </si>
  <si>
    <t>2817670</t>
  </si>
  <si>
    <t>1610180</t>
  </si>
  <si>
    <t>1700000</t>
  </si>
  <si>
    <t>1710000</t>
  </si>
  <si>
    <t>1710180</t>
  </si>
  <si>
    <t>1910180</t>
  </si>
  <si>
    <t>2710180</t>
  </si>
  <si>
    <t>2810180</t>
  </si>
  <si>
    <t>2900000</t>
  </si>
  <si>
    <t>2910180</t>
  </si>
  <si>
    <t>3110180</t>
  </si>
  <si>
    <t>3200000</t>
  </si>
  <si>
    <t>3210000</t>
  </si>
  <si>
    <t>3210180</t>
  </si>
  <si>
    <t>3410180</t>
  </si>
  <si>
    <t>Кам'янська міська рада</t>
  </si>
  <si>
    <t>0610</t>
  </si>
  <si>
    <t>3116086</t>
  </si>
  <si>
    <t>6086</t>
  </si>
  <si>
    <t xml:space="preserve">Інша діяльність щодо забезпечення житлом громадян </t>
  </si>
  <si>
    <t>7693</t>
  </si>
  <si>
    <t>Інші заходи, пов'язані з економічною діяльністю</t>
  </si>
  <si>
    <t>Інші заходи у сфері автотранспорту</t>
  </si>
  <si>
    <t>3160</t>
  </si>
  <si>
    <t>1517322</t>
  </si>
  <si>
    <t>7322</t>
  </si>
  <si>
    <t>1516086</t>
  </si>
  <si>
    <t>Інша діяльність щодо забезпечення житлом громадян</t>
  </si>
  <si>
    <t>0712151</t>
  </si>
  <si>
    <t>1917426</t>
  </si>
  <si>
    <t>7426</t>
  </si>
  <si>
    <t>2717640</t>
  </si>
  <si>
    <t>7640</t>
  </si>
  <si>
    <t>3117693</t>
  </si>
  <si>
    <t>Інші заходи, пов`язані з економічною діяльністю</t>
  </si>
  <si>
    <t>04571000000</t>
  </si>
  <si>
    <t>Будівництво об'єктів житлово-комунального господарства</t>
  </si>
  <si>
    <t>1517366</t>
  </si>
  <si>
    <t>Інша діяльність, пов'язана з експлуатацією об'єктів житлово-комунального господарства</t>
  </si>
  <si>
    <t>Проведення навчально-тренувальних зборів і змагань та заходів зі спорту осіб з інвалідністю</t>
  </si>
  <si>
    <t>0712152</t>
  </si>
  <si>
    <t xml:space="preserve">Розподіл витрат бюджету Кам’янської міської територіальної громади на реалізацію місцевих /регіональних програм  у 2022 році
 </t>
  </si>
  <si>
    <t>Надання спеціалізованої освіти мистецькими школами</t>
  </si>
  <si>
    <t>1400000</t>
  </si>
  <si>
    <t>1410000</t>
  </si>
  <si>
    <t>1413242</t>
  </si>
  <si>
    <t>1416030</t>
  </si>
  <si>
    <t>Програми підтримки органів самоорганізації населення Кам`янської міської територіальної громади у виконанні власних повноважень на 2022-2026 роки</t>
  </si>
  <si>
    <t xml:space="preserve">Програма підтримки об’єднань співвласників багатоквартирних будинків, житлово-будівельних кооперативів та обслуговуючих кооперативів Кам’янської міської територіальної громади на 2022–2026 роки
</t>
  </si>
  <si>
    <t xml:space="preserve">Програма благоустрою на території Кам’янської міської територіальної громади на 2022–2024 роки </t>
  </si>
  <si>
    <t xml:space="preserve">Програма розвитку житлового господарства Кам’янської міської територіальної громади на 2022–2025 роки
</t>
  </si>
  <si>
    <t xml:space="preserve">Програма розвитку Комунальної установи «Притулок для тварин» Кам’янської міської ради на 2022–2025 роки
 Програма регулювання чисельності безпритульних тварин Кам’янської міської територіальної громади на 2022–2025 роки </t>
  </si>
  <si>
    <t>Програма розвитку освіти Кам'янської міської територіальної громади на   2022-2025 роки</t>
  </si>
  <si>
    <t>Програма розвитку та діяльності Комунальної установи «Центр молодіжних ініціатив» Кам’янської міської ради на 2022 рік</t>
  </si>
  <si>
    <t xml:space="preserve"> Програма розвитку муніципального телебачення ТРК «МІС» на 2022 рік</t>
  </si>
  <si>
    <t>Програма підтримки Комунального підприємства Кам’янської міської ради «Міська інформаційна служба»                      на 2022 рік</t>
  </si>
  <si>
    <t xml:space="preserve">Програма розвитку місцевого самоврядування Кам'янської міської теріторіальної громади                                       на 2022-2026 роки </t>
  </si>
  <si>
    <t xml:space="preserve">Програма розвитку сімейної та гендерної політики на території Кам'янської міської теріторіальної громади на 2022-2026 роки  </t>
  </si>
  <si>
    <t xml:space="preserve">Програма соціального захисту населення Кам'янської міської теріторіальної громади на                   2022-2026 роки </t>
  </si>
  <si>
    <t>Комплексна програма соціального захисту та підтримки учасників антитерористичної операції / операції об'єднаних сил, членів їх сімей та членів сімей загиблих (померлих) учасників антитерористичної операції / операції об'єднаних сил Кам'янської міської теріторіальної громади на 2022 рік</t>
  </si>
  <si>
    <t>Програма забезпечення муніципальною надбавкою деяких працівників Комунального закладу "Центр надання соціальних послуг" Кам'янської міської  ради на 2022-2026 роки</t>
  </si>
  <si>
    <t xml:space="preserve">Програма розвитку культури Кам'янської міської територіальної громади на 2022 рік </t>
  </si>
  <si>
    <t>1115041</t>
  </si>
  <si>
    <t xml:space="preserve">Програма щодо створення безбар’єрного середовища для осіб з інвалідністю та інших маломобільних груп населення Кам’янської міської територіальної громади на 2022–2029 роки
</t>
  </si>
  <si>
    <t xml:space="preserve">Програма соціального захисту населення Кам'янської міської теріторіальної громади на 2022-2026 роки </t>
  </si>
  <si>
    <r>
      <t xml:space="preserve">від </t>
    </r>
    <r>
      <rPr>
        <u val="single"/>
        <sz val="22"/>
        <rFont val="Times New Roman"/>
        <family val="1"/>
      </rPr>
      <t>22.12.2021</t>
    </r>
    <r>
      <rPr>
        <sz val="22"/>
        <rFont val="Times New Roman"/>
        <family val="1"/>
      </rPr>
      <t xml:space="preserve"> №</t>
    </r>
    <r>
      <rPr>
        <u val="single"/>
        <sz val="22"/>
        <rFont val="Times New Roman"/>
        <family val="1"/>
      </rPr>
      <t>385-14/VIII</t>
    </r>
  </si>
  <si>
    <t xml:space="preserve">Програма диспетчеризації процесів підприємств, установ, організацій життєдіяльності Кам’янської міської територіальної громади на 2022–2023 роки </t>
  </si>
  <si>
    <t>22.12.2021 №484-14/VIII</t>
  </si>
  <si>
    <t>22.12.2021 №479-14/VIII</t>
  </si>
  <si>
    <t>22.12.2021 №480-14/VIII</t>
  </si>
  <si>
    <t>22.12.2021 №478-14/VIII</t>
  </si>
  <si>
    <t>22.12.2021 №457-14/VIII</t>
  </si>
  <si>
    <t>22.12.2021 №425-14/VIII    22.12.2021 №426-14/VIII</t>
  </si>
  <si>
    <t>22.12.2021 №409-14/VIII</t>
  </si>
  <si>
    <t>22.12.2021 №427-14/VIII</t>
  </si>
  <si>
    <t>22.12.2021 №429-14/VIII</t>
  </si>
  <si>
    <t>22.12.2021 №447-14/VIII</t>
  </si>
  <si>
    <t>22.12.2021 №450-14/VIII</t>
  </si>
  <si>
    <t>22.12.2021 №451-14/VIII</t>
  </si>
  <si>
    <t>22.12.2021 №454-14/VIII</t>
  </si>
  <si>
    <t>22.12.2021 №467-14/VIII</t>
  </si>
  <si>
    <t>22.12.2021 №473-14/VIII</t>
  </si>
  <si>
    <t>22.12.2021 №391-14/VIII</t>
  </si>
  <si>
    <t>22.12.2021 №392-14/VIII</t>
  </si>
  <si>
    <t>22.12.2021 №393-14/VIII</t>
  </si>
  <si>
    <t>22.12.2021 №406-14/VIII</t>
  </si>
  <si>
    <t>22.12.2021 №408-14/VIII</t>
  </si>
  <si>
    <t>22.12.2021 №421-14/VIII</t>
  </si>
  <si>
    <t>22.12.2021 №422-14/VIII</t>
  </si>
  <si>
    <t>22.12.2021 №433-14/VIII</t>
  </si>
  <si>
    <t>22.12.2021 №471-14/VIII</t>
  </si>
  <si>
    <t>22.12.2021 №460-14/VIII</t>
  </si>
  <si>
    <t>22.12.2021 №455-14/VIII</t>
  </si>
  <si>
    <t>22.12.2021 №461-14/VIII</t>
  </si>
  <si>
    <t>22.12.2021 №431-14/VIII</t>
  </si>
  <si>
    <t>22.12.2021 №438-14/VIII</t>
  </si>
  <si>
    <t>22.12.2021 №501-14/VIII</t>
  </si>
  <si>
    <t>22.12.2021 №477-14/VIII</t>
  </si>
  <si>
    <t>22.12.2021 №488-14/VIII</t>
  </si>
  <si>
    <t>22.12.2021 №486-14/VIII</t>
  </si>
  <si>
    <t>22.12.2021 №487-14/VIII</t>
  </si>
  <si>
    <t>22.12.2021 №474-14/VIII</t>
  </si>
  <si>
    <t>22.12.2021 №475-14/VIII</t>
  </si>
  <si>
    <t>22.12.2021 №463-14/VIII</t>
  </si>
  <si>
    <t>22.12.2021 №464-14/VIII</t>
  </si>
  <si>
    <t>22.12.2021 №466-14/VIII</t>
  </si>
  <si>
    <t>22.12.2021 №468-14/VIII</t>
  </si>
  <si>
    <t>(у редакції рішення міської ради</t>
  </si>
  <si>
    <t>1517130</t>
  </si>
  <si>
    <t xml:space="preserve">Програму розвитку системи зовнішнього відеоспостереження Кам’янської міської територіальної громади </t>
  </si>
  <si>
    <t xml:space="preserve">на 2022–2023 роки </t>
  </si>
  <si>
    <t>22.12.2021 №506-14/VIII</t>
  </si>
  <si>
    <t xml:space="preserve"> Програма
розвитку Комунального підприємства
Кам’янської міської ради
«Інформаційні системи»
на 2022–2023 роки
</t>
  </si>
  <si>
    <t xml:space="preserve"> Програма
розвитку та утримання
Комунального підприємства
Кам’янської міської ради
«Південні тепломережі»
 на 2022–2024 роки
</t>
  </si>
  <si>
    <t>22.12.2021 №448-14/VIII</t>
  </si>
  <si>
    <t>1516015</t>
  </si>
  <si>
    <t>Забезпечення надійної та безперебійної експлуатації ліфтів</t>
  </si>
  <si>
    <t>0611151</t>
  </si>
  <si>
    <t>1151</t>
  </si>
  <si>
    <t>Забезпечення діяльності інклюзивно-ресурсних центрів за рахунок коштів міського бюджету</t>
  </si>
  <si>
    <t>0611061</t>
  </si>
  <si>
    <t>1061</t>
  </si>
  <si>
    <t>8230</t>
  </si>
  <si>
    <t>0380</t>
  </si>
  <si>
    <t>Інші заходи громадського порядку та безпеки</t>
  </si>
  <si>
    <t>Програму розвитку системи зовнішнього відеоспостереження Кам’янської міської територіальної громади на 2022-2023 роки</t>
  </si>
  <si>
    <t>Програма розвитку цивільного захисту та забезпечення пожежної безпеки на території  Кам’янської міської  територіальної громади на 2022‒2023 роки</t>
  </si>
  <si>
    <t xml:space="preserve">22.12.2021          №469-14/VIIІ </t>
  </si>
  <si>
    <t>Програма підвищення боєздатності та функціонування Кам’янського районного територіального центру комплектування та соціальної підтримки та військової частини А4608 на 2022 рік</t>
  </si>
  <si>
    <t>Комплексна Програма забезпечення громадського (публічного) порядку та безпеки на території Кам’янської міської територіальної громади  на 2022–2025 роки</t>
  </si>
  <si>
    <t>22.12.2021           №481-14/VIІI (зі змінами)</t>
  </si>
  <si>
    <t xml:space="preserve"> Екологічна програма Кам’янської міської  територіальної громади на 2022–2025 роки»</t>
  </si>
  <si>
    <t>у тому числі 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</si>
  <si>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у тому числі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</si>
  <si>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у тому числі інші субвенції з місцевого бюджету  (субвенція з обласного бюджету місцевим бюджетам на забезпечення централізованою подачею кисню ліжкового фонду закладів охорони здоров’я, які надають стаціонарну медичну допомогу пацієнтам з гострою респіраторною хворобою COVID-19, спричиненою коронавірусом SARS-CoV-2)</t>
  </si>
  <si>
    <t>у тому числі інші субвенції з місцевого бюджету (субвенція з обласного бюджету місцевим бюджетам на забезпечення централізованою подачею кисню ліжкового фонду закладів охорони здоров’я, які надають стаціонарну медичну допомогу пацієнтам з гострою респіраторною хворобою COVID-19, спричиненою коронавірусом SARS-CoV-2) (за рахунок залишку, що утворився на 01.01.2022)</t>
  </si>
  <si>
    <t>у тому числі субвенція з місцевого бюджету на закупівлю опорними закладами охорони здоров’я послуг щодо проектування та встановлення кисневих станцій за рахунок відповідної субвенції з державного бюджету  (за рахунок залишку, що утворився на 01.01.2022)</t>
  </si>
  <si>
    <r>
      <t xml:space="preserve">від </t>
    </r>
    <r>
      <rPr>
        <u val="single"/>
        <sz val="22"/>
        <rFont val="Times New Roman"/>
        <family val="1"/>
      </rPr>
      <t>25.02.2022</t>
    </r>
    <r>
      <rPr>
        <sz val="22"/>
        <rFont val="Times New Roman"/>
        <family val="1"/>
      </rPr>
      <t xml:space="preserve"> № </t>
    </r>
    <r>
      <rPr>
        <u val="single"/>
        <sz val="22"/>
        <rFont val="Times New Roman"/>
        <family val="1"/>
      </rPr>
      <t>523-17/VIII)</t>
    </r>
  </si>
  <si>
    <t>25.02.2022           №541-17/VIІI</t>
  </si>
  <si>
    <t xml:space="preserve"> Програма соціального захисту населення Кам'янської міської теріторіальної громади на 2022-2026 роки </t>
  </si>
  <si>
    <t>22.12.2021 №391-14/VIII  (зі змінами)</t>
  </si>
  <si>
    <t>22.12.2021 №444-14/VIII (зі змінами)</t>
  </si>
  <si>
    <t>22.12.2021 №391-14/VIII (зі змінами)</t>
  </si>
  <si>
    <t>22.12.2021 №446-14/VIII (зі змінами)</t>
  </si>
  <si>
    <t>22.12.2021 №449-14/VIII (зі змінами)</t>
  </si>
  <si>
    <t>22.12.2021 №472-14/VIII (зі змінами)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</si>
</sst>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"/>
    <numFmt numFmtId="202" formatCode="[$-FC19]d\ mmmm\ yyyy\ &quot;г.&quot;"/>
    <numFmt numFmtId="203" formatCode="#,##0.00_ ;\-#,##0.00\ "/>
    <numFmt numFmtId="204" formatCode="#,##0.00_ ;[Red]\-#,##0.00\ "/>
  </numFmts>
  <fonts count="79">
    <font>
      <sz val="10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5"/>
      <name val="Times New Roman"/>
      <family val="1"/>
    </font>
    <font>
      <i/>
      <sz val="14"/>
      <name val="Times New Roman"/>
      <family val="1"/>
    </font>
    <font>
      <i/>
      <sz val="11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2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7"/>
      <name val="Times New Roman"/>
      <family val="1"/>
    </font>
    <font>
      <sz val="18"/>
      <name val="Calibri"/>
      <family val="2"/>
    </font>
    <font>
      <i/>
      <sz val="10"/>
      <name val="Times New Roman"/>
      <family val="1"/>
    </font>
    <font>
      <b/>
      <i/>
      <sz val="18"/>
      <name val="Times New Roman"/>
      <family val="1"/>
    </font>
    <font>
      <i/>
      <sz val="13"/>
      <name val="Times New Roman"/>
      <family val="1"/>
    </font>
    <font>
      <sz val="24"/>
      <name val="Times New Roman"/>
      <family val="1"/>
    </font>
    <font>
      <i/>
      <sz val="20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u val="single"/>
      <sz val="24"/>
      <name val="Times New Roman"/>
      <family val="1"/>
    </font>
    <font>
      <sz val="26"/>
      <name val="Times New Roman"/>
      <family val="1"/>
    </font>
    <font>
      <b/>
      <sz val="10"/>
      <name val="Arial Cyr"/>
      <family val="0"/>
    </font>
    <font>
      <sz val="13"/>
      <name val="Times New Roman"/>
      <family val="1"/>
    </font>
    <font>
      <i/>
      <sz val="16"/>
      <name val="Times New Roman"/>
      <family val="1"/>
    </font>
    <font>
      <u val="single"/>
      <sz val="22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7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i/>
      <sz val="24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i/>
      <sz val="26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2" fillId="0" borderId="0">
      <alignment vertical="top"/>
      <protection/>
    </xf>
    <xf numFmtId="0" fontId="70" fillId="0" borderId="6" applyNumberFormat="0" applyFill="0" applyAlignment="0" applyProtection="0"/>
    <xf numFmtId="0" fontId="71" fillId="27" borderId="7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416">
    <xf numFmtId="0" fontId="0" fillId="0" borderId="0" xfId="0" applyAlignment="1">
      <alignment/>
    </xf>
    <xf numFmtId="4" fontId="6" fillId="0" borderId="10" xfId="0" applyNumberFormat="1" applyFont="1" applyBorder="1" applyAlignment="1">
      <alignment horizontal="right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 quotePrefix="1">
      <alignment horizontal="center" vertical="center" wrapText="1"/>
    </xf>
    <xf numFmtId="2" fontId="8" fillId="32" borderId="10" xfId="0" applyNumberFormat="1" applyFont="1" applyFill="1" applyBorder="1" applyAlignment="1">
      <alignment horizontal="center" vertical="center" wrapText="1"/>
    </xf>
    <xf numFmtId="3" fontId="8" fillId="0" borderId="10" xfId="49" applyNumberFormat="1" applyFont="1" applyFill="1" applyBorder="1" applyAlignment="1">
      <alignment horizontal="center" vertical="center" wrapText="1"/>
      <protection/>
    </xf>
    <xf numFmtId="4" fontId="9" fillId="0" borderId="10" xfId="49" applyNumberFormat="1" applyFont="1" applyFill="1" applyBorder="1" applyAlignment="1">
      <alignment horizontal="right" vertical="center" wrapText="1"/>
      <protection/>
    </xf>
    <xf numFmtId="4" fontId="8" fillId="0" borderId="10" xfId="49" applyNumberFormat="1" applyFont="1" applyFill="1" applyBorder="1" applyAlignment="1">
      <alignment horizontal="right" vertical="center" wrapText="1"/>
      <protection/>
    </xf>
    <xf numFmtId="4" fontId="8" fillId="0" borderId="10" xfId="0" applyNumberFormat="1" applyFont="1" applyBorder="1" applyAlignment="1">
      <alignment horizontal="right" vertical="center" wrapText="1"/>
    </xf>
    <xf numFmtId="4" fontId="8" fillId="32" borderId="10" xfId="49" applyNumberFormat="1" applyFont="1" applyFill="1" applyBorder="1" applyAlignment="1">
      <alignment horizontal="right" vertical="center" wrapText="1"/>
      <protection/>
    </xf>
    <xf numFmtId="49" fontId="8" fillId="0" borderId="10" xfId="0" applyNumberFormat="1" applyFont="1" applyBorder="1" applyAlignment="1" quotePrefix="1">
      <alignment horizontal="center" vertical="center" wrapText="1"/>
    </xf>
    <xf numFmtId="0" fontId="8" fillId="0" borderId="10" xfId="0" applyFont="1" applyBorder="1" applyAlignment="1" quotePrefix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32" borderId="10" xfId="0" applyNumberFormat="1" applyFont="1" applyFill="1" applyBorder="1" applyAlignment="1" applyProtection="1">
      <alignment horizontal="right" vertical="center" wrapText="1"/>
      <protection/>
    </xf>
    <xf numFmtId="4" fontId="8" fillId="32" borderId="1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 quotePrefix="1">
      <alignment horizontal="center" vertical="center" wrapText="1"/>
    </xf>
    <xf numFmtId="4" fontId="9" fillId="32" borderId="10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4" fontId="9" fillId="32" borderId="10" xfId="0" applyNumberFormat="1" applyFont="1" applyFill="1" applyBorder="1" applyAlignment="1" quotePrefix="1">
      <alignment horizontal="right" vertical="center" wrapText="1"/>
    </xf>
    <xf numFmtId="4" fontId="9" fillId="4" borderId="10" xfId="0" applyNumberFormat="1" applyFont="1" applyFill="1" applyBorder="1" applyAlignment="1" applyProtection="1">
      <alignment horizontal="right" vertical="center" wrapText="1"/>
      <protection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 quotePrefix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right" vertical="center" wrapText="1"/>
    </xf>
    <xf numFmtId="4" fontId="9" fillId="33" borderId="10" xfId="0" applyNumberFormat="1" applyFont="1" applyFill="1" applyBorder="1" applyAlignment="1" quotePrefix="1">
      <alignment horizontal="right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" fontId="8" fillId="32" borderId="10" xfId="0" applyNumberFormat="1" applyFont="1" applyFill="1" applyBorder="1" applyAlignment="1" applyProtection="1">
      <alignment horizontal="center" vertical="center" wrapText="1"/>
      <protection/>
    </xf>
    <xf numFmtId="4" fontId="9" fillId="4" borderId="10" xfId="0" applyNumberFormat="1" applyFont="1" applyFill="1" applyBorder="1" applyAlignment="1">
      <alignment horizontal="right" vertical="center" wrapText="1"/>
    </xf>
    <xf numFmtId="4" fontId="9" fillId="32" borderId="10" xfId="0" applyNumberFormat="1" applyFont="1" applyFill="1" applyBorder="1" applyAlignment="1" applyProtection="1">
      <alignment horizontal="right" vertical="center" wrapText="1"/>
      <protection/>
    </xf>
    <xf numFmtId="3" fontId="8" fillId="32" borderId="10" xfId="49" applyNumberFormat="1" applyFont="1" applyFill="1" applyBorder="1" applyAlignment="1">
      <alignment horizontal="center" vertical="center" wrapText="1"/>
      <protection/>
    </xf>
    <xf numFmtId="4" fontId="9" fillId="32" borderId="10" xfId="49" applyNumberFormat="1" applyFont="1" applyFill="1" applyBorder="1" applyAlignment="1">
      <alignment horizontal="righ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 quotePrefix="1">
      <alignment horizontal="center" vertical="center" wrapText="1"/>
    </xf>
    <xf numFmtId="9" fontId="8" fillId="32" borderId="10" xfId="58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2" fontId="8" fillId="0" borderId="10" xfId="0" applyNumberFormat="1" applyFont="1" applyBorder="1" applyAlignment="1" quotePrefix="1">
      <alignment horizontal="center" vertical="center" wrapText="1"/>
    </xf>
    <xf numFmtId="4" fontId="8" fillId="0" borderId="10" xfId="0" applyNumberFormat="1" applyFont="1" applyBorder="1" applyAlignment="1">
      <alignment vertical="center" wrapText="1"/>
    </xf>
    <xf numFmtId="4" fontId="9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quotePrefix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32" borderId="10" xfId="0" applyNumberFormat="1" applyFont="1" applyFill="1" applyBorder="1" applyAlignment="1" quotePrefix="1">
      <alignment horizontal="right" vertical="center" wrapText="1"/>
    </xf>
    <xf numFmtId="4" fontId="9" fillId="4" borderId="10" xfId="0" applyNumberFormat="1" applyFont="1" applyFill="1" applyBorder="1" applyAlignment="1" quotePrefix="1">
      <alignment horizontal="right" vertical="center" wrapText="1"/>
    </xf>
    <xf numFmtId="0" fontId="18" fillId="32" borderId="0" xfId="0" applyFont="1" applyFill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right" vertical="center" wrapText="1"/>
    </xf>
    <xf numFmtId="4" fontId="9" fillId="34" borderId="10" xfId="0" applyNumberFormat="1" applyFont="1" applyFill="1" applyBorder="1" applyAlignment="1">
      <alignment vertical="center" wrapText="1"/>
    </xf>
    <xf numFmtId="49" fontId="9" fillId="4" borderId="10" xfId="0" applyNumberFormat="1" applyFont="1" applyFill="1" applyBorder="1" applyAlignment="1" quotePrefix="1">
      <alignment horizontal="center" vertical="center" wrapText="1"/>
    </xf>
    <xf numFmtId="2" fontId="9" fillId="4" borderId="10" xfId="0" applyNumberFormat="1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quotePrefix="1">
      <alignment horizontal="center" vertical="center" wrapText="1"/>
    </xf>
    <xf numFmtId="4" fontId="9" fillId="34" borderId="10" xfId="0" applyNumberFormat="1" applyFont="1" applyFill="1" applyBorder="1" applyAlignment="1" applyProtection="1">
      <alignment horizontal="right" vertical="center" wrapText="1"/>
      <protection/>
    </xf>
    <xf numFmtId="4" fontId="8" fillId="0" borderId="10" xfId="0" applyNumberFormat="1" applyFont="1" applyFill="1" applyBorder="1" applyAlignment="1" quotePrefix="1">
      <alignment horizontal="right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 quotePrefix="1">
      <alignment horizontal="center" vertical="center" wrapText="1"/>
    </xf>
    <xf numFmtId="49" fontId="8" fillId="35" borderId="10" xfId="0" applyNumberFormat="1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4" fontId="19" fillId="0" borderId="0" xfId="0" applyNumberFormat="1" applyFont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0" fontId="24" fillId="0" borderId="0" xfId="0" applyNumberFormat="1" applyFont="1" applyFill="1" applyAlignment="1" applyProtection="1">
      <alignment horizontal="center" vertical="center" wrapText="1"/>
      <protection/>
    </xf>
    <xf numFmtId="4" fontId="9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Alignment="1">
      <alignment vertical="center" wrapText="1"/>
    </xf>
    <xf numFmtId="49" fontId="9" fillId="4" borderId="10" xfId="0" applyNumberFormat="1" applyFont="1" applyFill="1" applyBorder="1" applyAlignment="1">
      <alignment horizontal="center" vertical="center" wrapText="1"/>
    </xf>
    <xf numFmtId="2" fontId="8" fillId="35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3" fontId="9" fillId="4" borderId="10" xfId="49" applyNumberFormat="1" applyFont="1" applyFill="1" applyBorder="1" applyAlignment="1">
      <alignment horizontal="center" vertical="center" wrapText="1"/>
      <protection/>
    </xf>
    <xf numFmtId="2" fontId="8" fillId="32" borderId="10" xfId="0" applyNumberFormat="1" applyFont="1" applyFill="1" applyBorder="1" applyAlignment="1" quotePrefix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2" fontId="14" fillId="0" borderId="10" xfId="0" applyNumberFormat="1" applyFont="1" applyBorder="1" applyAlignment="1">
      <alignment horizontal="center" vertical="center" wrapText="1"/>
    </xf>
    <xf numFmtId="0" fontId="8" fillId="32" borderId="10" xfId="0" applyFont="1" applyFill="1" applyBorder="1" applyAlignment="1" quotePrefix="1">
      <alignment horizontal="center" vertical="center" wrapText="1"/>
    </xf>
    <xf numFmtId="0" fontId="9" fillId="4" borderId="10" xfId="0" applyFont="1" applyFill="1" applyBorder="1" applyAlignment="1" quotePrefix="1">
      <alignment horizontal="center" vertical="center" wrapText="1"/>
    </xf>
    <xf numFmtId="3" fontId="9" fillId="4" borderId="10" xfId="0" applyNumberFormat="1" applyFont="1" applyFill="1" applyBorder="1" applyAlignment="1" applyProtection="1">
      <alignment horizontal="center" vertical="center" wrapText="1"/>
      <protection/>
    </xf>
    <xf numFmtId="2" fontId="8" fillId="0" borderId="10" xfId="0" applyNumberFormat="1" applyFont="1" applyBorder="1" applyAlignment="1">
      <alignment vertical="center" wrapText="1"/>
    </xf>
    <xf numFmtId="2" fontId="8" fillId="0" borderId="10" xfId="0" applyNumberFormat="1" applyFont="1" applyBorder="1" applyAlignment="1" quotePrefix="1">
      <alignment vertical="center" wrapText="1"/>
    </xf>
    <xf numFmtId="2" fontId="6" fillId="0" borderId="10" xfId="0" applyNumberFormat="1" applyFont="1" applyFill="1" applyBorder="1" applyAlignment="1">
      <alignment vertical="center" wrapText="1"/>
    </xf>
    <xf numFmtId="3" fontId="6" fillId="32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 quotePrefix="1">
      <alignment horizontal="center" vertical="center" wrapText="1"/>
    </xf>
    <xf numFmtId="4" fontId="29" fillId="0" borderId="10" xfId="49" applyNumberFormat="1" applyFont="1" applyFill="1" applyBorder="1" applyAlignment="1">
      <alignment horizontal="right" vertical="center" wrapText="1"/>
      <protection/>
    </xf>
    <xf numFmtId="4" fontId="6" fillId="32" borderId="10" xfId="0" applyNumberFormat="1" applyFont="1" applyFill="1" applyBorder="1" applyAlignment="1">
      <alignment horizontal="right" vertical="center" wrapText="1"/>
    </xf>
    <xf numFmtId="4" fontId="6" fillId="32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vertical="center" wrapText="1"/>
    </xf>
    <xf numFmtId="4" fontId="6" fillId="32" borderId="10" xfId="0" applyNumberFormat="1" applyFont="1" applyFill="1" applyBorder="1" applyAlignment="1">
      <alignment horizontal="left" vertical="center" wrapText="1"/>
    </xf>
    <xf numFmtId="4" fontId="29" fillId="0" borderId="10" xfId="0" applyNumberFormat="1" applyFont="1" applyFill="1" applyBorder="1" applyAlignment="1">
      <alignment horizontal="right" vertical="center" wrapText="1"/>
    </xf>
    <xf numFmtId="4" fontId="6" fillId="32" borderId="10" xfId="0" applyNumberFormat="1" applyFont="1" applyFill="1" applyBorder="1" applyAlignment="1" quotePrefix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29" fillId="0" borderId="10" xfId="0" applyNumberFormat="1" applyFont="1" applyBorder="1" applyAlignment="1">
      <alignment horizontal="right" vertical="center" wrapText="1"/>
    </xf>
    <xf numFmtId="14" fontId="8" fillId="32" borderId="10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 applyProtection="1">
      <alignment horizontal="center" vertical="center" wrapText="1"/>
      <protection/>
    </xf>
    <xf numFmtId="4" fontId="30" fillId="0" borderId="0" xfId="0" applyNumberFormat="1" applyFont="1" applyAlignment="1">
      <alignment horizontal="right" vertical="center" wrapText="1"/>
    </xf>
    <xf numFmtId="4" fontId="21" fillId="0" borderId="0" xfId="0" applyNumberFormat="1" applyFont="1" applyAlignment="1">
      <alignment horizontal="right" vertical="center" wrapText="1"/>
    </xf>
    <xf numFmtId="0" fontId="31" fillId="0" borderId="0" xfId="0" applyFont="1" applyAlignment="1">
      <alignment vertical="center" wrapText="1"/>
    </xf>
    <xf numFmtId="204" fontId="31" fillId="0" borderId="0" xfId="0" applyNumberFormat="1" applyFont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vertical="center" wrapText="1"/>
    </xf>
    <xf numFmtId="0" fontId="13" fillId="0" borderId="13" xfId="0" applyFont="1" applyBorder="1" applyAlignment="1">
      <alignment horizontal="left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right" vertical="center" wrapText="1"/>
    </xf>
    <xf numFmtId="4" fontId="13" fillId="0" borderId="13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204" fontId="16" fillId="0" borderId="0" xfId="0" applyNumberFormat="1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4" fontId="16" fillId="0" borderId="0" xfId="0" applyNumberFormat="1" applyFont="1" applyAlignment="1">
      <alignment horizontal="center" vertical="center" wrapText="1"/>
    </xf>
    <xf numFmtId="0" fontId="33" fillId="0" borderId="0" xfId="0" applyFont="1" applyBorder="1" applyAlignment="1">
      <alignment horizontal="center" wrapText="1"/>
    </xf>
    <xf numFmtId="204" fontId="33" fillId="0" borderId="0" xfId="0" applyNumberFormat="1" applyFont="1" applyBorder="1" applyAlignment="1">
      <alignment horizontal="center" wrapText="1"/>
    </xf>
    <xf numFmtId="0" fontId="35" fillId="0" borderId="0" xfId="0" applyFont="1" applyAlignment="1">
      <alignment horizontal="center" vertical="center" wrapText="1"/>
    </xf>
    <xf numFmtId="0" fontId="8" fillId="36" borderId="0" xfId="0" applyFont="1" applyFill="1" applyAlignment="1">
      <alignment vertical="center" wrapText="1"/>
    </xf>
    <xf numFmtId="0" fontId="10" fillId="32" borderId="0" xfId="0" applyFont="1" applyFill="1" applyAlignment="1">
      <alignment vertical="center" wrapText="1"/>
    </xf>
    <xf numFmtId="0" fontId="8" fillId="32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9" fontId="27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quotePrefix="1">
      <alignment horizontal="center" vertical="center" wrapText="1"/>
    </xf>
    <xf numFmtId="4" fontId="29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0" fontId="27" fillId="0" borderId="0" xfId="0" applyFont="1" applyFill="1" applyAlignment="1">
      <alignment vertical="center" wrapText="1"/>
    </xf>
    <xf numFmtId="49" fontId="6" fillId="32" borderId="10" xfId="0" applyNumberFormat="1" applyFont="1" applyFill="1" applyBorder="1" applyAlignment="1" quotePrefix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4" fontId="29" fillId="32" borderId="10" xfId="0" applyNumberFormat="1" applyFont="1" applyFill="1" applyBorder="1" applyAlignment="1" applyProtection="1">
      <alignment horizontal="right" vertical="center" wrapText="1"/>
      <protection/>
    </xf>
    <xf numFmtId="0" fontId="6" fillId="37" borderId="0" xfId="0" applyFont="1" applyFill="1" applyAlignment="1">
      <alignment vertical="center" wrapText="1"/>
    </xf>
    <xf numFmtId="4" fontId="8" fillId="32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4" fontId="17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9" fontId="37" fillId="32" borderId="10" xfId="0" applyNumberFormat="1" applyFont="1" applyFill="1" applyBorder="1" applyAlignment="1" quotePrefix="1">
      <alignment horizontal="center" vertical="center" wrapText="1"/>
    </xf>
    <xf numFmtId="0" fontId="37" fillId="32" borderId="10" xfId="0" applyFont="1" applyFill="1" applyBorder="1" applyAlignment="1" quotePrefix="1">
      <alignment horizontal="center" vertical="center" wrapText="1"/>
    </xf>
    <xf numFmtId="2" fontId="33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Font="1" applyBorder="1" applyAlignment="1">
      <alignment horizontal="center" vertical="top" wrapText="1"/>
    </xf>
    <xf numFmtId="4" fontId="9" fillId="0" borderId="10" xfId="0" applyNumberFormat="1" applyFont="1" applyFill="1" applyBorder="1" applyAlignment="1" quotePrefix="1">
      <alignment horizontal="right" vertical="center" wrapText="1"/>
    </xf>
    <xf numFmtId="49" fontId="6" fillId="0" borderId="10" xfId="0" applyNumberFormat="1" applyFont="1" applyFill="1" applyBorder="1" applyAlignment="1" quotePrefix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38" borderId="0" xfId="0" applyFont="1" applyFill="1" applyAlignment="1">
      <alignment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vertical="center" wrapText="1"/>
    </xf>
    <xf numFmtId="49" fontId="21" fillId="0" borderId="10" xfId="0" applyNumberFormat="1" applyFont="1" applyBorder="1" applyAlignment="1" quotePrefix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3" fontId="21" fillId="32" borderId="10" xfId="0" applyNumberFormat="1" applyFont="1" applyFill="1" applyBorder="1" applyAlignment="1" applyProtection="1">
      <alignment horizontal="center" vertical="center" wrapText="1"/>
      <protection/>
    </xf>
    <xf numFmtId="3" fontId="21" fillId="0" borderId="10" xfId="0" applyNumberFormat="1" applyFont="1" applyFill="1" applyBorder="1" applyAlignment="1" applyProtection="1">
      <alignment horizontal="center" vertical="center" wrapText="1"/>
      <protection/>
    </xf>
    <xf numFmtId="4" fontId="21" fillId="0" borderId="10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right" vertical="center" wrapText="1"/>
    </xf>
    <xf numFmtId="4" fontId="39" fillId="32" borderId="10" xfId="0" applyNumberFormat="1" applyFont="1" applyFill="1" applyBorder="1" applyAlignment="1" applyProtection="1">
      <alignment horizontal="right" vertical="center" wrapText="1"/>
      <protection/>
    </xf>
    <xf numFmtId="4" fontId="39" fillId="32" borderId="10" xfId="0" applyNumberFormat="1" applyFont="1" applyFill="1" applyBorder="1" applyAlignment="1">
      <alignment horizontal="right" vertical="center" wrapText="1"/>
    </xf>
    <xf numFmtId="3" fontId="8" fillId="37" borderId="10" xfId="0" applyNumberFormat="1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Alignment="1">
      <alignment vertical="center" wrapText="1"/>
    </xf>
    <xf numFmtId="3" fontId="6" fillId="0" borderId="10" xfId="49" applyNumberFormat="1" applyFont="1" applyFill="1" applyBorder="1" applyAlignment="1">
      <alignment horizontal="center" vertical="center" wrapText="1"/>
      <protection/>
    </xf>
    <xf numFmtId="4" fontId="8" fillId="0" borderId="10" xfId="0" applyNumberFormat="1" applyFont="1" applyBorder="1" applyAlignment="1">
      <alignment horizontal="center" vertical="center" wrapText="1"/>
    </xf>
    <xf numFmtId="4" fontId="8" fillId="38" borderId="10" xfId="0" applyNumberFormat="1" applyFont="1" applyFill="1" applyBorder="1" applyAlignment="1" applyProtection="1">
      <alignment horizontal="right" vertical="center" wrapText="1"/>
      <protection/>
    </xf>
    <xf numFmtId="4" fontId="8" fillId="38" borderId="10" xfId="0" applyNumberFormat="1" applyFont="1" applyFill="1" applyBorder="1" applyAlignment="1">
      <alignment horizontal="right" vertical="center" wrapText="1"/>
    </xf>
    <xf numFmtId="4" fontId="8" fillId="32" borderId="10" xfId="0" applyNumberFormat="1" applyFont="1" applyFill="1" applyBorder="1" applyAlignment="1">
      <alignment vertical="center" wrapText="1"/>
    </xf>
    <xf numFmtId="1" fontId="8" fillId="0" borderId="10" xfId="0" applyNumberFormat="1" applyFont="1" applyFill="1" applyBorder="1" applyAlignment="1" quotePrefix="1">
      <alignment horizontal="center" vertical="center" wrapText="1"/>
    </xf>
    <xf numFmtId="49" fontId="39" fillId="0" borderId="10" xfId="0" applyNumberFormat="1" applyFont="1" applyBorder="1" applyAlignment="1" quotePrefix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3" fontId="39" fillId="0" borderId="10" xfId="0" applyNumberFormat="1" applyFont="1" applyFill="1" applyBorder="1" applyAlignment="1" applyProtection="1">
      <alignment horizontal="center" vertical="center" wrapText="1"/>
      <protection/>
    </xf>
    <xf numFmtId="4" fontId="40" fillId="0" borderId="10" xfId="49" applyNumberFormat="1" applyFont="1" applyFill="1" applyBorder="1" applyAlignment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vertical="center" wrapText="1"/>
      <protection/>
    </xf>
    <xf numFmtId="2" fontId="8" fillId="0" borderId="10" xfId="0" applyNumberFormat="1" applyFont="1" applyBorder="1" applyAlignment="1" quotePrefix="1">
      <alignment horizontal="left" vertical="center" wrapText="1"/>
    </xf>
    <xf numFmtId="0" fontId="24" fillId="0" borderId="0" xfId="0" applyFont="1" applyFill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4" fontId="12" fillId="0" borderId="0" xfId="0" applyNumberFormat="1" applyFont="1" applyAlignment="1">
      <alignment horizontal="right" vertical="center" wrapText="1"/>
    </xf>
    <xf numFmtId="4" fontId="13" fillId="0" borderId="0" xfId="0" applyNumberFormat="1" applyFont="1" applyAlignment="1">
      <alignment horizontal="right" vertical="center" wrapText="1"/>
    </xf>
    <xf numFmtId="49" fontId="37" fillId="0" borderId="0" xfId="0" applyNumberFormat="1" applyFont="1" applyAlignment="1">
      <alignment horizontal="center" vertical="center" wrapText="1"/>
    </xf>
    <xf numFmtId="49" fontId="37" fillId="0" borderId="0" xfId="0" applyNumberFormat="1" applyFont="1" applyAlignment="1">
      <alignment vertical="center" wrapText="1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204" fontId="7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5" fillId="32" borderId="0" xfId="0" applyFont="1" applyFill="1" applyBorder="1" applyAlignment="1">
      <alignment horizontal="center" vertical="center" wrapText="1"/>
    </xf>
    <xf numFmtId="204" fontId="5" fillId="32" borderId="0" xfId="0" applyNumberFormat="1" applyFont="1" applyFill="1" applyBorder="1" applyAlignment="1">
      <alignment horizontal="right" vertical="center" wrapText="1"/>
    </xf>
    <xf numFmtId="0" fontId="37" fillId="0" borderId="0" xfId="0" applyFont="1" applyBorder="1" applyAlignment="1">
      <alignment horizontal="center" vertical="center" wrapText="1"/>
    </xf>
    <xf numFmtId="4" fontId="43" fillId="32" borderId="0" xfId="0" applyNumberFormat="1" applyFont="1" applyFill="1" applyBorder="1" applyAlignment="1">
      <alignment horizontal="right" vertical="center" wrapText="1"/>
    </xf>
    <xf numFmtId="4" fontId="37" fillId="32" borderId="0" xfId="0" applyNumberFormat="1" applyFont="1" applyFill="1" applyBorder="1" applyAlignment="1">
      <alignment horizontal="right" vertical="center" wrapText="1"/>
    </xf>
    <xf numFmtId="0" fontId="37" fillId="32" borderId="0" xfId="0" applyFont="1" applyFill="1" applyBorder="1" applyAlignment="1">
      <alignment vertical="center" wrapText="1"/>
    </xf>
    <xf numFmtId="4" fontId="43" fillId="0" borderId="0" xfId="0" applyNumberFormat="1" applyFont="1" applyAlignment="1">
      <alignment horizontal="right" vertical="center" wrapText="1"/>
    </xf>
    <xf numFmtId="4" fontId="37" fillId="0" borderId="0" xfId="0" applyNumberFormat="1" applyFont="1" applyAlignment="1">
      <alignment horizontal="right" vertical="center" wrapText="1"/>
    </xf>
    <xf numFmtId="0" fontId="32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204" fontId="17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4" fontId="10" fillId="36" borderId="0" xfId="0" applyNumberFormat="1" applyFont="1" applyFill="1" applyBorder="1" applyAlignment="1">
      <alignment vertical="center" wrapText="1"/>
    </xf>
    <xf numFmtId="0" fontId="10" fillId="36" borderId="0" xfId="0" applyFont="1" applyFill="1" applyBorder="1" applyAlignment="1">
      <alignment vertical="center" wrapText="1"/>
    </xf>
    <xf numFmtId="204" fontId="10" fillId="36" borderId="0" xfId="0" applyNumberFormat="1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vertical="center" wrapText="1"/>
    </xf>
    <xf numFmtId="4" fontId="10" fillId="0" borderId="0" xfId="0" applyNumberFormat="1" applyFont="1" applyBorder="1" applyAlignment="1">
      <alignment vertical="center" wrapText="1"/>
    </xf>
    <xf numFmtId="204" fontId="10" fillId="0" borderId="0" xfId="0" applyNumberFormat="1" applyFont="1" applyBorder="1" applyAlignment="1">
      <alignment horizontal="center" vertical="center" wrapText="1"/>
    </xf>
    <xf numFmtId="0" fontId="10" fillId="32" borderId="0" xfId="0" applyFont="1" applyFill="1" applyBorder="1" applyAlignment="1">
      <alignment vertical="center" wrapText="1"/>
    </xf>
    <xf numFmtId="4" fontId="10" fillId="32" borderId="0" xfId="0" applyNumberFormat="1" applyFont="1" applyFill="1" applyBorder="1" applyAlignment="1">
      <alignment vertical="center" wrapText="1"/>
    </xf>
    <xf numFmtId="204" fontId="10" fillId="32" borderId="0" xfId="0" applyNumberFormat="1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vertical="center" wrapText="1"/>
    </xf>
    <xf numFmtId="4" fontId="10" fillId="34" borderId="0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204" fontId="1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" fontId="10" fillId="32" borderId="0" xfId="0" applyNumberFormat="1" applyFont="1" applyFill="1" applyBorder="1" applyAlignment="1">
      <alignment horizontal="right" vertical="center" wrapText="1"/>
    </xf>
    <xf numFmtId="1" fontId="6" fillId="32" borderId="0" xfId="0" applyNumberFormat="1" applyFont="1" applyFill="1" applyBorder="1" applyAlignment="1">
      <alignment horizontal="right" vertical="center" wrapText="1"/>
    </xf>
    <xf numFmtId="4" fontId="6" fillId="32" borderId="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" fontId="10" fillId="0" borderId="0" xfId="0" applyNumberFormat="1" applyFont="1" applyFill="1" applyBorder="1" applyAlignment="1">
      <alignment horizontal="right" vertical="center" wrapText="1"/>
    </xf>
    <xf numFmtId="4" fontId="27" fillId="0" borderId="0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204" fontId="27" fillId="0" borderId="0" xfId="0" applyNumberFormat="1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right" vertical="center" wrapText="1"/>
    </xf>
    <xf numFmtId="0" fontId="6" fillId="37" borderId="0" xfId="0" applyFont="1" applyFill="1" applyBorder="1" applyAlignment="1">
      <alignment vertical="center" wrapText="1"/>
    </xf>
    <xf numFmtId="204" fontId="10" fillId="37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left" vertical="center" wrapText="1"/>
    </xf>
    <xf numFmtId="204" fontId="6" fillId="0" borderId="0" xfId="0" applyNumberFormat="1" applyFont="1" applyFill="1" applyBorder="1" applyAlignment="1">
      <alignment horizontal="left" vertical="center" wrapText="1"/>
    </xf>
    <xf numFmtId="0" fontId="36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4" fontId="6" fillId="0" borderId="0" xfId="0" applyNumberFormat="1" applyFont="1" applyBorder="1" applyAlignment="1">
      <alignment horizontal="left" vertical="center" wrapText="1"/>
    </xf>
    <xf numFmtId="204" fontId="6" fillId="0" borderId="0" xfId="0" applyNumberFormat="1" applyFont="1" applyBorder="1" applyAlignment="1">
      <alignment horizontal="left" vertical="center" wrapText="1"/>
    </xf>
    <xf numFmtId="0" fontId="6" fillId="38" borderId="0" xfId="0" applyFont="1" applyFill="1" applyBorder="1" applyAlignment="1">
      <alignment vertical="center" wrapText="1"/>
    </xf>
    <xf numFmtId="204" fontId="10" fillId="38" borderId="0" xfId="0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/>
    </xf>
    <xf numFmtId="4" fontId="6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4" fontId="8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4" fontId="6" fillId="38" borderId="0" xfId="0" applyNumberFormat="1" applyFont="1" applyFill="1" applyBorder="1" applyAlignment="1">
      <alignment vertical="center" wrapText="1"/>
    </xf>
    <xf numFmtId="4" fontId="10" fillId="37" borderId="0" xfId="0" applyNumberFormat="1" applyFont="1" applyFill="1" applyBorder="1" applyAlignment="1">
      <alignment vertical="center" wrapText="1"/>
    </xf>
    <xf numFmtId="0" fontId="10" fillId="37" borderId="0" xfId="0" applyFont="1" applyFill="1" applyBorder="1" applyAlignment="1">
      <alignment vertical="center" wrapText="1"/>
    </xf>
    <xf numFmtId="0" fontId="8" fillId="37" borderId="0" xfId="0" applyFont="1" applyFill="1" applyBorder="1" applyAlignment="1">
      <alignment vertical="center" wrapText="1"/>
    </xf>
    <xf numFmtId="4" fontId="10" fillId="0" borderId="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vertical="center" wrapText="1"/>
    </xf>
    <xf numFmtId="4" fontId="10" fillId="32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4" fontId="41" fillId="0" borderId="0" xfId="0" applyNumberFormat="1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204" fontId="4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204" fontId="31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204" fontId="7" fillId="0" borderId="0" xfId="0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204" fontId="42" fillId="0" borderId="0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 wrapText="1"/>
    </xf>
    <xf numFmtId="204" fontId="20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37" fillId="0" borderId="0" xfId="0" applyNumberFormat="1" applyFont="1" applyBorder="1" applyAlignment="1">
      <alignment horizontal="center" vertical="center" wrapText="1"/>
    </xf>
    <xf numFmtId="49" fontId="37" fillId="0" borderId="0" xfId="0" applyNumberFormat="1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4" fontId="26" fillId="0" borderId="0" xfId="0" applyNumberFormat="1" applyFont="1" applyBorder="1" applyAlignment="1">
      <alignment horizontal="center" vertical="center" wrapText="1"/>
    </xf>
    <xf numFmtId="49" fontId="40" fillId="0" borderId="0" xfId="0" applyNumberFormat="1" applyFont="1" applyBorder="1" applyAlignment="1">
      <alignment horizontal="center" vertical="center" wrapText="1"/>
    </xf>
    <xf numFmtId="49" fontId="40" fillId="0" borderId="0" xfId="0" applyNumberFormat="1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 wrapText="1"/>
    </xf>
    <xf numFmtId="4" fontId="43" fillId="0" borderId="0" xfId="0" applyNumberFormat="1" applyFont="1" applyBorder="1" applyAlignment="1">
      <alignment horizontal="right" vertical="center" wrapText="1"/>
    </xf>
    <xf numFmtId="4" fontId="37" fillId="0" borderId="0" xfId="0" applyNumberFormat="1" applyFont="1" applyBorder="1" applyAlignment="1">
      <alignment horizontal="right" vertical="center" wrapText="1"/>
    </xf>
    <xf numFmtId="0" fontId="21" fillId="32" borderId="0" xfId="0" applyFont="1" applyFill="1" applyBorder="1" applyAlignment="1">
      <alignment horizontal="center" vertical="center" wrapText="1"/>
    </xf>
    <xf numFmtId="4" fontId="40" fillId="32" borderId="0" xfId="0" applyNumberFormat="1" applyFont="1" applyFill="1" applyBorder="1" applyAlignment="1">
      <alignment horizontal="right" vertical="center" wrapText="1"/>
    </xf>
    <xf numFmtId="4" fontId="21" fillId="32" borderId="0" xfId="0" applyNumberFormat="1" applyFont="1" applyFill="1" applyBorder="1" applyAlignment="1">
      <alignment horizontal="right" vertical="center" wrapText="1"/>
    </xf>
    <xf numFmtId="0" fontId="3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vertical="center" wrapText="1"/>
    </xf>
    <xf numFmtId="4" fontId="7" fillId="32" borderId="0" xfId="0" applyNumberFormat="1" applyFont="1" applyFill="1" applyBorder="1" applyAlignment="1">
      <alignment vertical="center" wrapText="1"/>
    </xf>
    <xf numFmtId="4" fontId="3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vertical="center" wrapText="1"/>
    </xf>
    <xf numFmtId="4" fontId="27" fillId="0" borderId="0" xfId="0" applyNumberFormat="1" applyFont="1" applyBorder="1" applyAlignment="1">
      <alignment vertical="center" wrapText="1"/>
    </xf>
    <xf numFmtId="4" fontId="18" fillId="0" borderId="0" xfId="0" applyNumberFormat="1" applyFont="1" applyBorder="1" applyAlignment="1">
      <alignment horizontal="right" vertical="center" wrapText="1"/>
    </xf>
    <xf numFmtId="4" fontId="44" fillId="0" borderId="0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 vertical="center" wrapText="1"/>
    </xf>
    <xf numFmtId="2" fontId="8" fillId="32" borderId="14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" fontId="11" fillId="0" borderId="0" xfId="0" applyNumberFormat="1" applyFont="1" applyFill="1" applyAlignment="1" applyProtection="1">
      <alignment horizontal="right" vertical="center" wrapText="1"/>
      <protection/>
    </xf>
    <xf numFmtId="4" fontId="25" fillId="0" borderId="0" xfId="0" applyNumberFormat="1" applyFont="1" applyAlignment="1">
      <alignment horizontal="right" vertical="center" wrapText="1"/>
    </xf>
    <xf numFmtId="2" fontId="9" fillId="4" borderId="15" xfId="0" applyNumberFormat="1" applyFont="1" applyFill="1" applyBorder="1" applyAlignment="1">
      <alignment horizontal="left" vertical="center" wrapText="1"/>
    </xf>
    <xf numFmtId="2" fontId="9" fillId="4" borderId="16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Alignment="1" applyProtection="1">
      <alignment horizontal="left" vertical="center" wrapText="1"/>
      <protection/>
    </xf>
    <xf numFmtId="0" fontId="21" fillId="0" borderId="0" xfId="0" applyFont="1" applyAlignment="1">
      <alignment horizontal="center" vertical="center" wrapText="1"/>
    </xf>
    <xf numFmtId="2" fontId="9" fillId="33" borderId="15" xfId="0" applyNumberFormat="1" applyFont="1" applyFill="1" applyBorder="1" applyAlignment="1" quotePrefix="1">
      <alignment horizontal="left" vertical="center" wrapText="1"/>
    </xf>
    <xf numFmtId="2" fontId="9" fillId="33" borderId="16" xfId="0" applyNumberFormat="1" applyFont="1" applyFill="1" applyBorder="1" applyAlignment="1" quotePrefix="1">
      <alignment horizontal="left" vertical="center" wrapText="1"/>
    </xf>
    <xf numFmtId="4" fontId="26" fillId="0" borderId="0" xfId="0" applyNumberFormat="1" applyFont="1" applyBorder="1" applyAlignment="1">
      <alignment horizontal="center" vertical="center" wrapText="1"/>
    </xf>
    <xf numFmtId="4" fontId="21" fillId="0" borderId="0" xfId="0" applyNumberFormat="1" applyFont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2" fontId="9" fillId="4" borderId="15" xfId="0" applyNumberFormat="1" applyFont="1" applyFill="1" applyBorder="1" applyAlignment="1" quotePrefix="1">
      <alignment horizontal="left" vertical="center" wrapText="1"/>
    </xf>
    <xf numFmtId="2" fontId="9" fillId="4" borderId="16" xfId="0" applyNumberFormat="1" applyFont="1" applyFill="1" applyBorder="1" applyAlignment="1" quotePrefix="1">
      <alignment horizontal="left" vertical="center" wrapText="1"/>
    </xf>
    <xf numFmtId="3" fontId="8" fillId="0" borderId="11" xfId="0" applyNumberFormat="1" applyFont="1" applyFill="1" applyBorder="1" applyAlignment="1" applyProtection="1">
      <alignment horizontal="center" vertical="center" wrapText="1"/>
      <protection/>
    </xf>
    <xf numFmtId="3" fontId="8" fillId="0" borderId="14" xfId="0" applyNumberFormat="1" applyFont="1" applyFill="1" applyBorder="1" applyAlignment="1" applyProtection="1">
      <alignment horizontal="center" vertical="center" wrapText="1"/>
      <protection/>
    </xf>
    <xf numFmtId="3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horizontal="center" vertical="center" wrapText="1"/>
      <protection/>
    </xf>
    <xf numFmtId="3" fontId="8" fillId="0" borderId="10" xfId="49" applyNumberFormat="1" applyFont="1" applyFill="1" applyBorder="1" applyAlignment="1">
      <alignment horizontal="center" vertical="center" wrapText="1"/>
      <protection/>
    </xf>
    <xf numFmtId="3" fontId="8" fillId="32" borderId="10" xfId="0" applyNumberFormat="1" applyFont="1" applyFill="1" applyBorder="1" applyAlignment="1" applyProtection="1">
      <alignment horizontal="center" vertical="center" wrapText="1"/>
      <protection/>
    </xf>
    <xf numFmtId="2" fontId="9" fillId="34" borderId="15" xfId="0" applyNumberFormat="1" applyFont="1" applyFill="1" applyBorder="1" applyAlignment="1">
      <alignment horizontal="left" vertical="center" wrapText="1"/>
    </xf>
    <xf numFmtId="2" fontId="9" fillId="34" borderId="16" xfId="0" applyNumberFormat="1" applyFont="1" applyFill="1" applyBorder="1" applyAlignment="1">
      <alignment horizontal="left" vertical="center" wrapText="1"/>
    </xf>
    <xf numFmtId="2" fontId="9" fillId="33" borderId="15" xfId="0" applyNumberFormat="1" applyFont="1" applyFill="1" applyBorder="1" applyAlignment="1">
      <alignment horizontal="left" vertical="center" wrapText="1"/>
    </xf>
    <xf numFmtId="2" fontId="9" fillId="33" borderId="16" xfId="0" applyNumberFormat="1" applyFont="1" applyFill="1" applyBorder="1" applyAlignment="1">
      <alignment horizontal="left" vertical="center" wrapText="1"/>
    </xf>
    <xf numFmtId="2" fontId="9" fillId="33" borderId="10" xfId="0" applyNumberFormat="1" applyFont="1" applyFill="1" applyBorder="1" applyAlignment="1">
      <alignment horizontal="left" vertical="center" wrapText="1"/>
    </xf>
    <xf numFmtId="49" fontId="23" fillId="32" borderId="0" xfId="0" applyNumberFormat="1" applyFont="1" applyFill="1" applyBorder="1" applyAlignment="1">
      <alignment horizontal="center"/>
    </xf>
    <xf numFmtId="49" fontId="19" fillId="32" borderId="0" xfId="0" applyNumberFormat="1" applyFont="1" applyFill="1" applyBorder="1" applyAlignment="1">
      <alignment horizontal="center"/>
    </xf>
    <xf numFmtId="4" fontId="22" fillId="0" borderId="0" xfId="0" applyNumberFormat="1" applyFont="1" applyAlignment="1">
      <alignment horizontal="left" vertical="top" wrapText="1"/>
    </xf>
    <xf numFmtId="0" fontId="19" fillId="32" borderId="0" xfId="0" applyFont="1" applyFill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3" fontId="8" fillId="32" borderId="10" xfId="0" applyNumberFormat="1" applyFont="1" applyFill="1" applyBorder="1" applyAlignment="1" applyProtection="1">
      <alignment horizontal="center" vertical="top" wrapText="1"/>
      <protection/>
    </xf>
    <xf numFmtId="0" fontId="8" fillId="32" borderId="10" xfId="0" applyFont="1" applyFill="1" applyBorder="1" applyAlignment="1">
      <alignment horizontal="center" vertical="top" wrapText="1"/>
    </xf>
    <xf numFmtId="49" fontId="8" fillId="0" borderId="10" xfId="0" applyNumberFormat="1" applyFont="1" applyBorder="1" applyAlignment="1" quotePrefix="1">
      <alignment horizontal="center" vertical="center" wrapText="1"/>
    </xf>
    <xf numFmtId="4" fontId="24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9" fillId="4" borderId="10" xfId="0" applyNumberFormat="1" applyFont="1" applyFill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9" fillId="4" borderId="10" xfId="0" applyNumberFormat="1" applyFont="1" applyFill="1" applyBorder="1" applyAlignment="1" quotePrefix="1">
      <alignment horizontal="left" vertical="center" wrapText="1"/>
    </xf>
    <xf numFmtId="2" fontId="8" fillId="32" borderId="11" xfId="0" applyNumberFormat="1" applyFont="1" applyFill="1" applyBorder="1" applyAlignment="1">
      <alignment horizontal="center" vertical="top" wrapText="1"/>
    </xf>
    <xf numFmtId="2" fontId="8" fillId="32" borderId="14" xfId="0" applyNumberFormat="1" applyFont="1" applyFill="1" applyBorder="1" applyAlignment="1">
      <alignment horizontal="center" vertical="top" wrapText="1"/>
    </xf>
    <xf numFmtId="2" fontId="8" fillId="32" borderId="12" xfId="0" applyNumberFormat="1" applyFont="1" applyFill="1" applyBorder="1" applyAlignment="1">
      <alignment horizontal="center" vertical="top" wrapText="1"/>
    </xf>
    <xf numFmtId="2" fontId="9" fillId="33" borderId="10" xfId="0" applyNumberFormat="1" applyFont="1" applyFill="1" applyBorder="1" applyAlignment="1" quotePrefix="1">
      <alignment horizontal="left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left" vertical="center" wrapText="1"/>
    </xf>
    <xf numFmtId="14" fontId="8" fillId="32" borderId="11" xfId="0" applyNumberFormat="1" applyFont="1" applyFill="1" applyBorder="1" applyAlignment="1">
      <alignment horizontal="center" vertical="top" wrapText="1"/>
    </xf>
    <xf numFmtId="14" fontId="8" fillId="32" borderId="14" xfId="0" applyNumberFormat="1" applyFont="1" applyFill="1" applyBorder="1" applyAlignment="1">
      <alignment horizontal="center" vertical="top" wrapText="1"/>
    </xf>
    <xf numFmtId="14" fontId="8" fillId="32" borderId="12" xfId="0" applyNumberFormat="1" applyFont="1" applyFill="1" applyBorder="1" applyAlignment="1">
      <alignment horizontal="center" vertical="top" wrapText="1"/>
    </xf>
    <xf numFmtId="201" fontId="8" fillId="32" borderId="11" xfId="0" applyNumberFormat="1" applyFont="1" applyFill="1" applyBorder="1" applyAlignment="1">
      <alignment horizontal="center" vertical="center" wrapText="1"/>
    </xf>
    <xf numFmtId="201" fontId="8" fillId="32" borderId="14" xfId="0" applyNumberFormat="1" applyFont="1" applyFill="1" applyBorder="1" applyAlignment="1">
      <alignment horizontal="center" vertical="center" wrapText="1"/>
    </xf>
    <xf numFmtId="201" fontId="8" fillId="32" borderId="12" xfId="0" applyNumberFormat="1" applyFont="1" applyFill="1" applyBorder="1" applyAlignment="1">
      <alignment horizontal="center" vertical="center" wrapText="1"/>
    </xf>
    <xf numFmtId="3" fontId="8" fillId="32" borderId="11" xfId="0" applyNumberFormat="1" applyFont="1" applyFill="1" applyBorder="1" applyAlignment="1">
      <alignment horizontal="center" vertical="top" wrapText="1"/>
    </xf>
    <xf numFmtId="3" fontId="8" fillId="32" borderId="14" xfId="0" applyNumberFormat="1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3" fontId="8" fillId="0" borderId="11" xfId="49" applyNumberFormat="1" applyFont="1" applyFill="1" applyBorder="1" applyAlignment="1">
      <alignment horizontal="center" vertical="center" wrapText="1"/>
      <protection/>
    </xf>
    <xf numFmtId="3" fontId="8" fillId="0" borderId="14" xfId="49" applyNumberFormat="1" applyFont="1" applyFill="1" applyBorder="1" applyAlignment="1">
      <alignment horizontal="center" vertical="center" wrapText="1"/>
      <protection/>
    </xf>
    <xf numFmtId="3" fontId="8" fillId="0" borderId="12" xfId="49" applyNumberFormat="1" applyFont="1" applyFill="1" applyBorder="1" applyAlignment="1">
      <alignment horizontal="center" vertical="center" wrapText="1"/>
      <protection/>
    </xf>
    <xf numFmtId="2" fontId="8" fillId="32" borderId="11" xfId="0" applyNumberFormat="1" applyFont="1" applyFill="1" applyBorder="1" applyAlignment="1">
      <alignment horizontal="center" vertical="center" wrapText="1"/>
    </xf>
    <xf numFmtId="2" fontId="8" fillId="32" borderId="14" xfId="0" applyNumberFormat="1" applyFont="1" applyFill="1" applyBorder="1" applyAlignment="1">
      <alignment horizontal="center" vertical="center" wrapText="1"/>
    </xf>
    <xf numFmtId="2" fontId="8" fillId="32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3" fontId="8" fillId="32" borderId="10" xfId="0" applyNumberFormat="1" applyFont="1" applyFill="1" applyBorder="1" applyAlignment="1">
      <alignment horizontal="center" vertical="center" wrapText="1"/>
    </xf>
    <xf numFmtId="3" fontId="8" fillId="32" borderId="11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4" fontId="8" fillId="32" borderId="10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2"/>
  <sheetViews>
    <sheetView tabSelected="1" view="pageBreakPreview" zoomScale="50" zoomScaleSheetLayoutView="50" workbookViewId="0" topLeftCell="A267">
      <selection activeCell="D17" sqref="D17:E17"/>
    </sheetView>
  </sheetViews>
  <sheetFormatPr defaultColWidth="9.00390625" defaultRowHeight="12.75"/>
  <cols>
    <col min="1" max="1" width="18.50390625" style="212" customWidth="1"/>
    <col min="2" max="2" width="15.375" style="213" customWidth="1"/>
    <col min="3" max="3" width="13.00390625" style="213" customWidth="1"/>
    <col min="4" max="4" width="51.375" style="214" customWidth="1"/>
    <col min="5" max="5" width="59.50390625" style="215" customWidth="1"/>
    <col min="6" max="6" width="23.125" style="215" customWidth="1"/>
    <col min="7" max="7" width="27.50390625" style="226" customWidth="1"/>
    <col min="8" max="8" width="27.375" style="227" customWidth="1"/>
    <col min="9" max="9" width="28.00390625" style="227" customWidth="1"/>
    <col min="10" max="10" width="28.625" style="227" customWidth="1"/>
    <col min="11" max="11" width="27.125" style="86" customWidth="1"/>
    <col min="12" max="12" width="26.00390625" style="86" customWidth="1"/>
    <col min="13" max="13" width="26.375" style="86" customWidth="1"/>
    <col min="14" max="14" width="27.875" style="216" customWidth="1"/>
    <col min="15" max="15" width="26.50390625" style="216" customWidth="1"/>
    <col min="16" max="16" width="33.00390625" style="217" customWidth="1"/>
    <col min="17" max="17" width="8.875" style="217" customWidth="1"/>
    <col min="18" max="18" width="24.50390625" style="217" bestFit="1" customWidth="1"/>
    <col min="19" max="16384" width="8.875" style="217" customWidth="1"/>
  </cols>
  <sheetData>
    <row r="1" spans="1:15" s="77" customFormat="1" ht="21" customHeight="1">
      <c r="A1" s="73"/>
      <c r="B1" s="74"/>
      <c r="C1" s="74"/>
      <c r="D1" s="75"/>
      <c r="E1" s="76"/>
      <c r="F1" s="76"/>
      <c r="G1" s="118"/>
      <c r="H1" s="119"/>
      <c r="I1" s="372"/>
      <c r="J1" s="372"/>
      <c r="K1" s="120"/>
      <c r="L1" s="120"/>
      <c r="M1" s="120"/>
      <c r="N1" s="121"/>
      <c r="O1" s="121"/>
    </row>
    <row r="2" spans="1:15" s="77" customFormat="1" ht="27" customHeight="1">
      <c r="A2" s="73"/>
      <c r="B2" s="74"/>
      <c r="C2" s="74"/>
      <c r="D2" s="75"/>
      <c r="E2" s="76"/>
      <c r="F2" s="76"/>
      <c r="I2" s="366" t="s">
        <v>224</v>
      </c>
      <c r="J2" s="366"/>
      <c r="K2" s="120"/>
      <c r="L2" s="120"/>
      <c r="M2" s="120"/>
      <c r="N2" s="121"/>
      <c r="O2" s="121"/>
    </row>
    <row r="3" spans="1:15" s="77" customFormat="1" ht="28.5" customHeight="1">
      <c r="A3" s="73"/>
      <c r="B3" s="74"/>
      <c r="C3" s="74"/>
      <c r="D3" s="75"/>
      <c r="E3" s="76"/>
      <c r="F3" s="76"/>
      <c r="I3" s="366" t="s">
        <v>96</v>
      </c>
      <c r="J3" s="366"/>
      <c r="K3" s="120"/>
      <c r="L3" s="120"/>
      <c r="M3" s="120"/>
      <c r="N3" s="121"/>
      <c r="O3" s="121"/>
    </row>
    <row r="4" spans="1:15" s="77" customFormat="1" ht="27" customHeight="1">
      <c r="A4" s="73"/>
      <c r="B4" s="74"/>
      <c r="C4" s="74"/>
      <c r="D4" s="75"/>
      <c r="E4" s="76"/>
      <c r="F4" s="76"/>
      <c r="I4" s="366" t="s">
        <v>347</v>
      </c>
      <c r="J4" s="366"/>
      <c r="K4" s="120"/>
      <c r="L4" s="120"/>
      <c r="M4" s="120"/>
      <c r="N4" s="121"/>
      <c r="O4" s="121"/>
    </row>
    <row r="5" spans="1:15" s="77" customFormat="1" ht="32.25" customHeight="1">
      <c r="A5" s="73"/>
      <c r="B5" s="74"/>
      <c r="C5" s="74"/>
      <c r="D5" s="75"/>
      <c r="E5" s="76"/>
      <c r="F5" s="76"/>
      <c r="I5" s="366" t="s">
        <v>389</v>
      </c>
      <c r="J5" s="366"/>
      <c r="K5" s="120"/>
      <c r="L5" s="120"/>
      <c r="M5" s="120"/>
      <c r="N5" s="121"/>
      <c r="O5" s="121"/>
    </row>
    <row r="6" spans="1:15" s="77" customFormat="1" ht="33" customHeight="1">
      <c r="A6" s="73"/>
      <c r="B6" s="74"/>
      <c r="C6" s="74"/>
      <c r="D6" s="75"/>
      <c r="E6" s="76"/>
      <c r="F6" s="76"/>
      <c r="I6" s="366" t="s">
        <v>419</v>
      </c>
      <c r="J6" s="366"/>
      <c r="K6" s="120"/>
      <c r="L6" s="120"/>
      <c r="M6" s="120"/>
      <c r="N6" s="121"/>
      <c r="O6" s="121"/>
    </row>
    <row r="7" spans="1:15" s="77" customFormat="1" ht="48" customHeight="1">
      <c r="A7" s="73"/>
      <c r="B7" s="74"/>
      <c r="C7" s="74"/>
      <c r="D7" s="75"/>
      <c r="E7" s="76"/>
      <c r="F7" s="76"/>
      <c r="G7" s="78"/>
      <c r="H7" s="78"/>
      <c r="I7" s="78"/>
      <c r="J7" s="78"/>
      <c r="K7" s="120"/>
      <c r="L7" s="120"/>
      <c r="M7" s="120"/>
      <c r="N7" s="121"/>
      <c r="O7" s="121"/>
    </row>
    <row r="8" spans="1:15" s="77" customFormat="1" ht="69" customHeight="1">
      <c r="A8" s="373" t="s">
        <v>323</v>
      </c>
      <c r="B8" s="373"/>
      <c r="C8" s="373"/>
      <c r="D8" s="373"/>
      <c r="E8" s="373"/>
      <c r="F8" s="373"/>
      <c r="G8" s="373"/>
      <c r="H8" s="373"/>
      <c r="I8" s="373"/>
      <c r="J8" s="373"/>
      <c r="K8" s="120"/>
      <c r="L8" s="120"/>
      <c r="M8" s="120"/>
      <c r="N8" s="121"/>
      <c r="O8" s="121"/>
    </row>
    <row r="9" spans="1:15" s="77" customFormat="1" ht="33" customHeight="1">
      <c r="A9" s="364" t="s">
        <v>317</v>
      </c>
      <c r="B9" s="365"/>
      <c r="C9" s="365"/>
      <c r="D9" s="365"/>
      <c r="E9" s="365"/>
      <c r="F9" s="365"/>
      <c r="G9" s="365"/>
      <c r="H9" s="365"/>
      <c r="I9" s="365"/>
      <c r="J9" s="365"/>
      <c r="K9" s="120"/>
      <c r="L9" s="120"/>
      <c r="M9" s="120"/>
      <c r="N9" s="121"/>
      <c r="O9" s="121"/>
    </row>
    <row r="10" spans="1:15" s="77" customFormat="1" ht="33" customHeight="1">
      <c r="A10" s="367" t="s">
        <v>167</v>
      </c>
      <c r="B10" s="367"/>
      <c r="C10" s="367"/>
      <c r="D10" s="367"/>
      <c r="E10" s="367"/>
      <c r="F10" s="367"/>
      <c r="G10" s="367"/>
      <c r="H10" s="367"/>
      <c r="I10" s="367"/>
      <c r="J10" s="367"/>
      <c r="K10" s="120"/>
      <c r="L10" s="120"/>
      <c r="M10" s="120"/>
      <c r="N10" s="121"/>
      <c r="O10" s="121"/>
    </row>
    <row r="11" spans="1:15" s="77" customFormat="1" ht="30">
      <c r="A11" s="122"/>
      <c r="B11" s="123"/>
      <c r="C11" s="123"/>
      <c r="D11" s="124"/>
      <c r="E11" s="125"/>
      <c r="F11" s="126"/>
      <c r="G11" s="127"/>
      <c r="H11" s="128"/>
      <c r="I11" s="128"/>
      <c r="J11" s="59" t="s">
        <v>79</v>
      </c>
      <c r="K11" s="120"/>
      <c r="L11" s="120"/>
      <c r="M11" s="120"/>
      <c r="N11" s="120"/>
      <c r="O11" s="120"/>
    </row>
    <row r="12" spans="1:15" s="131" customFormat="1" ht="15" customHeight="1">
      <c r="A12" s="374" t="s">
        <v>97</v>
      </c>
      <c r="B12" s="374" t="s">
        <v>98</v>
      </c>
      <c r="C12" s="374" t="s">
        <v>99</v>
      </c>
      <c r="D12" s="368" t="s">
        <v>80</v>
      </c>
      <c r="E12" s="368" t="s">
        <v>100</v>
      </c>
      <c r="F12" s="368" t="s">
        <v>121</v>
      </c>
      <c r="G12" s="375" t="s">
        <v>122</v>
      </c>
      <c r="H12" s="375" t="s">
        <v>105</v>
      </c>
      <c r="I12" s="375" t="s">
        <v>106</v>
      </c>
      <c r="J12" s="375"/>
      <c r="K12" s="129"/>
      <c r="L12" s="129"/>
      <c r="M12" s="129"/>
      <c r="N12" s="130"/>
      <c r="O12" s="130"/>
    </row>
    <row r="13" spans="1:15" s="131" customFormat="1" ht="62.25" customHeight="1">
      <c r="A13" s="374"/>
      <c r="B13" s="374"/>
      <c r="C13" s="374"/>
      <c r="D13" s="368"/>
      <c r="E13" s="368"/>
      <c r="F13" s="368"/>
      <c r="G13" s="375"/>
      <c r="H13" s="375"/>
      <c r="I13" s="375"/>
      <c r="J13" s="375"/>
      <c r="K13" s="129"/>
      <c r="L13" s="132"/>
      <c r="M13" s="132"/>
      <c r="N13" s="129"/>
      <c r="O13" s="129"/>
    </row>
    <row r="14" spans="1:15" s="131" customFormat="1" ht="28.5" customHeight="1">
      <c r="A14" s="374"/>
      <c r="B14" s="374"/>
      <c r="C14" s="374"/>
      <c r="D14" s="368"/>
      <c r="E14" s="368"/>
      <c r="F14" s="368"/>
      <c r="G14" s="375"/>
      <c r="H14" s="375"/>
      <c r="I14" s="375"/>
      <c r="J14" s="375"/>
      <c r="K14" s="129"/>
      <c r="L14" s="129"/>
      <c r="M14" s="129"/>
      <c r="N14" s="130"/>
      <c r="O14" s="130"/>
    </row>
    <row r="15" spans="1:16" s="131" customFormat="1" ht="65.25" customHeight="1">
      <c r="A15" s="374"/>
      <c r="B15" s="374"/>
      <c r="C15" s="374"/>
      <c r="D15" s="368"/>
      <c r="E15" s="368"/>
      <c r="F15" s="368"/>
      <c r="G15" s="375"/>
      <c r="H15" s="375"/>
      <c r="I15" s="36" t="s">
        <v>123</v>
      </c>
      <c r="J15" s="36" t="s">
        <v>124</v>
      </c>
      <c r="K15" s="133"/>
      <c r="L15" s="133"/>
      <c r="M15" s="133"/>
      <c r="N15" s="134"/>
      <c r="O15" s="134"/>
      <c r="P15" s="228"/>
    </row>
    <row r="16" spans="1:16" s="135" customFormat="1" ht="20.25" customHeight="1">
      <c r="A16" s="37">
        <v>1</v>
      </c>
      <c r="B16" s="37">
        <v>2</v>
      </c>
      <c r="C16" s="37">
        <v>3</v>
      </c>
      <c r="D16" s="38">
        <v>4</v>
      </c>
      <c r="E16" s="38">
        <v>5</v>
      </c>
      <c r="F16" s="38">
        <v>6</v>
      </c>
      <c r="G16" s="38">
        <v>7</v>
      </c>
      <c r="H16" s="38">
        <v>8</v>
      </c>
      <c r="I16" s="38">
        <v>9</v>
      </c>
      <c r="J16" s="38">
        <v>10</v>
      </c>
      <c r="K16" s="229"/>
      <c r="L16" s="229"/>
      <c r="M16" s="229"/>
      <c r="N16" s="229"/>
      <c r="O16" s="229"/>
      <c r="P16" s="230"/>
    </row>
    <row r="17" spans="1:16" s="91" customFormat="1" ht="43.5" customHeight="1">
      <c r="A17" s="61" t="s">
        <v>107</v>
      </c>
      <c r="B17" s="87"/>
      <c r="C17" s="87"/>
      <c r="D17" s="379" t="s">
        <v>297</v>
      </c>
      <c r="E17" s="379"/>
      <c r="F17" s="62" t="s">
        <v>212</v>
      </c>
      <c r="G17" s="57">
        <f>G18</f>
        <v>31198873</v>
      </c>
      <c r="H17" s="57">
        <f>H18</f>
        <v>28855044</v>
      </c>
      <c r="I17" s="57">
        <f>I18</f>
        <v>2343829</v>
      </c>
      <c r="J17" s="57">
        <f>J18</f>
        <v>2343829</v>
      </c>
      <c r="K17" s="160"/>
      <c r="L17" s="159"/>
      <c r="M17" s="160"/>
      <c r="N17" s="231"/>
      <c r="O17" s="231"/>
      <c r="P17" s="161"/>
    </row>
    <row r="18" spans="1:16" s="23" customFormat="1" ht="40.5" customHeight="1">
      <c r="A18" s="32" t="s">
        <v>108</v>
      </c>
      <c r="B18" s="31"/>
      <c r="C18" s="31"/>
      <c r="D18" s="363" t="s">
        <v>297</v>
      </c>
      <c r="E18" s="363"/>
      <c r="F18" s="33" t="s">
        <v>212</v>
      </c>
      <c r="G18" s="34">
        <f>H18+I18</f>
        <v>31198873</v>
      </c>
      <c r="H18" s="34">
        <f>H19+H20+H22+H23+H21+H24+H25</f>
        <v>28855044</v>
      </c>
      <c r="I18" s="34">
        <f>I19+I20+I22+I23+I21+I24+I25</f>
        <v>2343829</v>
      </c>
      <c r="J18" s="34">
        <f>J19+J20+J22+J23+J21+J24+J25</f>
        <v>2343829</v>
      </c>
      <c r="K18" s="232"/>
      <c r="L18" s="232"/>
      <c r="M18" s="232"/>
      <c r="N18" s="232"/>
      <c r="O18" s="232"/>
      <c r="P18" s="165"/>
    </row>
    <row r="19" spans="1:16" s="136" customFormat="1" ht="108" customHeight="1">
      <c r="A19" s="371" t="s">
        <v>163</v>
      </c>
      <c r="B19" s="371">
        <v>8410</v>
      </c>
      <c r="C19" s="371" t="s">
        <v>109</v>
      </c>
      <c r="D19" s="380" t="s">
        <v>164</v>
      </c>
      <c r="E19" s="4" t="s">
        <v>337</v>
      </c>
      <c r="F19" s="24" t="s">
        <v>381</v>
      </c>
      <c r="G19" s="6">
        <f aca="true" t="shared" si="0" ref="G19:G25">SUM(H19+I19)</f>
        <v>7272900</v>
      </c>
      <c r="H19" s="15">
        <v>7272900</v>
      </c>
      <c r="I19" s="15">
        <v>0</v>
      </c>
      <c r="J19" s="15">
        <v>0</v>
      </c>
      <c r="K19" s="233"/>
      <c r="L19" s="234"/>
      <c r="M19" s="233"/>
      <c r="N19" s="235"/>
      <c r="O19" s="235"/>
      <c r="P19" s="236"/>
    </row>
    <row r="20" spans="1:16" s="23" customFormat="1" ht="73.5" customHeight="1">
      <c r="A20" s="371"/>
      <c r="B20" s="371"/>
      <c r="C20" s="371"/>
      <c r="D20" s="380"/>
      <c r="E20" s="4" t="s">
        <v>336</v>
      </c>
      <c r="F20" s="24" t="s">
        <v>382</v>
      </c>
      <c r="G20" s="6">
        <f t="shared" si="0"/>
        <v>4608628</v>
      </c>
      <c r="H20" s="8">
        <f>3802728+805900</f>
        <v>4608628</v>
      </c>
      <c r="I20" s="8">
        <v>0</v>
      </c>
      <c r="J20" s="19">
        <v>0</v>
      </c>
      <c r="K20" s="166"/>
      <c r="L20" s="164"/>
      <c r="M20" s="237"/>
      <c r="N20" s="238"/>
      <c r="O20" s="238"/>
      <c r="P20" s="165"/>
    </row>
    <row r="21" spans="1:16" s="23" customFormat="1" ht="96" customHeight="1">
      <c r="A21" s="10" t="s">
        <v>207</v>
      </c>
      <c r="B21" s="12" t="s">
        <v>139</v>
      </c>
      <c r="C21" s="10" t="s">
        <v>110</v>
      </c>
      <c r="D21" s="24" t="s">
        <v>258</v>
      </c>
      <c r="E21" s="13" t="s">
        <v>0</v>
      </c>
      <c r="F21" s="24" t="s">
        <v>350</v>
      </c>
      <c r="G21" s="6">
        <f t="shared" si="0"/>
        <v>2901000</v>
      </c>
      <c r="H21" s="8">
        <v>2901000</v>
      </c>
      <c r="I21" s="8">
        <v>0</v>
      </c>
      <c r="J21" s="15">
        <v>0</v>
      </c>
      <c r="K21" s="156"/>
      <c r="L21" s="164"/>
      <c r="M21" s="237"/>
      <c r="N21" s="238"/>
      <c r="O21" s="238"/>
      <c r="P21" s="165"/>
    </row>
    <row r="22" spans="1:16" s="23" customFormat="1" ht="96" customHeight="1">
      <c r="A22" s="10" t="s">
        <v>207</v>
      </c>
      <c r="B22" s="12" t="s">
        <v>139</v>
      </c>
      <c r="C22" s="10" t="s">
        <v>110</v>
      </c>
      <c r="D22" s="24" t="s">
        <v>258</v>
      </c>
      <c r="E22" s="5" t="s">
        <v>338</v>
      </c>
      <c r="F22" s="5" t="s">
        <v>349</v>
      </c>
      <c r="G22" s="6">
        <f t="shared" si="0"/>
        <v>3783000</v>
      </c>
      <c r="H22" s="7">
        <f>3743000+40000</f>
        <v>3783000</v>
      </c>
      <c r="I22" s="8">
        <v>0</v>
      </c>
      <c r="J22" s="8">
        <v>0</v>
      </c>
      <c r="K22" s="164"/>
      <c r="L22" s="164"/>
      <c r="M22" s="237"/>
      <c r="N22" s="238"/>
      <c r="O22" s="238"/>
      <c r="P22" s="165"/>
    </row>
    <row r="23" spans="1:16" s="138" customFormat="1" ht="125.25" customHeight="1">
      <c r="A23" s="2" t="s">
        <v>216</v>
      </c>
      <c r="B23" s="63" t="s">
        <v>257</v>
      </c>
      <c r="C23" s="63" t="s">
        <v>119</v>
      </c>
      <c r="D23" s="4" t="s">
        <v>142</v>
      </c>
      <c r="E23" s="4" t="s">
        <v>335</v>
      </c>
      <c r="F23" s="24" t="s">
        <v>380</v>
      </c>
      <c r="G23" s="43">
        <f t="shared" si="0"/>
        <v>1013800</v>
      </c>
      <c r="H23" s="9">
        <v>1013800</v>
      </c>
      <c r="I23" s="19">
        <v>0</v>
      </c>
      <c r="J23" s="19">
        <v>0</v>
      </c>
      <c r="K23" s="239"/>
      <c r="L23" s="239"/>
      <c r="M23" s="240"/>
      <c r="N23" s="241"/>
      <c r="O23" s="241"/>
      <c r="P23" s="242"/>
    </row>
    <row r="24" spans="1:16" s="23" customFormat="1" ht="171" customHeight="1">
      <c r="A24" s="2" t="s">
        <v>214</v>
      </c>
      <c r="B24" s="3">
        <v>6017</v>
      </c>
      <c r="C24" s="2" t="s">
        <v>113</v>
      </c>
      <c r="D24" s="4" t="s">
        <v>320</v>
      </c>
      <c r="E24" s="4" t="s">
        <v>330</v>
      </c>
      <c r="F24" s="5" t="s">
        <v>351</v>
      </c>
      <c r="G24" s="6">
        <f t="shared" si="0"/>
        <v>6120429</v>
      </c>
      <c r="H24" s="7">
        <v>3776600</v>
      </c>
      <c r="I24" s="8">
        <v>2343829</v>
      </c>
      <c r="J24" s="8">
        <f>I24</f>
        <v>2343829</v>
      </c>
      <c r="K24" s="237"/>
      <c r="L24" s="237"/>
      <c r="M24" s="237"/>
      <c r="N24" s="238"/>
      <c r="O24" s="238"/>
      <c r="P24" s="165"/>
    </row>
    <row r="25" spans="1:16" s="23" customFormat="1" ht="126.75" customHeight="1">
      <c r="A25" s="2" t="s">
        <v>215</v>
      </c>
      <c r="B25" s="3">
        <v>6030</v>
      </c>
      <c r="C25" s="3" t="s">
        <v>113</v>
      </c>
      <c r="D25" s="4" t="s">
        <v>226</v>
      </c>
      <c r="E25" s="4" t="s">
        <v>329</v>
      </c>
      <c r="F25" s="5" t="s">
        <v>352</v>
      </c>
      <c r="G25" s="6">
        <f t="shared" si="0"/>
        <v>5499116</v>
      </c>
      <c r="H25" s="9">
        <v>5499116</v>
      </c>
      <c r="I25" s="8">
        <v>0</v>
      </c>
      <c r="J25" s="8">
        <v>0</v>
      </c>
      <c r="K25" s="164"/>
      <c r="L25" s="164"/>
      <c r="M25" s="237"/>
      <c r="N25" s="238"/>
      <c r="O25" s="238"/>
      <c r="P25" s="165"/>
    </row>
    <row r="26" spans="1:16" s="91" customFormat="1" ht="39" customHeight="1">
      <c r="A26" s="61" t="s">
        <v>165</v>
      </c>
      <c r="B26" s="87"/>
      <c r="C26" s="87"/>
      <c r="D26" s="381" t="s">
        <v>114</v>
      </c>
      <c r="E26" s="381"/>
      <c r="F26" s="92" t="s">
        <v>212</v>
      </c>
      <c r="G26" s="40">
        <f>G27</f>
        <v>139187331</v>
      </c>
      <c r="H26" s="40">
        <f>H27</f>
        <v>78133731</v>
      </c>
      <c r="I26" s="40">
        <f>I27</f>
        <v>61053600</v>
      </c>
      <c r="J26" s="40">
        <f>J27</f>
        <v>60053600</v>
      </c>
      <c r="K26" s="160"/>
      <c r="L26" s="159"/>
      <c r="M26" s="160"/>
      <c r="N26" s="231"/>
      <c r="O26" s="231"/>
      <c r="P26" s="161"/>
    </row>
    <row r="27" spans="1:16" s="91" customFormat="1" ht="42.75" customHeight="1">
      <c r="A27" s="32" t="s">
        <v>168</v>
      </c>
      <c r="B27" s="31"/>
      <c r="C27" s="31"/>
      <c r="D27" s="385" t="s">
        <v>114</v>
      </c>
      <c r="E27" s="385"/>
      <c r="F27" s="33" t="s">
        <v>212</v>
      </c>
      <c r="G27" s="70">
        <f>SUM(G28+G29+G30+G33+G34+G36+G37+G39+G41+G43+G48)+G44+G31+G42+G45+G38+G40+G46+G47+G35+G32</f>
        <v>139187331</v>
      </c>
      <c r="H27" s="70">
        <f>SUM(H28:H48)</f>
        <v>78133731</v>
      </c>
      <c r="I27" s="70">
        <f>SUM(I28:I48)</f>
        <v>61053600</v>
      </c>
      <c r="J27" s="70">
        <f>SUM(J28:J48)</f>
        <v>60053600</v>
      </c>
      <c r="K27" s="243"/>
      <c r="L27" s="243"/>
      <c r="M27" s="243"/>
      <c r="N27" s="243"/>
      <c r="O27" s="232"/>
      <c r="P27" s="161"/>
    </row>
    <row r="28" spans="1:16" s="23" customFormat="1" ht="99.75" customHeight="1">
      <c r="A28" s="12" t="s">
        <v>208</v>
      </c>
      <c r="B28" s="12" t="s">
        <v>139</v>
      </c>
      <c r="C28" s="12" t="s">
        <v>110</v>
      </c>
      <c r="D28" s="24" t="s">
        <v>258</v>
      </c>
      <c r="E28" s="5" t="s">
        <v>41</v>
      </c>
      <c r="F28" s="5" t="s">
        <v>349</v>
      </c>
      <c r="G28" s="6">
        <f>SUM(H28+I28)</f>
        <v>986000</v>
      </c>
      <c r="H28" s="7">
        <f>946000+40000</f>
        <v>986000</v>
      </c>
      <c r="I28" s="8">
        <v>0</v>
      </c>
      <c r="J28" s="8">
        <v>0</v>
      </c>
      <c r="K28" s="237"/>
      <c r="L28" s="237"/>
      <c r="M28" s="237"/>
      <c r="N28" s="238"/>
      <c r="O28" s="238"/>
      <c r="P28" s="165"/>
    </row>
    <row r="29" spans="1:16" s="23" customFormat="1" ht="54.75" customHeight="1">
      <c r="A29" s="12" t="s">
        <v>200</v>
      </c>
      <c r="B29" s="3">
        <v>1010</v>
      </c>
      <c r="C29" s="10" t="s">
        <v>115</v>
      </c>
      <c r="D29" s="24" t="s">
        <v>263</v>
      </c>
      <c r="E29" s="382" t="s">
        <v>334</v>
      </c>
      <c r="F29" s="382" t="s">
        <v>375</v>
      </c>
      <c r="G29" s="6">
        <f>SUM(H29+I29)</f>
        <v>41386800</v>
      </c>
      <c r="H29" s="8">
        <f>25365700+450000-379800</f>
        <v>25435900</v>
      </c>
      <c r="I29" s="8">
        <f>16310900-360000</f>
        <v>15950900</v>
      </c>
      <c r="J29" s="19">
        <f>16310900-360000</f>
        <v>15950900</v>
      </c>
      <c r="K29" s="237"/>
      <c r="L29" s="237"/>
      <c r="M29" s="244"/>
      <c r="N29" s="238"/>
      <c r="O29" s="238"/>
      <c r="P29" s="165"/>
    </row>
    <row r="30" spans="1:16" s="23" customFormat="1" ht="73.5" customHeight="1">
      <c r="A30" s="10" t="s">
        <v>243</v>
      </c>
      <c r="B30" s="12" t="s">
        <v>244</v>
      </c>
      <c r="C30" s="10" t="s">
        <v>116</v>
      </c>
      <c r="D30" s="89" t="s">
        <v>245</v>
      </c>
      <c r="E30" s="383"/>
      <c r="F30" s="383"/>
      <c r="G30" s="6">
        <f aca="true" t="shared" si="1" ref="G30:G40">SUM(H30+I30)</f>
        <v>64994953.81</v>
      </c>
      <c r="H30" s="8">
        <f>32724910</f>
        <v>32724910</v>
      </c>
      <c r="I30" s="8">
        <f>32492700-222656.19</f>
        <v>32270043.81</v>
      </c>
      <c r="J30" s="8">
        <f>32492700-222656.19</f>
        <v>32270043.81</v>
      </c>
      <c r="K30" s="237"/>
      <c r="L30" s="164"/>
      <c r="M30" s="244"/>
      <c r="N30" s="238"/>
      <c r="O30" s="238"/>
      <c r="P30" s="165"/>
    </row>
    <row r="31" spans="1:16" s="140" customFormat="1" ht="153" customHeight="1">
      <c r="A31" s="20" t="s">
        <v>246</v>
      </c>
      <c r="B31" s="20" t="s">
        <v>247</v>
      </c>
      <c r="C31" s="20" t="s">
        <v>278</v>
      </c>
      <c r="D31" s="13" t="s">
        <v>279</v>
      </c>
      <c r="E31" s="383"/>
      <c r="F31" s="383"/>
      <c r="G31" s="6">
        <f t="shared" si="1"/>
        <v>2537106</v>
      </c>
      <c r="H31" s="15">
        <f>2537106</f>
        <v>2537106</v>
      </c>
      <c r="I31" s="15">
        <v>0</v>
      </c>
      <c r="J31" s="15">
        <v>0</v>
      </c>
      <c r="K31" s="245"/>
      <c r="L31" s="246"/>
      <c r="M31" s="244"/>
      <c r="N31" s="247"/>
      <c r="O31" s="247"/>
      <c r="P31" s="248"/>
    </row>
    <row r="32" spans="1:16" s="140" customFormat="1" ht="68.25">
      <c r="A32" s="20" t="s">
        <v>402</v>
      </c>
      <c r="B32" s="20" t="s">
        <v>403</v>
      </c>
      <c r="C32" s="20" t="s">
        <v>116</v>
      </c>
      <c r="D32" s="13" t="s">
        <v>245</v>
      </c>
      <c r="E32" s="383"/>
      <c r="F32" s="383"/>
      <c r="G32" s="6">
        <f t="shared" si="1"/>
        <v>429384</v>
      </c>
      <c r="H32" s="15">
        <f>223329.88+206054.12</f>
        <v>429384</v>
      </c>
      <c r="I32" s="15">
        <v>0</v>
      </c>
      <c r="J32" s="15">
        <v>0</v>
      </c>
      <c r="K32" s="245"/>
      <c r="L32" s="246"/>
      <c r="M32" s="244"/>
      <c r="N32" s="247"/>
      <c r="O32" s="247"/>
      <c r="P32" s="248"/>
    </row>
    <row r="33" spans="1:16" s="28" customFormat="1" ht="99" customHeight="1">
      <c r="A33" s="25" t="s">
        <v>230</v>
      </c>
      <c r="B33" s="20" t="s">
        <v>262</v>
      </c>
      <c r="C33" s="25" t="s">
        <v>117</v>
      </c>
      <c r="D33" s="13" t="s">
        <v>225</v>
      </c>
      <c r="E33" s="383"/>
      <c r="F33" s="383"/>
      <c r="G33" s="6">
        <f t="shared" si="1"/>
        <v>1899900</v>
      </c>
      <c r="H33" s="15">
        <f>199900</f>
        <v>199900</v>
      </c>
      <c r="I33" s="15">
        <f>1700000</f>
        <v>1700000</v>
      </c>
      <c r="J33" s="15">
        <f>1700000</f>
        <v>1700000</v>
      </c>
      <c r="K33" s="156"/>
      <c r="L33" s="166"/>
      <c r="M33" s="244"/>
      <c r="N33" s="247"/>
      <c r="O33" s="247"/>
      <c r="P33" s="167"/>
    </row>
    <row r="34" spans="1:16" s="28" customFormat="1" ht="55.5" customHeight="1">
      <c r="A34" s="20" t="s">
        <v>250</v>
      </c>
      <c r="B34" s="20" t="s">
        <v>251</v>
      </c>
      <c r="C34" s="20" t="s">
        <v>118</v>
      </c>
      <c r="D34" s="13" t="s">
        <v>51</v>
      </c>
      <c r="E34" s="383"/>
      <c r="F34" s="383"/>
      <c r="G34" s="6">
        <f t="shared" si="1"/>
        <v>853420</v>
      </c>
      <c r="H34" s="15">
        <f>853420</f>
        <v>853420</v>
      </c>
      <c r="I34" s="15">
        <v>0</v>
      </c>
      <c r="J34" s="15">
        <v>0</v>
      </c>
      <c r="K34" s="156"/>
      <c r="L34" s="166"/>
      <c r="M34" s="244"/>
      <c r="N34" s="247"/>
      <c r="O34" s="247"/>
      <c r="P34" s="167"/>
    </row>
    <row r="35" spans="1:16" s="28" customFormat="1" ht="99.75" customHeight="1">
      <c r="A35" s="20" t="s">
        <v>399</v>
      </c>
      <c r="B35" s="20" t="s">
        <v>400</v>
      </c>
      <c r="C35" s="20" t="s">
        <v>118</v>
      </c>
      <c r="D35" s="13" t="s">
        <v>401</v>
      </c>
      <c r="E35" s="329"/>
      <c r="F35" s="384"/>
      <c r="G35" s="6">
        <f t="shared" si="1"/>
        <v>132656.19</v>
      </c>
      <c r="H35" s="15">
        <v>0</v>
      </c>
      <c r="I35" s="15">
        <v>132656.19</v>
      </c>
      <c r="J35" s="15">
        <f>132656.19</f>
        <v>132656.19</v>
      </c>
      <c r="K35" s="156"/>
      <c r="L35" s="166"/>
      <c r="M35" s="244"/>
      <c r="N35" s="247"/>
      <c r="O35" s="247"/>
      <c r="P35" s="167"/>
    </row>
    <row r="36" spans="1:16" s="23" customFormat="1" ht="72.75" customHeight="1">
      <c r="A36" s="10" t="s">
        <v>243</v>
      </c>
      <c r="B36" s="12" t="s">
        <v>244</v>
      </c>
      <c r="C36" s="10" t="s">
        <v>116</v>
      </c>
      <c r="D36" s="89" t="s">
        <v>245</v>
      </c>
      <c r="E36" s="4" t="s">
        <v>33</v>
      </c>
      <c r="F36" s="4" t="s">
        <v>386</v>
      </c>
      <c r="G36" s="6">
        <f>SUM(H36+I36)</f>
        <v>1654300</v>
      </c>
      <c r="H36" s="8">
        <f>1654300</f>
        <v>1654300</v>
      </c>
      <c r="I36" s="52">
        <v>0</v>
      </c>
      <c r="J36" s="8">
        <v>0</v>
      </c>
      <c r="K36" s="237"/>
      <c r="L36" s="164"/>
      <c r="M36" s="244"/>
      <c r="N36" s="238"/>
      <c r="O36" s="238"/>
      <c r="P36" s="165"/>
    </row>
    <row r="37" spans="1:16" s="23" customFormat="1" ht="75" customHeight="1">
      <c r="A37" s="10" t="s">
        <v>243</v>
      </c>
      <c r="B37" s="12" t="s">
        <v>244</v>
      </c>
      <c r="C37" s="10" t="s">
        <v>116</v>
      </c>
      <c r="D37" s="89" t="s">
        <v>245</v>
      </c>
      <c r="E37" s="376" t="s">
        <v>34</v>
      </c>
      <c r="F37" s="376" t="s">
        <v>385</v>
      </c>
      <c r="G37" s="6">
        <f t="shared" si="1"/>
        <v>3550000</v>
      </c>
      <c r="H37" s="8">
        <f>3550000-3200000</f>
        <v>350000</v>
      </c>
      <c r="I37" s="8">
        <f>3200000</f>
        <v>3200000</v>
      </c>
      <c r="J37" s="8">
        <f>3200000</f>
        <v>3200000</v>
      </c>
      <c r="K37" s="237"/>
      <c r="L37" s="237"/>
      <c r="M37" s="244"/>
      <c r="N37" s="238"/>
      <c r="O37" s="241"/>
      <c r="P37" s="165"/>
    </row>
    <row r="38" spans="1:16" s="23" customFormat="1" ht="146.25" customHeight="1">
      <c r="A38" s="20" t="s">
        <v>246</v>
      </c>
      <c r="B38" s="20" t="s">
        <v>247</v>
      </c>
      <c r="C38" s="20" t="s">
        <v>278</v>
      </c>
      <c r="D38" s="13" t="s">
        <v>279</v>
      </c>
      <c r="E38" s="377"/>
      <c r="F38" s="377"/>
      <c r="G38" s="6">
        <f t="shared" si="1"/>
        <v>4000000</v>
      </c>
      <c r="H38" s="8">
        <f>4000000-4000000</f>
        <v>0</v>
      </c>
      <c r="I38" s="8">
        <f>4000000</f>
        <v>4000000</v>
      </c>
      <c r="J38" s="8">
        <f>4000000</f>
        <v>4000000</v>
      </c>
      <c r="K38" s="237"/>
      <c r="L38" s="237"/>
      <c r="M38" s="244"/>
      <c r="N38" s="238"/>
      <c r="O38" s="241"/>
      <c r="P38" s="165"/>
    </row>
    <row r="39" spans="1:16" s="23" customFormat="1" ht="41.25" customHeight="1">
      <c r="A39" s="12" t="s">
        <v>200</v>
      </c>
      <c r="B39" s="3">
        <v>1010</v>
      </c>
      <c r="C39" s="10" t="s">
        <v>115</v>
      </c>
      <c r="D39" s="24" t="s">
        <v>201</v>
      </c>
      <c r="E39" s="377"/>
      <c r="F39" s="377"/>
      <c r="G39" s="6">
        <f t="shared" si="1"/>
        <v>1960000</v>
      </c>
      <c r="H39" s="8">
        <f>1960000</f>
        <v>1960000</v>
      </c>
      <c r="I39" s="8">
        <v>0</v>
      </c>
      <c r="J39" s="8">
        <v>0</v>
      </c>
      <c r="K39" s="237"/>
      <c r="L39" s="164"/>
      <c r="M39" s="244"/>
      <c r="N39" s="238"/>
      <c r="O39" s="238"/>
      <c r="P39" s="165"/>
    </row>
    <row r="40" spans="1:16" s="141" customFormat="1" ht="48" customHeight="1">
      <c r="A40" s="3" t="s">
        <v>87</v>
      </c>
      <c r="B40" s="12" t="s">
        <v>236</v>
      </c>
      <c r="C40" s="12" t="s">
        <v>91</v>
      </c>
      <c r="D40" s="93" t="s">
        <v>88</v>
      </c>
      <c r="E40" s="378"/>
      <c r="F40" s="378"/>
      <c r="G40" s="6">
        <f t="shared" si="1"/>
        <v>50000</v>
      </c>
      <c r="H40" s="16">
        <v>50000</v>
      </c>
      <c r="I40" s="15">
        <v>0</v>
      </c>
      <c r="J40" s="15">
        <v>0</v>
      </c>
      <c r="K40" s="156"/>
      <c r="L40" s="249"/>
      <c r="M40" s="156"/>
      <c r="N40" s="247"/>
      <c r="O40" s="247"/>
      <c r="P40" s="250"/>
    </row>
    <row r="41" spans="1:16" s="23" customFormat="1" ht="168.75" customHeight="1">
      <c r="A41" s="12" t="s">
        <v>170</v>
      </c>
      <c r="B41" s="12" t="s">
        <v>171</v>
      </c>
      <c r="C41" s="10" t="s">
        <v>119</v>
      </c>
      <c r="D41" s="51" t="s">
        <v>152</v>
      </c>
      <c r="E41" s="42" t="s">
        <v>32</v>
      </c>
      <c r="F41" s="4" t="s">
        <v>375</v>
      </c>
      <c r="G41" s="21">
        <f aca="true" t="shared" si="2" ref="G41:G48">H41+I41</f>
        <v>7386380</v>
      </c>
      <c r="H41" s="7">
        <f>6386380</f>
        <v>6386380</v>
      </c>
      <c r="I41" s="8">
        <f>1000000</f>
        <v>1000000</v>
      </c>
      <c r="J41" s="8">
        <v>0</v>
      </c>
      <c r="K41" s="237"/>
      <c r="L41" s="164"/>
      <c r="M41" s="244"/>
      <c r="N41" s="238"/>
      <c r="O41" s="238"/>
      <c r="P41" s="165"/>
    </row>
    <row r="42" spans="1:16" s="141" customFormat="1" ht="54" customHeight="1">
      <c r="A42" s="20" t="s">
        <v>248</v>
      </c>
      <c r="B42" s="20" t="s">
        <v>249</v>
      </c>
      <c r="C42" s="20" t="s">
        <v>117</v>
      </c>
      <c r="D42" s="13" t="s">
        <v>324</v>
      </c>
      <c r="E42" s="393" t="s">
        <v>343</v>
      </c>
      <c r="F42" s="393" t="s">
        <v>373</v>
      </c>
      <c r="G42" s="21">
        <f t="shared" si="2"/>
        <v>1079700</v>
      </c>
      <c r="H42" s="7">
        <f>699900+379800</f>
        <v>1079700</v>
      </c>
      <c r="I42" s="15">
        <v>0</v>
      </c>
      <c r="J42" s="15">
        <v>0</v>
      </c>
      <c r="K42" s="156"/>
      <c r="L42" s="251"/>
      <c r="M42" s="156"/>
      <c r="N42" s="247"/>
      <c r="O42" s="247"/>
      <c r="P42" s="250"/>
    </row>
    <row r="43" spans="1:16" s="28" customFormat="1" ht="45">
      <c r="A43" s="12" t="s">
        <v>76</v>
      </c>
      <c r="B43" s="10">
        <v>4082</v>
      </c>
      <c r="C43" s="10" t="s">
        <v>77</v>
      </c>
      <c r="D43" s="13" t="s">
        <v>78</v>
      </c>
      <c r="E43" s="394"/>
      <c r="F43" s="394"/>
      <c r="G43" s="21">
        <f t="shared" si="2"/>
        <v>2810531</v>
      </c>
      <c r="H43" s="15">
        <f>2737331+61000+12200</f>
        <v>2810531</v>
      </c>
      <c r="I43" s="15">
        <f>J43</f>
        <v>0</v>
      </c>
      <c r="J43" s="15">
        <v>0</v>
      </c>
      <c r="K43" s="156"/>
      <c r="L43" s="166"/>
      <c r="M43" s="156"/>
      <c r="N43" s="247"/>
      <c r="O43" s="247"/>
      <c r="P43" s="167"/>
    </row>
    <row r="44" spans="1:16" s="23" customFormat="1" ht="44.25" customHeight="1">
      <c r="A44" s="3" t="s">
        <v>87</v>
      </c>
      <c r="B44" s="12" t="s">
        <v>236</v>
      </c>
      <c r="C44" s="12" t="s">
        <v>91</v>
      </c>
      <c r="D44" s="93" t="s">
        <v>88</v>
      </c>
      <c r="E44" s="394"/>
      <c r="F44" s="394"/>
      <c r="G44" s="21">
        <f t="shared" si="2"/>
        <v>240000</v>
      </c>
      <c r="H44" s="15">
        <v>240000</v>
      </c>
      <c r="I44" s="8">
        <v>0</v>
      </c>
      <c r="J44" s="8">
        <v>0</v>
      </c>
      <c r="K44" s="237"/>
      <c r="L44" s="164"/>
      <c r="M44" s="237"/>
      <c r="N44" s="238"/>
      <c r="O44" s="238"/>
      <c r="P44" s="165"/>
    </row>
    <row r="45" spans="1:16" s="23" customFormat="1" ht="45">
      <c r="A45" s="2" t="s">
        <v>89</v>
      </c>
      <c r="B45" s="12" t="s">
        <v>90</v>
      </c>
      <c r="C45" s="10" t="s">
        <v>91</v>
      </c>
      <c r="D45" s="51" t="s">
        <v>92</v>
      </c>
      <c r="E45" s="394"/>
      <c r="F45" s="394"/>
      <c r="G45" s="21">
        <f t="shared" si="2"/>
        <v>2730000</v>
      </c>
      <c r="H45" s="15">
        <v>230000</v>
      </c>
      <c r="I45" s="8">
        <v>2500000</v>
      </c>
      <c r="J45" s="8">
        <v>2500000</v>
      </c>
      <c r="K45" s="237"/>
      <c r="L45" s="164"/>
      <c r="M45" s="237"/>
      <c r="N45" s="238"/>
      <c r="O45" s="238"/>
      <c r="P45" s="165"/>
    </row>
    <row r="46" spans="1:16" s="23" customFormat="1" ht="46.5" customHeight="1">
      <c r="A46" s="2" t="s">
        <v>233</v>
      </c>
      <c r="B46" s="12" t="s">
        <v>234</v>
      </c>
      <c r="C46" s="3" t="s">
        <v>235</v>
      </c>
      <c r="D46" s="93" t="s">
        <v>237</v>
      </c>
      <c r="E46" s="394"/>
      <c r="F46" s="394"/>
      <c r="G46" s="21">
        <f t="shared" si="2"/>
        <v>300000</v>
      </c>
      <c r="H46" s="15">
        <v>0</v>
      </c>
      <c r="I46" s="8">
        <v>300000</v>
      </c>
      <c r="J46" s="8">
        <v>300000</v>
      </c>
      <c r="K46" s="237"/>
      <c r="L46" s="164"/>
      <c r="M46" s="237"/>
      <c r="N46" s="238"/>
      <c r="O46" s="238"/>
      <c r="P46" s="165"/>
    </row>
    <row r="47" spans="1:16" s="23" customFormat="1" ht="95.25" customHeight="1">
      <c r="A47" s="12" t="s">
        <v>274</v>
      </c>
      <c r="B47" s="11">
        <v>4060</v>
      </c>
      <c r="C47" s="12" t="s">
        <v>275</v>
      </c>
      <c r="D47" s="24" t="s">
        <v>273</v>
      </c>
      <c r="E47" s="395"/>
      <c r="F47" s="395"/>
      <c r="G47" s="21">
        <f t="shared" si="2"/>
        <v>100000</v>
      </c>
      <c r="H47" s="15">
        <v>100000</v>
      </c>
      <c r="I47" s="8">
        <v>0</v>
      </c>
      <c r="J47" s="8">
        <v>0</v>
      </c>
      <c r="K47" s="237"/>
      <c r="L47" s="164"/>
      <c r="M47" s="237"/>
      <c r="N47" s="238"/>
      <c r="O47" s="238"/>
      <c r="P47" s="165"/>
    </row>
    <row r="48" spans="1:16" s="28" customFormat="1" ht="93.75" customHeight="1">
      <c r="A48" s="25" t="s">
        <v>228</v>
      </c>
      <c r="B48" s="44">
        <v>7340</v>
      </c>
      <c r="C48" s="45" t="s">
        <v>141</v>
      </c>
      <c r="D48" s="13" t="s">
        <v>229</v>
      </c>
      <c r="E48" s="46" t="s">
        <v>11</v>
      </c>
      <c r="F48" s="5" t="s">
        <v>373</v>
      </c>
      <c r="G48" s="47">
        <f t="shared" si="2"/>
        <v>106200</v>
      </c>
      <c r="H48" s="48">
        <v>106200</v>
      </c>
      <c r="I48" s="48">
        <v>0</v>
      </c>
      <c r="J48" s="15">
        <f>I48</f>
        <v>0</v>
      </c>
      <c r="K48" s="237"/>
      <c r="L48" s="166"/>
      <c r="M48" s="237"/>
      <c r="N48" s="238"/>
      <c r="O48" s="238"/>
      <c r="P48" s="167"/>
    </row>
    <row r="49" spans="1:16" s="91" customFormat="1" ht="42" customHeight="1">
      <c r="A49" s="61" t="s">
        <v>172</v>
      </c>
      <c r="B49" s="87"/>
      <c r="C49" s="87"/>
      <c r="D49" s="381" t="s">
        <v>160</v>
      </c>
      <c r="E49" s="381"/>
      <c r="F49" s="62" t="s">
        <v>212</v>
      </c>
      <c r="G49" s="40">
        <f>G50</f>
        <v>207715962</v>
      </c>
      <c r="H49" s="40">
        <f>H50</f>
        <v>183924487</v>
      </c>
      <c r="I49" s="40">
        <f>I50</f>
        <v>23791475</v>
      </c>
      <c r="J49" s="40">
        <f>J50</f>
        <v>23791475</v>
      </c>
      <c r="K49" s="160"/>
      <c r="L49" s="159"/>
      <c r="M49" s="160"/>
      <c r="N49" s="231"/>
      <c r="O49" s="231"/>
      <c r="P49" s="161"/>
    </row>
    <row r="50" spans="1:16" s="91" customFormat="1" ht="43.5" customHeight="1">
      <c r="A50" s="32" t="s">
        <v>161</v>
      </c>
      <c r="B50" s="31"/>
      <c r="C50" s="31"/>
      <c r="D50" s="385" t="s">
        <v>160</v>
      </c>
      <c r="E50" s="385"/>
      <c r="F50" s="33" t="s">
        <v>212</v>
      </c>
      <c r="G50" s="35">
        <f>H50+I50</f>
        <v>207715962</v>
      </c>
      <c r="H50" s="35">
        <f>H51+H52+H56+H62+H69+H70+H74+H81+H82+H83+H84+H87</f>
        <v>183924487</v>
      </c>
      <c r="I50" s="35">
        <f>I51+I52+I56+I62+I69+I70+I74+I81+I82+I83+I84+I87</f>
        <v>23791475</v>
      </c>
      <c r="J50" s="35">
        <f>J51+J52+J56+J62+J69+J70+J74+J81+J82+J83+J84+J87</f>
        <v>23791475</v>
      </c>
      <c r="K50" s="237"/>
      <c r="L50" s="237"/>
      <c r="M50" s="237"/>
      <c r="N50" s="237"/>
      <c r="O50" s="237"/>
      <c r="P50" s="161"/>
    </row>
    <row r="51" spans="1:16" s="23" customFormat="1" ht="102" customHeight="1">
      <c r="A51" s="12" t="s">
        <v>209</v>
      </c>
      <c r="B51" s="12" t="s">
        <v>139</v>
      </c>
      <c r="C51" s="12" t="s">
        <v>110</v>
      </c>
      <c r="D51" s="24" t="s">
        <v>258</v>
      </c>
      <c r="E51" s="5" t="s">
        <v>41</v>
      </c>
      <c r="F51" s="5" t="s">
        <v>349</v>
      </c>
      <c r="G51" s="6">
        <f>SUM(H51+I51)</f>
        <v>1038000</v>
      </c>
      <c r="H51" s="7">
        <f>998000+40000</f>
        <v>1038000</v>
      </c>
      <c r="I51" s="8">
        <v>0</v>
      </c>
      <c r="J51" s="8">
        <v>0</v>
      </c>
      <c r="K51" s="252"/>
      <c r="L51" s="240"/>
      <c r="M51" s="240"/>
      <c r="N51" s="240"/>
      <c r="O51" s="240"/>
      <c r="P51" s="165"/>
    </row>
    <row r="52" spans="1:16" s="23" customFormat="1" ht="51.75" customHeight="1">
      <c r="A52" s="10" t="s">
        <v>162</v>
      </c>
      <c r="B52" s="10">
        <v>2010</v>
      </c>
      <c r="C52" s="10" t="s">
        <v>126</v>
      </c>
      <c r="D52" s="24" t="s">
        <v>155</v>
      </c>
      <c r="E52" s="396" t="s">
        <v>30</v>
      </c>
      <c r="F52" s="390" t="s">
        <v>387</v>
      </c>
      <c r="G52" s="6">
        <f>SUM(H52+I52)</f>
        <v>96432760.03</v>
      </c>
      <c r="H52" s="19">
        <f>79858349+57409-315056.97+114584+100000+H55</f>
        <v>79815285.03</v>
      </c>
      <c r="I52" s="18">
        <f>800000+I53+I54+I55</f>
        <v>16617475</v>
      </c>
      <c r="J52" s="18">
        <f>800000+J53+J54+J55</f>
        <v>16617475</v>
      </c>
      <c r="K52" s="252"/>
      <c r="L52" s="240"/>
      <c r="M52" s="240"/>
      <c r="N52" s="240"/>
      <c r="O52" s="240"/>
      <c r="P52" s="165"/>
    </row>
    <row r="53" spans="1:16" s="110" customFormat="1" ht="223.5" customHeight="1">
      <c r="A53" s="106"/>
      <c r="B53" s="106"/>
      <c r="C53" s="106"/>
      <c r="D53" s="102" t="s">
        <v>417</v>
      </c>
      <c r="E53" s="397"/>
      <c r="F53" s="391"/>
      <c r="G53" s="107">
        <f>H53+I53</f>
        <v>12000000</v>
      </c>
      <c r="H53" s="108">
        <v>0</v>
      </c>
      <c r="I53" s="109">
        <v>12000000</v>
      </c>
      <c r="J53" s="109">
        <v>12000000</v>
      </c>
      <c r="K53" s="253"/>
      <c r="L53" s="254"/>
      <c r="M53" s="254"/>
      <c r="N53" s="254"/>
      <c r="O53" s="254"/>
      <c r="P53" s="255"/>
    </row>
    <row r="54" spans="1:16" s="110" customFormat="1" ht="148.5" customHeight="1">
      <c r="A54" s="106"/>
      <c r="B54" s="106"/>
      <c r="C54" s="106"/>
      <c r="D54" s="111" t="s">
        <v>418</v>
      </c>
      <c r="E54" s="397"/>
      <c r="F54" s="391"/>
      <c r="G54" s="107">
        <f>H54+I54</f>
        <v>717475</v>
      </c>
      <c r="H54" s="108">
        <v>0</v>
      </c>
      <c r="I54" s="109">
        <v>717475</v>
      </c>
      <c r="J54" s="109">
        <v>717475</v>
      </c>
      <c r="K54" s="253"/>
      <c r="L54" s="254"/>
      <c r="M54" s="254"/>
      <c r="N54" s="254"/>
      <c r="O54" s="254"/>
      <c r="P54" s="255"/>
    </row>
    <row r="55" spans="1:16" s="110" customFormat="1" ht="184.5" customHeight="1">
      <c r="A55" s="106"/>
      <c r="B55" s="106"/>
      <c r="C55" s="106"/>
      <c r="D55" s="102" t="s">
        <v>416</v>
      </c>
      <c r="E55" s="397"/>
      <c r="F55" s="391"/>
      <c r="G55" s="107">
        <f>H55+I55</f>
        <v>3100000</v>
      </c>
      <c r="H55" s="108">
        <v>0</v>
      </c>
      <c r="I55" s="109">
        <v>3100000</v>
      </c>
      <c r="J55" s="109">
        <v>3100000</v>
      </c>
      <c r="K55" s="253"/>
      <c r="L55" s="254"/>
      <c r="M55" s="254"/>
      <c r="N55" s="254"/>
      <c r="O55" s="254"/>
      <c r="P55" s="255"/>
    </row>
    <row r="56" spans="1:16" s="28" customFormat="1" ht="84" customHeight="1">
      <c r="A56" s="20" t="s">
        <v>57</v>
      </c>
      <c r="B56" s="54" t="s">
        <v>58</v>
      </c>
      <c r="C56" s="25" t="s">
        <v>59</v>
      </c>
      <c r="D56" s="45" t="s">
        <v>56</v>
      </c>
      <c r="E56" s="397"/>
      <c r="F56" s="391"/>
      <c r="G56" s="6">
        <f>SUM(H56+I56)</f>
        <v>9118419.6</v>
      </c>
      <c r="H56" s="15">
        <f>8450796+99536.6+568087</f>
        <v>9118419.6</v>
      </c>
      <c r="I56" s="16">
        <f>J56</f>
        <v>0</v>
      </c>
      <c r="J56" s="16">
        <v>0</v>
      </c>
      <c r="K56" s="256"/>
      <c r="L56" s="240"/>
      <c r="M56" s="240"/>
      <c r="N56" s="156"/>
      <c r="O56" s="156"/>
      <c r="P56" s="167"/>
    </row>
    <row r="57" spans="1:16" s="28" customFormat="1" ht="59.25" customHeight="1" hidden="1">
      <c r="A57" s="25"/>
      <c r="B57" s="25"/>
      <c r="C57" s="25"/>
      <c r="D57" s="13"/>
      <c r="E57" s="397"/>
      <c r="F57" s="391"/>
      <c r="G57" s="6"/>
      <c r="H57" s="15"/>
      <c r="I57" s="16"/>
      <c r="J57" s="16"/>
      <c r="K57" s="256"/>
      <c r="L57" s="240"/>
      <c r="M57" s="156"/>
      <c r="N57" s="156"/>
      <c r="O57" s="156"/>
      <c r="P57" s="167"/>
    </row>
    <row r="58" spans="1:16" s="28" customFormat="1" ht="86.25" customHeight="1" hidden="1">
      <c r="A58" s="25"/>
      <c r="B58" s="25"/>
      <c r="C58" s="25"/>
      <c r="D58" s="94"/>
      <c r="E58" s="397"/>
      <c r="F58" s="391"/>
      <c r="G58" s="107"/>
      <c r="H58" s="114"/>
      <c r="I58" s="16"/>
      <c r="J58" s="142"/>
      <c r="K58" s="256"/>
      <c r="L58" s="240"/>
      <c r="M58" s="156"/>
      <c r="N58" s="156"/>
      <c r="O58" s="156"/>
      <c r="P58" s="167"/>
    </row>
    <row r="59" spans="1:16" s="28" customFormat="1" ht="201.75" customHeight="1" hidden="1">
      <c r="A59" s="25"/>
      <c r="B59" s="25"/>
      <c r="C59" s="25"/>
      <c r="D59" s="95"/>
      <c r="E59" s="397"/>
      <c r="F59" s="391"/>
      <c r="G59" s="107"/>
      <c r="H59" s="114"/>
      <c r="I59" s="16"/>
      <c r="J59" s="142"/>
      <c r="K59" s="256"/>
      <c r="L59" s="240"/>
      <c r="M59" s="156"/>
      <c r="N59" s="156"/>
      <c r="O59" s="156"/>
      <c r="P59" s="167"/>
    </row>
    <row r="60" spans="1:16" s="28" customFormat="1" ht="101.25" customHeight="1" hidden="1">
      <c r="A60" s="20"/>
      <c r="B60" s="20"/>
      <c r="C60" s="20"/>
      <c r="D60" s="13"/>
      <c r="E60" s="397"/>
      <c r="F60" s="391"/>
      <c r="G60" s="6"/>
      <c r="H60" s="15"/>
      <c r="I60" s="16"/>
      <c r="J60" s="16"/>
      <c r="K60" s="256"/>
      <c r="L60" s="240"/>
      <c r="M60" s="240"/>
      <c r="N60" s="240"/>
      <c r="O60" s="156"/>
      <c r="P60" s="167"/>
    </row>
    <row r="61" spans="1:16" s="28" customFormat="1" ht="101.25" customHeight="1" hidden="1">
      <c r="A61" s="20"/>
      <c r="B61" s="20"/>
      <c r="C61" s="20"/>
      <c r="D61" s="13"/>
      <c r="E61" s="397"/>
      <c r="F61" s="391"/>
      <c r="G61" s="6"/>
      <c r="H61" s="15"/>
      <c r="I61" s="15"/>
      <c r="J61" s="16"/>
      <c r="K61" s="256"/>
      <c r="L61" s="240"/>
      <c r="M61" s="240"/>
      <c r="N61" s="240"/>
      <c r="O61" s="156"/>
      <c r="P61" s="167"/>
    </row>
    <row r="62" spans="1:16" s="28" customFormat="1" ht="108" customHeight="1">
      <c r="A62" s="20" t="s">
        <v>269</v>
      </c>
      <c r="B62" s="20" t="s">
        <v>266</v>
      </c>
      <c r="C62" s="25" t="s">
        <v>268</v>
      </c>
      <c r="D62" s="13" t="s">
        <v>267</v>
      </c>
      <c r="E62" s="397"/>
      <c r="F62" s="392"/>
      <c r="G62" s="6">
        <f>SUM(H62+I62)</f>
        <v>37704498.37</v>
      </c>
      <c r="H62" s="15">
        <f>38602837+60082+215520.37+195000-1479529+110588</f>
        <v>37704498.37</v>
      </c>
      <c r="I62" s="15">
        <f>I63</f>
        <v>0</v>
      </c>
      <c r="J62" s="15">
        <v>0</v>
      </c>
      <c r="K62" s="256"/>
      <c r="L62" s="156"/>
      <c r="M62" s="156"/>
      <c r="N62" s="156"/>
      <c r="O62" s="156"/>
      <c r="P62" s="167"/>
    </row>
    <row r="63" spans="1:16" s="28" customFormat="1" ht="160.5" customHeight="1" hidden="1">
      <c r="A63" s="20"/>
      <c r="B63" s="20"/>
      <c r="C63" s="25"/>
      <c r="D63" s="325"/>
      <c r="E63" s="398"/>
      <c r="F63" s="116"/>
      <c r="G63" s="6"/>
      <c r="H63" s="15"/>
      <c r="I63" s="15"/>
      <c r="J63" s="15"/>
      <c r="K63" s="256"/>
      <c r="L63" s="156"/>
      <c r="M63" s="156"/>
      <c r="N63" s="156"/>
      <c r="O63" s="156"/>
      <c r="P63" s="167"/>
    </row>
    <row r="64" spans="1:16" s="28" customFormat="1" ht="108" customHeight="1" hidden="1">
      <c r="A64" s="20"/>
      <c r="B64" s="20"/>
      <c r="C64" s="25"/>
      <c r="D64" s="13"/>
      <c r="E64" s="399"/>
      <c r="F64" s="402"/>
      <c r="G64" s="6"/>
      <c r="H64" s="15"/>
      <c r="I64" s="15"/>
      <c r="J64" s="19"/>
      <c r="K64" s="256"/>
      <c r="L64" s="156"/>
      <c r="M64" s="156"/>
      <c r="N64" s="156"/>
      <c r="O64" s="156"/>
      <c r="P64" s="167"/>
    </row>
    <row r="65" spans="1:16" s="148" customFormat="1" ht="116.25" customHeight="1" hidden="1">
      <c r="A65" s="143"/>
      <c r="B65" s="144"/>
      <c r="C65" s="145"/>
      <c r="D65" s="144"/>
      <c r="E65" s="400"/>
      <c r="F65" s="403"/>
      <c r="G65" s="146"/>
      <c r="H65" s="147"/>
      <c r="I65" s="114"/>
      <c r="J65" s="114"/>
      <c r="K65" s="257"/>
      <c r="L65" s="258"/>
      <c r="M65" s="257"/>
      <c r="N65" s="259"/>
      <c r="O65" s="259"/>
      <c r="P65" s="258"/>
    </row>
    <row r="66" spans="1:16" s="28" customFormat="1" ht="49.5" customHeight="1" hidden="1">
      <c r="A66" s="20"/>
      <c r="B66" s="20"/>
      <c r="C66" s="20"/>
      <c r="D66" s="13"/>
      <c r="E66" s="400"/>
      <c r="F66" s="403"/>
      <c r="G66" s="6"/>
      <c r="H66" s="15"/>
      <c r="I66" s="15"/>
      <c r="J66" s="15"/>
      <c r="K66" s="256"/>
      <c r="L66" s="166"/>
      <c r="M66" s="156"/>
      <c r="N66" s="156"/>
      <c r="O66" s="247"/>
      <c r="P66" s="167"/>
    </row>
    <row r="67" spans="1:16" s="28" customFormat="1" ht="49.5" customHeight="1" hidden="1">
      <c r="A67" s="25"/>
      <c r="B67" s="25"/>
      <c r="C67" s="25"/>
      <c r="D67" s="13"/>
      <c r="E67" s="400"/>
      <c r="F67" s="403"/>
      <c r="G67" s="6"/>
      <c r="H67" s="15"/>
      <c r="I67" s="15"/>
      <c r="J67" s="15"/>
      <c r="K67" s="256"/>
      <c r="L67" s="166"/>
      <c r="M67" s="156"/>
      <c r="N67" s="156"/>
      <c r="O67" s="247"/>
      <c r="P67" s="167"/>
    </row>
    <row r="68" spans="1:16" s="28" customFormat="1" ht="106.5" customHeight="1" hidden="1">
      <c r="A68" s="143"/>
      <c r="B68" s="144"/>
      <c r="C68" s="145"/>
      <c r="D68" s="144"/>
      <c r="E68" s="401"/>
      <c r="F68" s="404"/>
      <c r="G68" s="107"/>
      <c r="H68" s="114"/>
      <c r="I68" s="114"/>
      <c r="J68" s="114"/>
      <c r="K68" s="256"/>
      <c r="L68" s="166"/>
      <c r="M68" s="156"/>
      <c r="N68" s="156"/>
      <c r="O68" s="247"/>
      <c r="P68" s="167"/>
    </row>
    <row r="69" spans="1:16" s="28" customFormat="1" ht="58.5" customHeight="1">
      <c r="A69" s="20" t="s">
        <v>310</v>
      </c>
      <c r="B69" s="20" t="s">
        <v>84</v>
      </c>
      <c r="C69" s="20" t="s">
        <v>127</v>
      </c>
      <c r="D69" s="13" t="s">
        <v>85</v>
      </c>
      <c r="E69" s="408" t="s">
        <v>30</v>
      </c>
      <c r="F69" s="412" t="s">
        <v>387</v>
      </c>
      <c r="G69" s="6">
        <f>SUM(H69+I69)</f>
        <v>11500410</v>
      </c>
      <c r="H69" s="15">
        <f>10355399+796858+348153</f>
        <v>11500410</v>
      </c>
      <c r="I69" s="15">
        <f>J69</f>
        <v>0</v>
      </c>
      <c r="J69" s="15">
        <v>0</v>
      </c>
      <c r="K69" s="256"/>
      <c r="L69" s="156"/>
      <c r="M69" s="156"/>
      <c r="N69" s="156"/>
      <c r="O69" s="247"/>
      <c r="P69" s="167"/>
    </row>
    <row r="70" spans="1:16" s="28" customFormat="1" ht="45">
      <c r="A70" s="25" t="s">
        <v>322</v>
      </c>
      <c r="B70" s="25">
        <v>2152</v>
      </c>
      <c r="C70" s="25" t="s">
        <v>127</v>
      </c>
      <c r="D70" s="13" t="s">
        <v>75</v>
      </c>
      <c r="E70" s="408"/>
      <c r="F70" s="412"/>
      <c r="G70" s="6">
        <f>SUM(H70+I70)</f>
        <v>36227682</v>
      </c>
      <c r="H70" s="15">
        <f>36540173-117491-195000</f>
        <v>36227682</v>
      </c>
      <c r="I70" s="15">
        <v>0</v>
      </c>
      <c r="J70" s="15">
        <v>0</v>
      </c>
      <c r="K70" s="256"/>
      <c r="L70" s="156"/>
      <c r="M70" s="156"/>
      <c r="N70" s="156"/>
      <c r="O70" s="156"/>
      <c r="P70" s="167"/>
    </row>
    <row r="71" spans="1:16" s="23" customFormat="1" ht="70.5" customHeight="1" hidden="1">
      <c r="A71" s="10"/>
      <c r="B71" s="10"/>
      <c r="C71" s="10"/>
      <c r="D71" s="24"/>
      <c r="E71" s="409" t="s">
        <v>31</v>
      </c>
      <c r="F71" s="393" t="s">
        <v>388</v>
      </c>
      <c r="G71" s="6"/>
      <c r="H71" s="19"/>
      <c r="I71" s="15"/>
      <c r="J71" s="8"/>
      <c r="K71" s="164"/>
      <c r="L71" s="164"/>
      <c r="M71" s="237"/>
      <c r="N71" s="238"/>
      <c r="O71" s="238"/>
      <c r="P71" s="165"/>
    </row>
    <row r="72" spans="1:16" s="28" customFormat="1" ht="81" customHeight="1" hidden="1">
      <c r="A72" s="25"/>
      <c r="B72" s="25"/>
      <c r="C72" s="25"/>
      <c r="D72" s="13"/>
      <c r="E72" s="410"/>
      <c r="F72" s="394"/>
      <c r="G72" s="6"/>
      <c r="H72" s="15"/>
      <c r="I72" s="15"/>
      <c r="J72" s="15"/>
      <c r="K72" s="166"/>
      <c r="L72" s="166"/>
      <c r="M72" s="156"/>
      <c r="N72" s="247"/>
      <c r="O72" s="247"/>
      <c r="P72" s="167"/>
    </row>
    <row r="73" spans="1:16" s="23" customFormat="1" ht="60.75" customHeight="1" hidden="1">
      <c r="A73" s="10"/>
      <c r="B73" s="10"/>
      <c r="C73" s="10"/>
      <c r="D73" s="24"/>
      <c r="E73" s="410"/>
      <c r="F73" s="394"/>
      <c r="G73" s="6"/>
      <c r="H73" s="19"/>
      <c r="I73" s="15"/>
      <c r="J73" s="8"/>
      <c r="K73" s="237"/>
      <c r="L73" s="164"/>
      <c r="M73" s="237"/>
      <c r="N73" s="238"/>
      <c r="O73" s="238"/>
      <c r="P73" s="165"/>
    </row>
    <row r="74" spans="1:16" s="23" customFormat="1" ht="68.25" customHeight="1">
      <c r="A74" s="10" t="s">
        <v>162</v>
      </c>
      <c r="B74" s="10">
        <v>2010</v>
      </c>
      <c r="C74" s="10" t="s">
        <v>126</v>
      </c>
      <c r="D74" s="24" t="s">
        <v>155</v>
      </c>
      <c r="E74" s="410"/>
      <c r="F74" s="394"/>
      <c r="G74" s="6">
        <f>SUM(H74+I74)</f>
        <v>5602012</v>
      </c>
      <c r="H74" s="19">
        <v>5602012</v>
      </c>
      <c r="I74" s="15">
        <f>J74</f>
        <v>0</v>
      </c>
      <c r="J74" s="8">
        <v>0</v>
      </c>
      <c r="K74" s="237"/>
      <c r="L74" s="164"/>
      <c r="M74" s="237"/>
      <c r="N74" s="238"/>
      <c r="O74" s="238"/>
      <c r="P74" s="165"/>
    </row>
    <row r="75" spans="1:16" s="28" customFormat="1" ht="156" customHeight="1" hidden="1">
      <c r="A75" s="25"/>
      <c r="B75" s="20"/>
      <c r="C75" s="25"/>
      <c r="D75" s="13"/>
      <c r="E75" s="410"/>
      <c r="F75" s="413"/>
      <c r="G75" s="6"/>
      <c r="H75" s="7"/>
      <c r="I75" s="15"/>
      <c r="J75" s="15"/>
      <c r="K75" s="166"/>
      <c r="L75" s="166"/>
      <c r="M75" s="156"/>
      <c r="N75" s="247"/>
      <c r="O75" s="247"/>
      <c r="P75" s="167"/>
    </row>
    <row r="76" spans="1:16" s="23" customFormat="1" ht="99.75" customHeight="1" hidden="1">
      <c r="A76" s="12"/>
      <c r="B76" s="12"/>
      <c r="C76" s="12"/>
      <c r="D76" s="24"/>
      <c r="E76" s="410"/>
      <c r="F76" s="413"/>
      <c r="G76" s="6"/>
      <c r="H76" s="7"/>
      <c r="I76" s="15"/>
      <c r="J76" s="8"/>
      <c r="K76" s="237"/>
      <c r="L76" s="164"/>
      <c r="M76" s="237"/>
      <c r="N76" s="238"/>
      <c r="O76" s="238"/>
      <c r="P76" s="165"/>
    </row>
    <row r="77" spans="1:16" s="23" customFormat="1" ht="152.25" customHeight="1" hidden="1">
      <c r="A77" s="10"/>
      <c r="B77" s="12"/>
      <c r="C77" s="10"/>
      <c r="D77" s="24"/>
      <c r="E77" s="410"/>
      <c r="F77" s="413"/>
      <c r="G77" s="6"/>
      <c r="H77" s="7"/>
      <c r="I77" s="15"/>
      <c r="J77" s="8"/>
      <c r="K77" s="164"/>
      <c r="L77" s="164"/>
      <c r="M77" s="237"/>
      <c r="N77" s="238"/>
      <c r="O77" s="238"/>
      <c r="P77" s="165"/>
    </row>
    <row r="78" spans="1:16" s="23" customFormat="1" ht="135" customHeight="1" hidden="1">
      <c r="A78" s="20"/>
      <c r="B78" s="20"/>
      <c r="C78" s="25"/>
      <c r="D78" s="13"/>
      <c r="E78" s="410"/>
      <c r="F78" s="413"/>
      <c r="G78" s="6"/>
      <c r="H78" s="7"/>
      <c r="I78" s="15"/>
      <c r="J78" s="8"/>
      <c r="K78" s="164"/>
      <c r="L78" s="164"/>
      <c r="M78" s="237"/>
      <c r="N78" s="238"/>
      <c r="O78" s="238"/>
      <c r="P78" s="165"/>
    </row>
    <row r="79" spans="1:16" s="23" customFormat="1" ht="107.25" customHeight="1" hidden="1">
      <c r="A79" s="10"/>
      <c r="B79" s="10"/>
      <c r="C79" s="10"/>
      <c r="D79" s="24"/>
      <c r="E79" s="410"/>
      <c r="F79" s="413"/>
      <c r="G79" s="6"/>
      <c r="H79" s="7"/>
      <c r="I79" s="15"/>
      <c r="J79" s="8"/>
      <c r="K79" s="164"/>
      <c r="L79" s="164"/>
      <c r="M79" s="237"/>
      <c r="N79" s="238"/>
      <c r="O79" s="238"/>
      <c r="P79" s="165"/>
    </row>
    <row r="80" spans="1:16" s="23" customFormat="1" ht="75" customHeight="1" hidden="1">
      <c r="A80" s="3"/>
      <c r="B80" s="10"/>
      <c r="C80" s="12"/>
      <c r="D80" s="24"/>
      <c r="E80" s="410"/>
      <c r="F80" s="413"/>
      <c r="G80" s="6"/>
      <c r="H80" s="7"/>
      <c r="I80" s="8"/>
      <c r="J80" s="15"/>
      <c r="K80" s="260"/>
      <c r="L80" s="237"/>
      <c r="M80" s="237"/>
      <c r="N80" s="238"/>
      <c r="O80" s="238"/>
      <c r="P80" s="165"/>
    </row>
    <row r="81" spans="1:16" s="23" customFormat="1" ht="75" customHeight="1">
      <c r="A81" s="20" t="s">
        <v>57</v>
      </c>
      <c r="B81" s="54" t="s">
        <v>58</v>
      </c>
      <c r="C81" s="25" t="s">
        <v>59</v>
      </c>
      <c r="D81" s="45" t="s">
        <v>56</v>
      </c>
      <c r="E81" s="410"/>
      <c r="F81" s="413"/>
      <c r="G81" s="6">
        <f>SUM(H81+I81)</f>
        <v>1080000</v>
      </c>
      <c r="H81" s="7">
        <v>1080000</v>
      </c>
      <c r="I81" s="8">
        <v>0</v>
      </c>
      <c r="J81" s="15">
        <v>0</v>
      </c>
      <c r="K81" s="260"/>
      <c r="L81" s="237"/>
      <c r="M81" s="237"/>
      <c r="N81" s="238"/>
      <c r="O81" s="238"/>
      <c r="P81" s="165"/>
    </row>
    <row r="82" spans="1:16" s="23" customFormat="1" ht="99.75" customHeight="1">
      <c r="A82" s="20" t="s">
        <v>269</v>
      </c>
      <c r="B82" s="20" t="s">
        <v>266</v>
      </c>
      <c r="C82" s="25" t="s">
        <v>268</v>
      </c>
      <c r="D82" s="13" t="s">
        <v>267</v>
      </c>
      <c r="E82" s="410"/>
      <c r="F82" s="413"/>
      <c r="G82" s="6">
        <f>SUM(H82+I82)</f>
        <v>1153180</v>
      </c>
      <c r="H82" s="7">
        <v>1153180</v>
      </c>
      <c r="I82" s="8">
        <v>0</v>
      </c>
      <c r="J82" s="15">
        <v>0</v>
      </c>
      <c r="K82" s="260"/>
      <c r="L82" s="237"/>
      <c r="M82" s="237"/>
      <c r="N82" s="238"/>
      <c r="O82" s="238"/>
      <c r="P82" s="165"/>
    </row>
    <row r="83" spans="1:16" s="23" customFormat="1" ht="75" customHeight="1">
      <c r="A83" s="20" t="s">
        <v>310</v>
      </c>
      <c r="B83" s="20" t="s">
        <v>84</v>
      </c>
      <c r="C83" s="20" t="s">
        <v>127</v>
      </c>
      <c r="D83" s="13" t="s">
        <v>85</v>
      </c>
      <c r="E83" s="411"/>
      <c r="F83" s="414"/>
      <c r="G83" s="6">
        <f>SUM(H83+I83)</f>
        <v>685000</v>
      </c>
      <c r="H83" s="7">
        <v>685000</v>
      </c>
      <c r="I83" s="8">
        <v>0</v>
      </c>
      <c r="J83" s="15">
        <v>0</v>
      </c>
      <c r="K83" s="260"/>
      <c r="L83" s="237"/>
      <c r="M83" s="237"/>
      <c r="N83" s="238"/>
      <c r="O83" s="238"/>
      <c r="P83" s="165"/>
    </row>
    <row r="84" spans="1:16" s="23" customFormat="1" ht="93" customHeight="1">
      <c r="A84" s="3" t="s">
        <v>265</v>
      </c>
      <c r="B84" s="10" t="s">
        <v>307</v>
      </c>
      <c r="C84" s="12" t="s">
        <v>141</v>
      </c>
      <c r="D84" s="24" t="s">
        <v>253</v>
      </c>
      <c r="E84" s="5" t="s">
        <v>23</v>
      </c>
      <c r="F84" s="5" t="s">
        <v>422</v>
      </c>
      <c r="G84" s="6">
        <f>SUM(H84+I84)</f>
        <v>5050000</v>
      </c>
      <c r="H84" s="7">
        <v>0</v>
      </c>
      <c r="I84" s="19">
        <f>5000000+50000</f>
        <v>5050000</v>
      </c>
      <c r="J84" s="19">
        <f>I84</f>
        <v>5050000</v>
      </c>
      <c r="K84" s="164"/>
      <c r="L84" s="164"/>
      <c r="M84" s="237"/>
      <c r="N84" s="238"/>
      <c r="O84" s="238"/>
      <c r="P84" s="165"/>
    </row>
    <row r="85" spans="1:16" s="138" customFormat="1" ht="135" customHeight="1" hidden="1">
      <c r="A85" s="3"/>
      <c r="B85" s="3"/>
      <c r="C85" s="2"/>
      <c r="D85" s="4"/>
      <c r="E85" s="42"/>
      <c r="F85" s="49"/>
      <c r="G85" s="43"/>
      <c r="H85" s="9"/>
      <c r="I85" s="19"/>
      <c r="J85" s="19"/>
      <c r="K85" s="239"/>
      <c r="L85" s="239"/>
      <c r="M85" s="240"/>
      <c r="N85" s="241"/>
      <c r="O85" s="241"/>
      <c r="P85" s="242"/>
    </row>
    <row r="86" spans="1:16" s="153" customFormat="1" ht="107.25" customHeight="1" hidden="1">
      <c r="A86" s="149"/>
      <c r="B86" s="150"/>
      <c r="C86" s="150"/>
      <c r="D86" s="151"/>
      <c r="E86" s="103"/>
      <c r="F86" s="103"/>
      <c r="G86" s="152"/>
      <c r="H86" s="109"/>
      <c r="I86" s="108"/>
      <c r="J86" s="108"/>
      <c r="K86" s="261"/>
      <c r="L86" s="261"/>
      <c r="M86" s="261"/>
      <c r="N86" s="262"/>
      <c r="O86" s="262"/>
      <c r="P86" s="261"/>
    </row>
    <row r="87" spans="1:16" s="153" customFormat="1" ht="131.25" customHeight="1">
      <c r="A87" s="2" t="s">
        <v>43</v>
      </c>
      <c r="B87" s="10">
        <v>7670</v>
      </c>
      <c r="C87" s="12" t="s">
        <v>125</v>
      </c>
      <c r="D87" s="24" t="s">
        <v>158</v>
      </c>
      <c r="E87" s="39" t="s">
        <v>6</v>
      </c>
      <c r="F87" s="5" t="s">
        <v>362</v>
      </c>
      <c r="G87" s="41">
        <f>H87+I87</f>
        <v>2124000</v>
      </c>
      <c r="H87" s="18">
        <v>0</v>
      </c>
      <c r="I87" s="19">
        <v>2124000</v>
      </c>
      <c r="J87" s="19">
        <f>I87</f>
        <v>2124000</v>
      </c>
      <c r="K87" s="261"/>
      <c r="L87" s="261"/>
      <c r="M87" s="261"/>
      <c r="N87" s="262"/>
      <c r="O87" s="262"/>
      <c r="P87" s="261"/>
    </row>
    <row r="88" spans="1:16" s="23" customFormat="1" ht="358.5" customHeight="1" hidden="1">
      <c r="A88" s="11"/>
      <c r="B88" s="11"/>
      <c r="C88" s="12"/>
      <c r="D88" s="24"/>
      <c r="E88" s="39"/>
      <c r="F88" s="154"/>
      <c r="G88" s="14"/>
      <c r="H88" s="48"/>
      <c r="I88" s="52"/>
      <c r="J88" s="15"/>
      <c r="K88" s="164"/>
      <c r="L88" s="164"/>
      <c r="M88" s="237"/>
      <c r="N88" s="238"/>
      <c r="O88" s="238"/>
      <c r="P88" s="165"/>
    </row>
    <row r="89" spans="1:16" s="91" customFormat="1" ht="51" customHeight="1">
      <c r="A89" s="61" t="s">
        <v>173</v>
      </c>
      <c r="B89" s="87"/>
      <c r="C89" s="87"/>
      <c r="D89" s="348" t="s">
        <v>166</v>
      </c>
      <c r="E89" s="349"/>
      <c r="F89" s="62" t="s">
        <v>212</v>
      </c>
      <c r="G89" s="57">
        <f>G90</f>
        <v>95920046</v>
      </c>
      <c r="H89" s="57">
        <f>H90</f>
        <v>95439706</v>
      </c>
      <c r="I89" s="57">
        <f>I90</f>
        <v>480340</v>
      </c>
      <c r="J89" s="57">
        <f>J90</f>
        <v>50000</v>
      </c>
      <c r="K89" s="160"/>
      <c r="L89" s="159"/>
      <c r="M89" s="160"/>
      <c r="N89" s="231"/>
      <c r="O89" s="231"/>
      <c r="P89" s="161"/>
    </row>
    <row r="90" spans="1:15" s="155" customFormat="1" ht="50.25" customHeight="1">
      <c r="A90" s="31" t="s">
        <v>174</v>
      </c>
      <c r="B90" s="31"/>
      <c r="C90" s="31"/>
      <c r="D90" s="388" t="s">
        <v>166</v>
      </c>
      <c r="E90" s="389"/>
      <c r="F90" s="71" t="s">
        <v>212</v>
      </c>
      <c r="G90" s="34">
        <f>H90+I90</f>
        <v>95920046</v>
      </c>
      <c r="H90" s="34">
        <f>H91+H92+H93+H94+H95+H98+H99+H100+H101+H102+H103+H104+H105+H106+H107+H108+H109+H111+H96</f>
        <v>95439706</v>
      </c>
      <c r="I90" s="34">
        <f>I91+I92+I93+I94+I95+I98+I99+I100+I101+I102+I103+I104+I105+I106+I107+I108+I109+I111</f>
        <v>480340</v>
      </c>
      <c r="J90" s="34">
        <f>J91+J92+J93+J94+J95+J98+J99+J100+J101+J102+J103+J104+J105+J106+J107+J108+J109+J111</f>
        <v>50000</v>
      </c>
      <c r="K90" s="237"/>
      <c r="L90" s="237"/>
      <c r="M90" s="237"/>
      <c r="N90" s="232"/>
      <c r="O90" s="232"/>
    </row>
    <row r="91" spans="1:16" s="28" customFormat="1" ht="97.5" customHeight="1">
      <c r="A91" s="20" t="s">
        <v>210</v>
      </c>
      <c r="B91" s="20" t="s">
        <v>139</v>
      </c>
      <c r="C91" s="20" t="s">
        <v>110</v>
      </c>
      <c r="D91" s="13" t="s">
        <v>258</v>
      </c>
      <c r="E91" s="5" t="s">
        <v>41</v>
      </c>
      <c r="F91" s="5" t="s">
        <v>349</v>
      </c>
      <c r="G91" s="26">
        <f aca="true" t="shared" si="3" ref="G91:G109">H91+I91</f>
        <v>447000</v>
      </c>
      <c r="H91" s="7">
        <v>447000</v>
      </c>
      <c r="I91" s="15">
        <v>0</v>
      </c>
      <c r="J91" s="15">
        <v>0</v>
      </c>
      <c r="K91" s="166"/>
      <c r="L91" s="166"/>
      <c r="M91" s="237"/>
      <c r="N91" s="238"/>
      <c r="O91" s="238"/>
      <c r="P91" s="167"/>
    </row>
    <row r="92" spans="1:15" s="158" customFormat="1" ht="75" customHeight="1">
      <c r="A92" s="20" t="s">
        <v>175</v>
      </c>
      <c r="B92" s="20">
        <v>3031</v>
      </c>
      <c r="C92" s="20">
        <v>1030</v>
      </c>
      <c r="D92" s="44" t="s">
        <v>176</v>
      </c>
      <c r="E92" s="407" t="s">
        <v>421</v>
      </c>
      <c r="F92" s="407" t="s">
        <v>376</v>
      </c>
      <c r="G92" s="21">
        <f t="shared" si="3"/>
        <v>26550</v>
      </c>
      <c r="H92" s="19">
        <f>26550</f>
        <v>26550</v>
      </c>
      <c r="I92" s="15"/>
      <c r="J92" s="15"/>
      <c r="K92" s="156"/>
      <c r="L92" s="157"/>
      <c r="M92" s="156"/>
      <c r="N92" s="247"/>
      <c r="O92" s="247"/>
    </row>
    <row r="93" spans="1:15" s="158" customFormat="1" ht="68.25">
      <c r="A93" s="20" t="s">
        <v>259</v>
      </c>
      <c r="B93" s="20" t="s">
        <v>260</v>
      </c>
      <c r="C93" s="20" t="s">
        <v>262</v>
      </c>
      <c r="D93" s="44" t="s">
        <v>261</v>
      </c>
      <c r="E93" s="407"/>
      <c r="F93" s="407"/>
      <c r="G93" s="21">
        <f t="shared" si="3"/>
        <v>2000</v>
      </c>
      <c r="H93" s="19">
        <f>2000</f>
        <v>2000</v>
      </c>
      <c r="I93" s="15">
        <v>0</v>
      </c>
      <c r="J93" s="15">
        <v>0</v>
      </c>
      <c r="K93" s="156"/>
      <c r="L93" s="157"/>
      <c r="M93" s="156"/>
      <c r="N93" s="247"/>
      <c r="O93" s="247"/>
    </row>
    <row r="94" spans="1:15" s="161" customFormat="1" ht="90.75">
      <c r="A94" s="20" t="s">
        <v>177</v>
      </c>
      <c r="B94" s="20">
        <v>3033</v>
      </c>
      <c r="C94" s="20">
        <v>1070</v>
      </c>
      <c r="D94" s="44" t="s">
        <v>128</v>
      </c>
      <c r="E94" s="415"/>
      <c r="F94" s="407"/>
      <c r="G94" s="21">
        <f t="shared" si="3"/>
        <v>6997764</v>
      </c>
      <c r="H94" s="56">
        <f>1297764+5700000</f>
        <v>6997764</v>
      </c>
      <c r="I94" s="8">
        <v>0</v>
      </c>
      <c r="J94" s="8">
        <v>0</v>
      </c>
      <c r="K94" s="159"/>
      <c r="L94" s="160"/>
      <c r="M94" s="237"/>
      <c r="N94" s="238"/>
      <c r="O94" s="238"/>
    </row>
    <row r="95" spans="1:15" s="161" customFormat="1" ht="90.75">
      <c r="A95" s="20" t="s">
        <v>178</v>
      </c>
      <c r="B95" s="20">
        <v>3035</v>
      </c>
      <c r="C95" s="20">
        <v>1070</v>
      </c>
      <c r="D95" s="44" t="s">
        <v>129</v>
      </c>
      <c r="E95" s="415"/>
      <c r="F95" s="407"/>
      <c r="G95" s="21">
        <f t="shared" si="3"/>
        <v>604416</v>
      </c>
      <c r="H95" s="56">
        <f>604416</f>
        <v>604416</v>
      </c>
      <c r="I95" s="8">
        <v>0</v>
      </c>
      <c r="J95" s="8">
        <v>0</v>
      </c>
      <c r="K95" s="159"/>
      <c r="L95" s="159"/>
      <c r="M95" s="237"/>
      <c r="N95" s="238"/>
      <c r="O95" s="238"/>
    </row>
    <row r="96" spans="1:15" s="161" customFormat="1" ht="72.75" customHeight="1">
      <c r="A96" s="20" t="s">
        <v>179</v>
      </c>
      <c r="B96" s="20">
        <v>3036</v>
      </c>
      <c r="C96" s="20">
        <v>1070</v>
      </c>
      <c r="D96" s="44" t="s">
        <v>130</v>
      </c>
      <c r="E96" s="415"/>
      <c r="F96" s="407"/>
      <c r="G96" s="21">
        <f>H96+I96</f>
        <v>16620000</v>
      </c>
      <c r="H96" s="56">
        <f>16620000</f>
        <v>16620000</v>
      </c>
      <c r="I96" s="15">
        <v>0</v>
      </c>
      <c r="J96" s="15">
        <v>0</v>
      </c>
      <c r="K96" s="159"/>
      <c r="L96" s="159"/>
      <c r="M96" s="237"/>
      <c r="N96" s="238"/>
      <c r="O96" s="238"/>
    </row>
    <row r="97" spans="1:15" s="161" customFormat="1" ht="109.5" customHeight="1">
      <c r="A97" s="332" t="s">
        <v>36</v>
      </c>
      <c r="B97" s="332">
        <v>3050</v>
      </c>
      <c r="C97" s="332" t="s">
        <v>262</v>
      </c>
      <c r="D97" s="20" t="s">
        <v>37</v>
      </c>
      <c r="E97" s="415"/>
      <c r="F97" s="407"/>
      <c r="G97" s="21">
        <f>H97+I97</f>
        <v>219179</v>
      </c>
      <c r="H97" s="56">
        <f>219179</f>
        <v>219179</v>
      </c>
      <c r="I97" s="8">
        <v>0</v>
      </c>
      <c r="J97" s="8">
        <v>0</v>
      </c>
      <c r="K97" s="159"/>
      <c r="L97" s="159"/>
      <c r="M97" s="237"/>
      <c r="N97" s="238"/>
      <c r="O97" s="238"/>
    </row>
    <row r="98" spans="1:15" s="163" customFormat="1" ht="119.25" customHeight="1">
      <c r="A98" s="333"/>
      <c r="B98" s="333"/>
      <c r="C98" s="333"/>
      <c r="D98" s="179" t="s">
        <v>38</v>
      </c>
      <c r="E98" s="415"/>
      <c r="F98" s="407"/>
      <c r="G98" s="112">
        <f>H98+I98</f>
        <v>219179</v>
      </c>
      <c r="H98" s="113">
        <v>219179</v>
      </c>
      <c r="I98" s="114">
        <v>0</v>
      </c>
      <c r="J98" s="114">
        <v>0</v>
      </c>
      <c r="K98" s="162"/>
      <c r="L98" s="162"/>
      <c r="M98" s="263"/>
      <c r="N98" s="264"/>
      <c r="O98" s="264"/>
    </row>
    <row r="99" spans="1:15" s="165" customFormat="1" ht="53.25" customHeight="1">
      <c r="A99" s="12" t="s">
        <v>180</v>
      </c>
      <c r="B99" s="12">
        <v>3123</v>
      </c>
      <c r="C99" s="12">
        <v>1040</v>
      </c>
      <c r="D99" s="89" t="s">
        <v>153</v>
      </c>
      <c r="E99" s="405" t="s">
        <v>339</v>
      </c>
      <c r="F99" s="405" t="s">
        <v>371</v>
      </c>
      <c r="G99" s="50">
        <f t="shared" si="3"/>
        <v>325570</v>
      </c>
      <c r="H99" s="19">
        <f>325570</f>
        <v>325570</v>
      </c>
      <c r="I99" s="19">
        <v>0</v>
      </c>
      <c r="J99" s="19">
        <v>0</v>
      </c>
      <c r="K99" s="164"/>
      <c r="L99" s="164"/>
      <c r="M99" s="237"/>
      <c r="N99" s="238"/>
      <c r="O99" s="238"/>
    </row>
    <row r="100" spans="1:15" s="167" customFormat="1" ht="144.75" customHeight="1">
      <c r="A100" s="20" t="s">
        <v>181</v>
      </c>
      <c r="B100" s="20">
        <v>3140</v>
      </c>
      <c r="C100" s="20">
        <v>1040</v>
      </c>
      <c r="D100" s="44" t="s">
        <v>152</v>
      </c>
      <c r="E100" s="405"/>
      <c r="F100" s="405"/>
      <c r="G100" s="50">
        <f t="shared" si="3"/>
        <v>4000000</v>
      </c>
      <c r="H100" s="56">
        <f>4000000</f>
        <v>4000000</v>
      </c>
      <c r="I100" s="15">
        <v>0</v>
      </c>
      <c r="J100" s="15">
        <v>0</v>
      </c>
      <c r="K100" s="166"/>
      <c r="L100" s="166"/>
      <c r="M100" s="237"/>
      <c r="N100" s="238"/>
      <c r="O100" s="238"/>
    </row>
    <row r="101" spans="1:15" s="167" customFormat="1" ht="194.25" customHeight="1">
      <c r="A101" s="20" t="s">
        <v>183</v>
      </c>
      <c r="B101" s="20" t="s">
        <v>305</v>
      </c>
      <c r="C101" s="20">
        <v>1010</v>
      </c>
      <c r="D101" s="45" t="s">
        <v>50</v>
      </c>
      <c r="E101" s="17" t="s">
        <v>346</v>
      </c>
      <c r="F101" s="4" t="s">
        <v>376</v>
      </c>
      <c r="G101" s="21">
        <f t="shared" si="3"/>
        <v>1843940</v>
      </c>
      <c r="H101" s="66">
        <f>1843940</f>
        <v>1843940</v>
      </c>
      <c r="I101" s="15">
        <v>0</v>
      </c>
      <c r="J101" s="15">
        <v>0</v>
      </c>
      <c r="K101" s="166"/>
      <c r="L101" s="166"/>
      <c r="M101" s="156"/>
      <c r="N101" s="247"/>
      <c r="O101" s="247"/>
    </row>
    <row r="102" spans="1:15" s="167" customFormat="1" ht="102" customHeight="1">
      <c r="A102" s="330" t="s">
        <v>182</v>
      </c>
      <c r="B102" s="330">
        <v>3180</v>
      </c>
      <c r="C102" s="330">
        <v>1060</v>
      </c>
      <c r="D102" s="334" t="s">
        <v>74</v>
      </c>
      <c r="E102" s="44" t="s">
        <v>346</v>
      </c>
      <c r="F102" s="4" t="s">
        <v>376</v>
      </c>
      <c r="G102" s="50">
        <f t="shared" si="3"/>
        <v>522700</v>
      </c>
      <c r="H102" s="19">
        <f>522700</f>
        <v>522700</v>
      </c>
      <c r="I102" s="15">
        <v>0</v>
      </c>
      <c r="J102" s="15">
        <v>0</v>
      </c>
      <c r="K102" s="156"/>
      <c r="L102" s="166"/>
      <c r="M102" s="237"/>
      <c r="N102" s="238"/>
      <c r="O102" s="238"/>
    </row>
    <row r="103" spans="1:15" s="167" customFormat="1" ht="202.5" customHeight="1">
      <c r="A103" s="331"/>
      <c r="B103" s="331"/>
      <c r="C103" s="331"/>
      <c r="D103" s="335"/>
      <c r="E103" s="67" t="s">
        <v>341</v>
      </c>
      <c r="F103" s="4" t="s">
        <v>377</v>
      </c>
      <c r="G103" s="21">
        <f t="shared" si="3"/>
        <v>464748</v>
      </c>
      <c r="H103" s="19">
        <v>464748</v>
      </c>
      <c r="I103" s="15">
        <v>0</v>
      </c>
      <c r="J103" s="15">
        <v>0</v>
      </c>
      <c r="K103" s="166"/>
      <c r="L103" s="166"/>
      <c r="M103" s="156"/>
      <c r="N103" s="247"/>
      <c r="O103" s="247"/>
    </row>
    <row r="104" spans="1:15" s="167" customFormat="1" ht="128.25" customHeight="1">
      <c r="A104" s="12" t="s">
        <v>46</v>
      </c>
      <c r="B104" s="12">
        <v>3192</v>
      </c>
      <c r="C104" s="12">
        <v>1030</v>
      </c>
      <c r="D104" s="89" t="s">
        <v>242</v>
      </c>
      <c r="E104" s="4" t="s">
        <v>340</v>
      </c>
      <c r="F104" s="4" t="s">
        <v>376</v>
      </c>
      <c r="G104" s="26">
        <f>H104+I104</f>
        <v>1128200</v>
      </c>
      <c r="H104" s="19">
        <f>1128200</f>
        <v>1128200</v>
      </c>
      <c r="I104" s="8">
        <v>0</v>
      </c>
      <c r="J104" s="8">
        <v>0</v>
      </c>
      <c r="K104" s="166"/>
      <c r="L104" s="166"/>
      <c r="M104" s="156"/>
      <c r="N104" s="247"/>
      <c r="O104" s="247"/>
    </row>
    <row r="105" spans="1:16" s="23" customFormat="1" ht="108" customHeight="1">
      <c r="A105" s="386" t="s">
        <v>47</v>
      </c>
      <c r="B105" s="386">
        <v>3241</v>
      </c>
      <c r="C105" s="386">
        <v>1090</v>
      </c>
      <c r="D105" s="376" t="s">
        <v>49</v>
      </c>
      <c r="E105" s="4" t="s">
        <v>346</v>
      </c>
      <c r="F105" s="4" t="s">
        <v>376</v>
      </c>
      <c r="G105" s="26">
        <f t="shared" si="3"/>
        <v>41014591.81</v>
      </c>
      <c r="H105" s="19">
        <f>40584251.81-50000</f>
        <v>40534251.81</v>
      </c>
      <c r="I105" s="8">
        <f>430340+50000</f>
        <v>480340</v>
      </c>
      <c r="J105" s="8">
        <f>50000</f>
        <v>50000</v>
      </c>
      <c r="K105" s="237"/>
      <c r="L105" s="164"/>
      <c r="M105" s="237"/>
      <c r="N105" s="238"/>
      <c r="O105" s="238"/>
      <c r="P105" s="165"/>
    </row>
    <row r="106" spans="1:16" s="23" customFormat="1" ht="155.25" customHeight="1">
      <c r="A106" s="387"/>
      <c r="B106" s="387"/>
      <c r="C106" s="387"/>
      <c r="D106" s="378"/>
      <c r="E106" s="4" t="s">
        <v>342</v>
      </c>
      <c r="F106" s="4" t="s">
        <v>378</v>
      </c>
      <c r="G106" s="26">
        <f t="shared" si="3"/>
        <v>2987416.19</v>
      </c>
      <c r="H106" s="19">
        <v>2987416.19</v>
      </c>
      <c r="I106" s="8">
        <v>0</v>
      </c>
      <c r="J106" s="8">
        <v>0</v>
      </c>
      <c r="K106" s="164"/>
      <c r="L106" s="164"/>
      <c r="M106" s="237"/>
      <c r="N106" s="238"/>
      <c r="O106" s="238"/>
      <c r="P106" s="165"/>
    </row>
    <row r="107" spans="1:16" s="23" customFormat="1" ht="112.5" customHeight="1">
      <c r="A107" s="406" t="s">
        <v>48</v>
      </c>
      <c r="B107" s="406" t="s">
        <v>44</v>
      </c>
      <c r="C107" s="371">
        <v>1090</v>
      </c>
      <c r="D107" s="380" t="s">
        <v>45</v>
      </c>
      <c r="E107" s="4" t="s">
        <v>346</v>
      </c>
      <c r="F107" s="4" t="s">
        <v>376</v>
      </c>
      <c r="G107" s="26">
        <f t="shared" si="3"/>
        <v>10600654</v>
      </c>
      <c r="H107" s="15">
        <f>6600654+3000000+1000000</f>
        <v>10600654</v>
      </c>
      <c r="I107" s="8">
        <v>0</v>
      </c>
      <c r="J107" s="8">
        <v>0</v>
      </c>
      <c r="K107" s="237"/>
      <c r="L107" s="164"/>
      <c r="M107" s="237"/>
      <c r="N107" s="238"/>
      <c r="O107" s="238"/>
      <c r="P107" s="165"/>
    </row>
    <row r="108" spans="1:16" s="23" customFormat="1" ht="206.25" customHeight="1">
      <c r="A108" s="406"/>
      <c r="B108" s="406"/>
      <c r="C108" s="371"/>
      <c r="D108" s="380"/>
      <c r="E108" s="13" t="s">
        <v>341</v>
      </c>
      <c r="F108" s="4" t="s">
        <v>377</v>
      </c>
      <c r="G108" s="26">
        <f t="shared" si="3"/>
        <v>8115317</v>
      </c>
      <c r="H108" s="19">
        <f>8015317+100000</f>
        <v>8115317</v>
      </c>
      <c r="I108" s="8">
        <v>0</v>
      </c>
      <c r="J108" s="8">
        <v>0</v>
      </c>
      <c r="K108" s="265"/>
      <c r="L108" s="164"/>
      <c r="M108" s="237"/>
      <c r="N108" s="238"/>
      <c r="O108" s="238"/>
      <c r="P108" s="165"/>
    </row>
    <row r="109" spans="1:16" s="23" customFormat="1" ht="30" hidden="1">
      <c r="A109" s="406"/>
      <c r="B109" s="406"/>
      <c r="C109" s="371"/>
      <c r="D109" s="380"/>
      <c r="E109" s="4"/>
      <c r="F109" s="88"/>
      <c r="G109" s="26">
        <f t="shared" si="3"/>
        <v>0</v>
      </c>
      <c r="H109" s="15"/>
      <c r="I109" s="8">
        <v>0</v>
      </c>
      <c r="J109" s="8">
        <v>0</v>
      </c>
      <c r="K109" s="265"/>
      <c r="L109" s="164"/>
      <c r="M109" s="237"/>
      <c r="N109" s="238"/>
      <c r="O109" s="238"/>
      <c r="P109" s="165"/>
    </row>
    <row r="110" spans="1:16" s="23" customFormat="1" ht="117" customHeight="1" hidden="1">
      <c r="A110" s="12"/>
      <c r="B110" s="10"/>
      <c r="C110" s="10"/>
      <c r="D110" s="24"/>
      <c r="E110" s="4"/>
      <c r="F110" s="4"/>
      <c r="G110" s="26"/>
      <c r="H110" s="16"/>
      <c r="I110" s="8"/>
      <c r="J110" s="8"/>
      <c r="K110" s="237"/>
      <c r="L110" s="164"/>
      <c r="M110" s="237"/>
      <c r="N110" s="238"/>
      <c r="O110" s="238"/>
      <c r="P110" s="165"/>
    </row>
    <row r="111" spans="1:16" s="23" customFormat="1" ht="72.75" customHeight="1" hidden="1">
      <c r="A111" s="12"/>
      <c r="B111" s="10"/>
      <c r="C111" s="10"/>
      <c r="D111" s="24"/>
      <c r="E111" s="4"/>
      <c r="F111" s="4"/>
      <c r="G111" s="26"/>
      <c r="H111" s="16"/>
      <c r="I111" s="8"/>
      <c r="J111" s="8"/>
      <c r="K111" s="237"/>
      <c r="L111" s="164"/>
      <c r="M111" s="237"/>
      <c r="N111" s="238"/>
      <c r="O111" s="238"/>
      <c r="P111" s="165"/>
    </row>
    <row r="112" spans="1:16" s="91" customFormat="1" ht="39.75" customHeight="1">
      <c r="A112" s="61" t="s">
        <v>184</v>
      </c>
      <c r="B112" s="87"/>
      <c r="C112" s="87"/>
      <c r="D112" s="348" t="s">
        <v>150</v>
      </c>
      <c r="E112" s="349"/>
      <c r="F112" s="62" t="s">
        <v>212</v>
      </c>
      <c r="G112" s="57">
        <f>G113</f>
        <v>11258067</v>
      </c>
      <c r="H112" s="57">
        <f>H113</f>
        <v>11092067</v>
      </c>
      <c r="I112" s="57">
        <f>I113</f>
        <v>166000</v>
      </c>
      <c r="J112" s="57">
        <f>J113</f>
        <v>166000</v>
      </c>
      <c r="K112" s="160"/>
      <c r="L112" s="159"/>
      <c r="M112" s="160"/>
      <c r="N112" s="231"/>
      <c r="O112" s="231"/>
      <c r="P112" s="161"/>
    </row>
    <row r="113" spans="1:16" s="91" customFormat="1" ht="39" customHeight="1">
      <c r="A113" s="32" t="s">
        <v>185</v>
      </c>
      <c r="B113" s="31"/>
      <c r="C113" s="31"/>
      <c r="D113" s="343" t="s">
        <v>150</v>
      </c>
      <c r="E113" s="344"/>
      <c r="F113" s="33" t="s">
        <v>212</v>
      </c>
      <c r="G113" s="35">
        <f aca="true" t="shared" si="4" ref="G113:G119">H113+I113</f>
        <v>11258067</v>
      </c>
      <c r="H113" s="35">
        <f>SUM(H114+H115+H116+H117+H119+H120)</f>
        <v>11092067</v>
      </c>
      <c r="I113" s="35">
        <f>SUM(I114+I115+I116+I117+I119+I120)</f>
        <v>166000</v>
      </c>
      <c r="J113" s="35">
        <f>SUM(J114+J115+J116+J117+J121)</f>
        <v>166000</v>
      </c>
      <c r="K113" s="266"/>
      <c r="L113" s="266"/>
      <c r="M113" s="266"/>
      <c r="N113" s="232"/>
      <c r="O113" s="232"/>
      <c r="P113" s="161"/>
    </row>
    <row r="114" spans="1:16" s="28" customFormat="1" ht="96" customHeight="1">
      <c r="A114" s="20" t="s">
        <v>211</v>
      </c>
      <c r="B114" s="20" t="s">
        <v>139</v>
      </c>
      <c r="C114" s="20" t="s">
        <v>110</v>
      </c>
      <c r="D114" s="13" t="s">
        <v>258</v>
      </c>
      <c r="E114" s="5" t="s">
        <v>41</v>
      </c>
      <c r="F114" s="5" t="s">
        <v>349</v>
      </c>
      <c r="G114" s="6">
        <f t="shared" si="4"/>
        <v>128000</v>
      </c>
      <c r="H114" s="7">
        <v>128000</v>
      </c>
      <c r="I114" s="15">
        <v>0</v>
      </c>
      <c r="J114" s="15">
        <v>0</v>
      </c>
      <c r="K114" s="166"/>
      <c r="L114" s="166"/>
      <c r="M114" s="237"/>
      <c r="N114" s="238"/>
      <c r="O114" s="238"/>
      <c r="P114" s="167"/>
    </row>
    <row r="115" spans="1:16" s="23" customFormat="1" ht="168.75" customHeight="1">
      <c r="A115" s="12" t="s">
        <v>186</v>
      </c>
      <c r="B115" s="10" t="s">
        <v>187</v>
      </c>
      <c r="C115" s="10" t="s">
        <v>119</v>
      </c>
      <c r="D115" s="51" t="s">
        <v>264</v>
      </c>
      <c r="E115" s="369" t="s">
        <v>18</v>
      </c>
      <c r="F115" s="370" t="s">
        <v>379</v>
      </c>
      <c r="G115" s="50">
        <f t="shared" si="4"/>
        <v>7792807</v>
      </c>
      <c r="H115" s="8">
        <v>7792807</v>
      </c>
      <c r="I115" s="8">
        <v>0</v>
      </c>
      <c r="J115" s="8">
        <v>0</v>
      </c>
      <c r="K115" s="347"/>
      <c r="L115" s="237"/>
      <c r="M115" s="237"/>
      <c r="N115" s="238"/>
      <c r="O115" s="238"/>
      <c r="P115" s="165"/>
    </row>
    <row r="116" spans="1:16" s="23" customFormat="1" ht="70.5" customHeight="1">
      <c r="A116" s="12" t="s">
        <v>188</v>
      </c>
      <c r="B116" s="10" t="s">
        <v>189</v>
      </c>
      <c r="C116" s="10" t="s">
        <v>119</v>
      </c>
      <c r="D116" s="51" t="s">
        <v>154</v>
      </c>
      <c r="E116" s="369"/>
      <c r="F116" s="370"/>
      <c r="G116" s="50">
        <f t="shared" si="4"/>
        <v>354000</v>
      </c>
      <c r="H116" s="8">
        <v>354000</v>
      </c>
      <c r="I116" s="8">
        <v>0</v>
      </c>
      <c r="J116" s="8">
        <v>0</v>
      </c>
      <c r="K116" s="347"/>
      <c r="L116" s="164"/>
      <c r="M116" s="237"/>
      <c r="N116" s="238"/>
      <c r="O116" s="238"/>
      <c r="P116" s="165"/>
    </row>
    <row r="117" spans="1:16" s="23" customFormat="1" ht="64.5" customHeight="1">
      <c r="A117" s="12" t="s">
        <v>202</v>
      </c>
      <c r="B117" s="12" t="s">
        <v>203</v>
      </c>
      <c r="C117" s="12" t="s">
        <v>119</v>
      </c>
      <c r="D117" s="96" t="s">
        <v>204</v>
      </c>
      <c r="E117" s="369"/>
      <c r="F117" s="370"/>
      <c r="G117" s="50">
        <f t="shared" si="4"/>
        <v>2903260</v>
      </c>
      <c r="H117" s="8">
        <f>2106560-126000+H118</f>
        <v>2737260</v>
      </c>
      <c r="I117" s="8">
        <f>40000+126000</f>
        <v>166000</v>
      </c>
      <c r="J117" s="8">
        <f>40000+126000</f>
        <v>166000</v>
      </c>
      <c r="K117" s="168"/>
      <c r="L117" s="164"/>
      <c r="M117" s="237"/>
      <c r="N117" s="238"/>
      <c r="O117" s="238"/>
      <c r="P117" s="165"/>
    </row>
    <row r="118" spans="1:16" s="171" customFormat="1" ht="218.25" customHeight="1">
      <c r="A118" s="169"/>
      <c r="B118" s="169"/>
      <c r="C118" s="169"/>
      <c r="D118" s="105" t="s">
        <v>415</v>
      </c>
      <c r="E118" s="369"/>
      <c r="F118" s="370"/>
      <c r="G118" s="115">
        <f t="shared" si="4"/>
        <v>756700</v>
      </c>
      <c r="H118" s="1">
        <f>756700</f>
        <v>756700</v>
      </c>
      <c r="I118" s="1">
        <v>0</v>
      </c>
      <c r="J118" s="1">
        <v>0</v>
      </c>
      <c r="K118" s="170"/>
      <c r="L118" s="170"/>
      <c r="M118" s="267"/>
      <c r="N118" s="268"/>
      <c r="O118" s="268"/>
      <c r="P118" s="170"/>
    </row>
    <row r="119" spans="1:16" s="23" customFormat="1" ht="68.25">
      <c r="A119" s="20" t="s">
        <v>53</v>
      </c>
      <c r="B119" s="10">
        <v>3242</v>
      </c>
      <c r="C119" s="10">
        <v>1090</v>
      </c>
      <c r="D119" s="24" t="s">
        <v>45</v>
      </c>
      <c r="E119" s="369"/>
      <c r="F119" s="370"/>
      <c r="G119" s="50">
        <f t="shared" si="4"/>
        <v>80000</v>
      </c>
      <c r="H119" s="8">
        <v>80000</v>
      </c>
      <c r="I119" s="15">
        <v>0</v>
      </c>
      <c r="J119" s="15">
        <v>0</v>
      </c>
      <c r="K119" s="168"/>
      <c r="L119" s="164"/>
      <c r="M119" s="237"/>
      <c r="N119" s="238"/>
      <c r="O119" s="238"/>
      <c r="P119" s="165"/>
    </row>
    <row r="120" spans="1:16" s="23" customFormat="1" ht="219.75" customHeight="1" hidden="1">
      <c r="A120" s="20"/>
      <c r="B120" s="10"/>
      <c r="C120" s="10"/>
      <c r="D120" s="24"/>
      <c r="E120" s="369"/>
      <c r="F120" s="370"/>
      <c r="G120" s="50"/>
      <c r="H120" s="8"/>
      <c r="I120" s="15"/>
      <c r="J120" s="15"/>
      <c r="K120" s="168"/>
      <c r="L120" s="164"/>
      <c r="M120" s="237"/>
      <c r="N120" s="238"/>
      <c r="O120" s="238"/>
      <c r="P120" s="165"/>
    </row>
    <row r="121" spans="1:16" s="28" customFormat="1" ht="338.25" customHeight="1" hidden="1">
      <c r="A121" s="172"/>
      <c r="B121" s="173"/>
      <c r="C121" s="172"/>
      <c r="D121" s="174"/>
      <c r="E121" s="369"/>
      <c r="F121" s="370"/>
      <c r="G121" s="50"/>
      <c r="H121" s="8"/>
      <c r="I121" s="15"/>
      <c r="J121" s="15"/>
      <c r="K121" s="166"/>
      <c r="L121" s="166"/>
      <c r="M121" s="237"/>
      <c r="N121" s="238"/>
      <c r="O121" s="238"/>
      <c r="P121" s="167"/>
    </row>
    <row r="122" spans="1:16" s="91" customFormat="1" ht="44.25" customHeight="1">
      <c r="A122" s="87" t="s">
        <v>60</v>
      </c>
      <c r="B122" s="98"/>
      <c r="C122" s="61"/>
      <c r="D122" s="339" t="s">
        <v>272</v>
      </c>
      <c r="E122" s="340"/>
      <c r="F122" s="99" t="s">
        <v>212</v>
      </c>
      <c r="G122" s="30">
        <f>G123</f>
        <v>24742197</v>
      </c>
      <c r="H122" s="30">
        <f>H123</f>
        <v>24592197</v>
      </c>
      <c r="I122" s="30">
        <f>I123</f>
        <v>150000</v>
      </c>
      <c r="J122" s="30">
        <f>J123</f>
        <v>150000</v>
      </c>
      <c r="K122" s="160"/>
      <c r="L122" s="159"/>
      <c r="M122" s="160"/>
      <c r="N122" s="231"/>
      <c r="O122" s="231"/>
      <c r="P122" s="161"/>
    </row>
    <row r="123" spans="1:16" s="23" customFormat="1" ht="42" customHeight="1">
      <c r="A123" s="31" t="s">
        <v>61</v>
      </c>
      <c r="B123" s="64"/>
      <c r="C123" s="32"/>
      <c r="D123" s="359" t="s">
        <v>272</v>
      </c>
      <c r="E123" s="360"/>
      <c r="F123" s="33" t="s">
        <v>212</v>
      </c>
      <c r="G123" s="65">
        <f>H123+I123</f>
        <v>24742197</v>
      </c>
      <c r="H123" s="65">
        <f>SUM(H124+H125+H126+H127+H128+H129+H130+H131+H132+H134+H135+H136+H133)</f>
        <v>24592197</v>
      </c>
      <c r="I123" s="65">
        <f>SUM(I124+I125+I126+I127+I128+I129+I130+I131+I132+I134+I135+I136+I133)</f>
        <v>150000</v>
      </c>
      <c r="J123" s="65">
        <f>SUM(J124+J125+J126+J127+J128+J129+J130+J131+J132+J134+J135+J136+J133)</f>
        <v>150000</v>
      </c>
      <c r="K123" s="237"/>
      <c r="L123" s="237"/>
      <c r="M123" s="237"/>
      <c r="N123" s="232"/>
      <c r="O123" s="232"/>
      <c r="P123" s="165"/>
    </row>
    <row r="124" spans="1:16" s="23" customFormat="1" ht="97.5" customHeight="1">
      <c r="A124" s="12" t="s">
        <v>149</v>
      </c>
      <c r="B124" s="12" t="s">
        <v>139</v>
      </c>
      <c r="C124" s="12" t="s">
        <v>110</v>
      </c>
      <c r="D124" s="13" t="s">
        <v>258</v>
      </c>
      <c r="E124" s="5" t="s">
        <v>41</v>
      </c>
      <c r="F124" s="5" t="s">
        <v>349</v>
      </c>
      <c r="G124" s="6">
        <f>H124+I124</f>
        <v>1257000</v>
      </c>
      <c r="H124" s="7">
        <f>1217000+40000</f>
        <v>1257000</v>
      </c>
      <c r="I124" s="15">
        <v>0</v>
      </c>
      <c r="J124" s="15">
        <v>0</v>
      </c>
      <c r="K124" s="164"/>
      <c r="L124" s="164"/>
      <c r="M124" s="237"/>
      <c r="N124" s="238"/>
      <c r="O124" s="238"/>
      <c r="P124" s="165"/>
    </row>
    <row r="125" spans="1:16" s="23" customFormat="1" ht="100.5" customHeight="1">
      <c r="A125" s="10" t="s">
        <v>62</v>
      </c>
      <c r="B125" s="11" t="s">
        <v>169</v>
      </c>
      <c r="C125" s="10" t="s">
        <v>119</v>
      </c>
      <c r="D125" s="51" t="s">
        <v>151</v>
      </c>
      <c r="E125" s="356" t="s">
        <v>19</v>
      </c>
      <c r="F125" s="356" t="s">
        <v>384</v>
      </c>
      <c r="G125" s="14">
        <f aca="true" t="shared" si="5" ref="G125:G135">H125+I125</f>
        <v>5131255</v>
      </c>
      <c r="H125" s="16">
        <v>5131255</v>
      </c>
      <c r="I125" s="8">
        <v>0</v>
      </c>
      <c r="J125" s="8">
        <v>0</v>
      </c>
      <c r="K125" s="164"/>
      <c r="L125" s="164"/>
      <c r="M125" s="237"/>
      <c r="N125" s="238"/>
      <c r="O125" s="238"/>
      <c r="P125" s="165"/>
    </row>
    <row r="126" spans="1:16" s="23" customFormat="1" ht="68.25">
      <c r="A126" s="10" t="s">
        <v>63</v>
      </c>
      <c r="B126" s="11">
        <v>3242</v>
      </c>
      <c r="C126" s="10" t="s">
        <v>64</v>
      </c>
      <c r="D126" s="89" t="s">
        <v>45</v>
      </c>
      <c r="E126" s="356"/>
      <c r="F126" s="356"/>
      <c r="G126" s="14">
        <f t="shared" si="5"/>
        <v>362127</v>
      </c>
      <c r="H126" s="16">
        <v>362127</v>
      </c>
      <c r="I126" s="8">
        <v>0</v>
      </c>
      <c r="J126" s="8">
        <v>0</v>
      </c>
      <c r="K126" s="164"/>
      <c r="L126" s="164"/>
      <c r="M126" s="237"/>
      <c r="N126" s="238"/>
      <c r="O126" s="238"/>
      <c r="P126" s="165"/>
    </row>
    <row r="127" spans="1:16" s="23" customFormat="1" ht="102" customHeight="1" hidden="1">
      <c r="A127" s="12"/>
      <c r="B127" s="11"/>
      <c r="C127" s="12"/>
      <c r="D127" s="89"/>
      <c r="E127" s="175"/>
      <c r="F127" s="17"/>
      <c r="G127" s="14"/>
      <c r="H127" s="16"/>
      <c r="I127" s="8"/>
      <c r="J127" s="8"/>
      <c r="K127" s="237"/>
      <c r="L127" s="164"/>
      <c r="M127" s="237"/>
      <c r="N127" s="238"/>
      <c r="O127" s="238"/>
      <c r="P127" s="165"/>
    </row>
    <row r="128" spans="1:16" s="23" customFormat="1" ht="104.25" customHeight="1" hidden="1">
      <c r="A128" s="12"/>
      <c r="B128" s="11"/>
      <c r="C128" s="12"/>
      <c r="D128" s="89"/>
      <c r="E128" s="176"/>
      <c r="F128" s="17"/>
      <c r="G128" s="14"/>
      <c r="H128" s="16"/>
      <c r="I128" s="8"/>
      <c r="J128" s="8"/>
      <c r="K128" s="164"/>
      <c r="L128" s="164"/>
      <c r="M128" s="237"/>
      <c r="N128" s="238"/>
      <c r="O128" s="238"/>
      <c r="P128" s="165"/>
    </row>
    <row r="129" spans="1:16" s="23" customFormat="1" ht="99" customHeight="1">
      <c r="A129" s="10" t="s">
        <v>65</v>
      </c>
      <c r="B129" s="11" t="s">
        <v>217</v>
      </c>
      <c r="C129" s="10" t="s">
        <v>120</v>
      </c>
      <c r="D129" s="51" t="s">
        <v>219</v>
      </c>
      <c r="E129" s="353" t="s">
        <v>20</v>
      </c>
      <c r="F129" s="350" t="s">
        <v>383</v>
      </c>
      <c r="G129" s="14">
        <f t="shared" si="5"/>
        <v>749677</v>
      </c>
      <c r="H129" s="52">
        <v>749677</v>
      </c>
      <c r="I129" s="8">
        <v>0</v>
      </c>
      <c r="J129" s="8">
        <v>0</v>
      </c>
      <c r="K129" s="164"/>
      <c r="L129" s="164"/>
      <c r="M129" s="237"/>
      <c r="N129" s="238"/>
      <c r="O129" s="238"/>
      <c r="P129" s="165"/>
    </row>
    <row r="130" spans="1:16" s="23" customFormat="1" ht="93" customHeight="1">
      <c r="A130" s="10" t="s">
        <v>66</v>
      </c>
      <c r="B130" s="11" t="s">
        <v>67</v>
      </c>
      <c r="C130" s="10" t="s">
        <v>120</v>
      </c>
      <c r="D130" s="51" t="s">
        <v>321</v>
      </c>
      <c r="E130" s="354"/>
      <c r="F130" s="351"/>
      <c r="G130" s="14">
        <f t="shared" si="5"/>
        <v>63053</v>
      </c>
      <c r="H130" s="52">
        <v>63053</v>
      </c>
      <c r="I130" s="8">
        <v>0</v>
      </c>
      <c r="J130" s="8">
        <v>0</v>
      </c>
      <c r="K130" s="164"/>
      <c r="L130" s="164"/>
      <c r="M130" s="237"/>
      <c r="N130" s="238"/>
      <c r="O130" s="238"/>
      <c r="P130" s="165"/>
    </row>
    <row r="131" spans="1:16" s="23" customFormat="1" ht="99" customHeight="1">
      <c r="A131" s="10" t="s">
        <v>68</v>
      </c>
      <c r="B131" s="11" t="s">
        <v>94</v>
      </c>
      <c r="C131" s="10" t="s">
        <v>120</v>
      </c>
      <c r="D131" s="51" t="s">
        <v>95</v>
      </c>
      <c r="E131" s="354"/>
      <c r="F131" s="351"/>
      <c r="G131" s="14">
        <f t="shared" si="5"/>
        <v>1617281</v>
      </c>
      <c r="H131" s="52">
        <v>1467281</v>
      </c>
      <c r="I131" s="8">
        <v>150000</v>
      </c>
      <c r="J131" s="8">
        <f>I131</f>
        <v>150000</v>
      </c>
      <c r="K131" s="237"/>
      <c r="L131" s="164"/>
      <c r="M131" s="237"/>
      <c r="N131" s="238"/>
      <c r="O131" s="238"/>
      <c r="P131" s="165"/>
    </row>
    <row r="132" spans="1:16" s="23" customFormat="1" ht="97.5" customHeight="1">
      <c r="A132" s="10" t="s">
        <v>69</v>
      </c>
      <c r="B132" s="11" t="s">
        <v>222</v>
      </c>
      <c r="C132" s="10" t="s">
        <v>120</v>
      </c>
      <c r="D132" s="51" t="s">
        <v>223</v>
      </c>
      <c r="E132" s="354"/>
      <c r="F132" s="351"/>
      <c r="G132" s="14">
        <f t="shared" si="5"/>
        <v>378200</v>
      </c>
      <c r="H132" s="52">
        <v>378200</v>
      </c>
      <c r="I132" s="8">
        <v>0</v>
      </c>
      <c r="J132" s="8">
        <v>0</v>
      </c>
      <c r="K132" s="164"/>
      <c r="L132" s="164"/>
      <c r="M132" s="237"/>
      <c r="N132" s="238"/>
      <c r="O132" s="238"/>
      <c r="P132" s="165"/>
    </row>
    <row r="133" spans="1:16" s="23" customFormat="1" ht="67.5" customHeight="1">
      <c r="A133" s="12" t="s">
        <v>344</v>
      </c>
      <c r="B133" s="12" t="s">
        <v>218</v>
      </c>
      <c r="C133" s="20" t="s">
        <v>120</v>
      </c>
      <c r="D133" s="4" t="s">
        <v>220</v>
      </c>
      <c r="E133" s="354"/>
      <c r="F133" s="351"/>
      <c r="G133" s="14">
        <f>H133+I133</f>
        <v>11193208</v>
      </c>
      <c r="H133" s="52">
        <v>11193208</v>
      </c>
      <c r="I133" s="8">
        <v>0</v>
      </c>
      <c r="J133" s="8"/>
      <c r="K133" s="164"/>
      <c r="L133" s="164"/>
      <c r="M133" s="237"/>
      <c r="N133" s="238"/>
      <c r="O133" s="238"/>
      <c r="P133" s="165"/>
    </row>
    <row r="134" spans="1:16" s="23" customFormat="1" ht="116.25" customHeight="1">
      <c r="A134" s="10" t="s">
        <v>70</v>
      </c>
      <c r="B134" s="11" t="s">
        <v>71</v>
      </c>
      <c r="C134" s="10" t="s">
        <v>120</v>
      </c>
      <c r="D134" s="51" t="s">
        <v>157</v>
      </c>
      <c r="E134" s="354"/>
      <c r="F134" s="351"/>
      <c r="G134" s="53">
        <f t="shared" si="5"/>
        <v>2409009</v>
      </c>
      <c r="H134" s="52">
        <v>2409009</v>
      </c>
      <c r="I134" s="52">
        <v>0</v>
      </c>
      <c r="J134" s="52">
        <v>0</v>
      </c>
      <c r="K134" s="164"/>
      <c r="L134" s="164"/>
      <c r="M134" s="237"/>
      <c r="N134" s="238"/>
      <c r="O134" s="238"/>
      <c r="P134" s="165"/>
    </row>
    <row r="135" spans="1:16" s="23" customFormat="1" ht="100.5" customHeight="1">
      <c r="A135" s="10" t="s">
        <v>72</v>
      </c>
      <c r="B135" s="11" t="s">
        <v>73</v>
      </c>
      <c r="C135" s="10" t="s">
        <v>120</v>
      </c>
      <c r="D135" s="51" t="s">
        <v>221</v>
      </c>
      <c r="E135" s="355"/>
      <c r="F135" s="352"/>
      <c r="G135" s="14">
        <f t="shared" si="5"/>
        <v>1581387</v>
      </c>
      <c r="H135" s="52">
        <v>1581387</v>
      </c>
      <c r="I135" s="8">
        <v>0</v>
      </c>
      <c r="J135" s="8">
        <v>0</v>
      </c>
      <c r="K135" s="164"/>
      <c r="L135" s="164"/>
      <c r="M135" s="237"/>
      <c r="N135" s="238"/>
      <c r="O135" s="238"/>
      <c r="P135" s="165"/>
    </row>
    <row r="136" spans="1:16" s="23" customFormat="1" ht="105" customHeight="1" hidden="1">
      <c r="A136" s="10"/>
      <c r="B136" s="11"/>
      <c r="C136" s="10"/>
      <c r="D136" s="51"/>
      <c r="E136" s="39"/>
      <c r="F136" s="17"/>
      <c r="G136" s="14"/>
      <c r="H136" s="52"/>
      <c r="I136" s="8"/>
      <c r="J136" s="8"/>
      <c r="K136" s="237"/>
      <c r="L136" s="164"/>
      <c r="M136" s="237"/>
      <c r="N136" s="238"/>
      <c r="O136" s="238"/>
      <c r="P136" s="165"/>
    </row>
    <row r="137" spans="1:16" s="91" customFormat="1" ht="57" customHeight="1">
      <c r="A137" s="61" t="s">
        <v>325</v>
      </c>
      <c r="B137" s="87"/>
      <c r="C137" s="87"/>
      <c r="D137" s="348" t="s">
        <v>276</v>
      </c>
      <c r="E137" s="349"/>
      <c r="F137" s="62" t="s">
        <v>212</v>
      </c>
      <c r="G137" s="57">
        <f>G138</f>
        <v>2251090</v>
      </c>
      <c r="H137" s="57">
        <f>H138</f>
        <v>2251090</v>
      </c>
      <c r="I137" s="57">
        <f>I138</f>
        <v>0</v>
      </c>
      <c r="J137" s="57">
        <f>J138</f>
        <v>0</v>
      </c>
      <c r="K137" s="160"/>
      <c r="L137" s="159"/>
      <c r="M137" s="160"/>
      <c r="N137" s="231"/>
      <c r="O137" s="231"/>
      <c r="P137" s="161"/>
    </row>
    <row r="138" spans="1:16" s="23" customFormat="1" ht="57" customHeight="1">
      <c r="A138" s="31" t="s">
        <v>326</v>
      </c>
      <c r="B138" s="32"/>
      <c r="C138" s="32"/>
      <c r="D138" s="363" t="s">
        <v>276</v>
      </c>
      <c r="E138" s="363"/>
      <c r="F138" s="33" t="s">
        <v>212</v>
      </c>
      <c r="G138" s="34">
        <f>H138+I138</f>
        <v>2251090</v>
      </c>
      <c r="H138" s="34">
        <f>H139+H140+H141</f>
        <v>2251090</v>
      </c>
      <c r="I138" s="34">
        <f>I139+I140+I141</f>
        <v>0</v>
      </c>
      <c r="J138" s="34">
        <f>J139+J140+J141</f>
        <v>0</v>
      </c>
      <c r="K138" s="232"/>
      <c r="L138" s="232"/>
      <c r="M138" s="232"/>
      <c r="N138" s="232"/>
      <c r="O138" s="232"/>
      <c r="P138" s="165"/>
    </row>
    <row r="139" spans="1:16" s="23" customFormat="1" ht="120" customHeight="1" hidden="1">
      <c r="A139" s="12"/>
      <c r="B139" s="12"/>
      <c r="C139" s="12"/>
      <c r="D139" s="24"/>
      <c r="E139" s="5"/>
      <c r="F139" s="5"/>
      <c r="G139" s="6"/>
      <c r="H139" s="7"/>
      <c r="I139" s="8"/>
      <c r="J139" s="8"/>
      <c r="K139" s="164"/>
      <c r="L139" s="237"/>
      <c r="M139" s="237"/>
      <c r="N139" s="238"/>
      <c r="O139" s="238"/>
      <c r="P139" s="165"/>
    </row>
    <row r="140" spans="1:16" s="23" customFormat="1" ht="96.75" customHeight="1">
      <c r="A140" s="12" t="s">
        <v>327</v>
      </c>
      <c r="B140" s="12" t="s">
        <v>44</v>
      </c>
      <c r="C140" s="12" t="s">
        <v>64</v>
      </c>
      <c r="D140" s="24" t="s">
        <v>45</v>
      </c>
      <c r="E140" s="5" t="s">
        <v>340</v>
      </c>
      <c r="F140" s="5" t="s">
        <v>376</v>
      </c>
      <c r="G140" s="6">
        <f>SUM(H140+I140)</f>
        <v>200000</v>
      </c>
      <c r="H140" s="9">
        <v>200000</v>
      </c>
      <c r="I140" s="8">
        <v>0</v>
      </c>
      <c r="J140" s="8">
        <v>0</v>
      </c>
      <c r="K140" s="164"/>
      <c r="L140" s="237"/>
      <c r="M140" s="237"/>
      <c r="N140" s="238"/>
      <c r="O140" s="238"/>
      <c r="P140" s="165"/>
    </row>
    <row r="141" spans="1:16" s="23" customFormat="1" ht="101.25" customHeight="1">
      <c r="A141" s="10" t="s">
        <v>328</v>
      </c>
      <c r="B141" s="11" t="s">
        <v>277</v>
      </c>
      <c r="C141" s="10" t="s">
        <v>113</v>
      </c>
      <c r="D141" s="51" t="s">
        <v>226</v>
      </c>
      <c r="E141" s="12" t="s">
        <v>331</v>
      </c>
      <c r="F141" s="5" t="s">
        <v>353</v>
      </c>
      <c r="G141" s="6">
        <f>SUM(H141+I141)</f>
        <v>2051090</v>
      </c>
      <c r="H141" s="7">
        <v>2051090</v>
      </c>
      <c r="I141" s="8">
        <v>0</v>
      </c>
      <c r="J141" s="8">
        <v>0</v>
      </c>
      <c r="K141" s="164"/>
      <c r="L141" s="237"/>
      <c r="M141" s="237"/>
      <c r="N141" s="238"/>
      <c r="O141" s="238"/>
      <c r="P141" s="165"/>
    </row>
    <row r="142" spans="1:16" s="91" customFormat="1" ht="57" customHeight="1">
      <c r="A142" s="61" t="s">
        <v>190</v>
      </c>
      <c r="B142" s="87"/>
      <c r="C142" s="87"/>
      <c r="D142" s="348" t="s">
        <v>137</v>
      </c>
      <c r="E142" s="349"/>
      <c r="F142" s="62" t="s">
        <v>212</v>
      </c>
      <c r="G142" s="57">
        <f>G143</f>
        <v>467919871</v>
      </c>
      <c r="H142" s="57">
        <f>H143</f>
        <v>362451150</v>
      </c>
      <c r="I142" s="57">
        <f>I143</f>
        <v>105468721</v>
      </c>
      <c r="J142" s="57">
        <f>J143</f>
        <v>96629450</v>
      </c>
      <c r="K142" s="160"/>
      <c r="L142" s="159"/>
      <c r="M142" s="160"/>
      <c r="N142" s="231"/>
      <c r="O142" s="231"/>
      <c r="P142" s="161"/>
    </row>
    <row r="143" spans="1:16" s="23" customFormat="1" ht="59.25" customHeight="1">
      <c r="A143" s="32" t="s">
        <v>191</v>
      </c>
      <c r="B143" s="31"/>
      <c r="C143" s="31"/>
      <c r="D143" s="343" t="s">
        <v>137</v>
      </c>
      <c r="E143" s="344"/>
      <c r="F143" s="33" t="s">
        <v>212</v>
      </c>
      <c r="G143" s="60">
        <f>G144+G145+G146+G147+G148+G150+G152+G153+G154+G159+G160+G163+G165+G166+G167+G168+G170+G171+G172+G173+G174+G175+G176+G177+G178+G179+G180+G182+G183+G187+G188+G189+G192+G193+G194+G195+G196+G197+G198+G199+G200+G203+G204+G207+G205+G208+G209+G206+G201</f>
        <v>467919871</v>
      </c>
      <c r="H143" s="60">
        <f>H144+H145+H146+H147+H148+H150+H152+H153+H154+H159+H160+H163+H165+H166+H167+H168+H170+H171+H172+H173+H174+H175+H176+H177+H178+H179+H180+H182+H183+H187+H188+H189+H192+H193+H194+H195+H196+H197+H198+H199+H200+H203+H204+H207+H205+H208+H209+H206+H201</f>
        <v>362451150</v>
      </c>
      <c r="I143" s="60">
        <f>I144+I145+I146+I147+I148+I150+I152+I153+I154+I159+I160+I163+I165+I166+I167+I168+I170+I171+I172+I173+I174+I175+I176+I177+I178+I179+I180+I182+I183+I187+I188+I189+I192+I193+I194+I195+I196+I197+I198+I199+I200+I203+I204+I207+I205+I208+I209+I206+I201</f>
        <v>105468721</v>
      </c>
      <c r="J143" s="60">
        <f>J144+J145+J146+J147+J148+J150+J152+J153+J154+J159+J160+J163+J165+J166+J167+J168+J170+J171+J172+J173+J174+J175+J176+J177+J178+J179+J180+J182+J183+J187+J188+J189+J192+J193+J194+J195+J196+J197+J198+J199+J200+J203+J204+J207+J205+J208+J209+J206+J201</f>
        <v>96629450</v>
      </c>
      <c r="K143" s="237"/>
      <c r="L143" s="237"/>
      <c r="M143" s="237"/>
      <c r="N143" s="232"/>
      <c r="O143" s="232"/>
      <c r="P143" s="165"/>
    </row>
    <row r="144" spans="1:16" s="23" customFormat="1" ht="97.5" customHeight="1">
      <c r="A144" s="25">
        <v>1510180</v>
      </c>
      <c r="B144" s="20" t="s">
        <v>139</v>
      </c>
      <c r="C144" s="20" t="s">
        <v>110</v>
      </c>
      <c r="D144" s="24" t="s">
        <v>258</v>
      </c>
      <c r="E144" s="5" t="s">
        <v>41</v>
      </c>
      <c r="F144" s="5" t="s">
        <v>349</v>
      </c>
      <c r="G144" s="29">
        <f>H144+I144</f>
        <v>1318000</v>
      </c>
      <c r="H144" s="7">
        <f>1278000+40000</f>
        <v>1318000</v>
      </c>
      <c r="I144" s="15">
        <v>0</v>
      </c>
      <c r="J144" s="15">
        <v>0</v>
      </c>
      <c r="K144" s="237"/>
      <c r="L144" s="237"/>
      <c r="M144" s="237"/>
      <c r="N144" s="238"/>
      <c r="O144" s="238"/>
      <c r="P144" s="165"/>
    </row>
    <row r="145" spans="1:16" s="23" customFormat="1" ht="83.25" customHeight="1">
      <c r="A145" s="68">
        <v>1513210</v>
      </c>
      <c r="B145" s="10">
        <v>3210</v>
      </c>
      <c r="C145" s="10" t="s">
        <v>111</v>
      </c>
      <c r="D145" s="24" t="s">
        <v>112</v>
      </c>
      <c r="E145" s="12" t="s">
        <v>331</v>
      </c>
      <c r="F145" s="5" t="s">
        <v>353</v>
      </c>
      <c r="G145" s="29">
        <f>H145+I145</f>
        <v>140100</v>
      </c>
      <c r="H145" s="15">
        <v>140100</v>
      </c>
      <c r="I145" s="8">
        <v>0</v>
      </c>
      <c r="J145" s="15">
        <f>I145</f>
        <v>0</v>
      </c>
      <c r="K145" s="164"/>
      <c r="L145" s="164"/>
      <c r="M145" s="164"/>
      <c r="N145" s="238"/>
      <c r="O145" s="238"/>
      <c r="P145" s="165"/>
    </row>
    <row r="146" spans="1:16" s="23" customFormat="1" ht="81.75" customHeight="1">
      <c r="A146" s="12" t="s">
        <v>238</v>
      </c>
      <c r="B146" s="12" t="s">
        <v>44</v>
      </c>
      <c r="C146" s="12" t="s">
        <v>64</v>
      </c>
      <c r="D146" s="24" t="s">
        <v>45</v>
      </c>
      <c r="E146" s="2" t="s">
        <v>331</v>
      </c>
      <c r="F146" s="5" t="s">
        <v>353</v>
      </c>
      <c r="G146" s="14">
        <f>H146+I146</f>
        <v>6000000</v>
      </c>
      <c r="H146" s="15">
        <v>6000000</v>
      </c>
      <c r="I146" s="16">
        <v>0</v>
      </c>
      <c r="J146" s="15">
        <f>I146</f>
        <v>0</v>
      </c>
      <c r="K146" s="237"/>
      <c r="L146" s="237"/>
      <c r="M146" s="237"/>
      <c r="N146" s="238"/>
      <c r="O146" s="238"/>
      <c r="P146" s="165"/>
    </row>
    <row r="147" spans="1:16" s="23" customFormat="1" ht="96.75" customHeight="1" hidden="1">
      <c r="A147" s="20"/>
      <c r="B147" s="20"/>
      <c r="C147" s="20"/>
      <c r="D147" s="13"/>
      <c r="E147" s="13"/>
      <c r="F147" s="13"/>
      <c r="G147" s="177"/>
      <c r="H147" s="15"/>
      <c r="I147" s="15"/>
      <c r="J147" s="15"/>
      <c r="K147" s="237"/>
      <c r="L147" s="164"/>
      <c r="M147" s="237"/>
      <c r="N147" s="238"/>
      <c r="O147" s="238"/>
      <c r="P147" s="165"/>
    </row>
    <row r="148" spans="1:16" s="23" customFormat="1" ht="177" customHeight="1" hidden="1">
      <c r="A148" s="20"/>
      <c r="B148" s="20"/>
      <c r="C148" s="20"/>
      <c r="D148" s="45"/>
      <c r="E148" s="5"/>
      <c r="F148" s="13"/>
      <c r="G148" s="177"/>
      <c r="H148" s="15"/>
      <c r="I148" s="15"/>
      <c r="J148" s="15"/>
      <c r="K148" s="237"/>
      <c r="L148" s="164"/>
      <c r="M148" s="164"/>
      <c r="N148" s="238"/>
      <c r="O148" s="238"/>
      <c r="P148" s="165"/>
    </row>
    <row r="149" spans="1:16" s="153" customFormat="1" ht="95.25" customHeight="1" hidden="1">
      <c r="A149" s="178"/>
      <c r="B149" s="179"/>
      <c r="C149" s="179"/>
      <c r="D149" s="94"/>
      <c r="E149" s="104"/>
      <c r="F149" s="104"/>
      <c r="G149" s="180"/>
      <c r="H149" s="142"/>
      <c r="I149" s="114"/>
      <c r="J149" s="114"/>
      <c r="K149" s="261"/>
      <c r="L149" s="261"/>
      <c r="M149" s="261"/>
      <c r="N149" s="262"/>
      <c r="O149" s="262"/>
      <c r="P149" s="261"/>
    </row>
    <row r="150" spans="1:16" s="23" customFormat="1" ht="93.75" customHeight="1" hidden="1">
      <c r="A150" s="20"/>
      <c r="B150" s="20"/>
      <c r="C150" s="20"/>
      <c r="D150" s="45"/>
      <c r="E150" s="5"/>
      <c r="F150" s="13"/>
      <c r="G150" s="177"/>
      <c r="H150" s="15"/>
      <c r="I150" s="15"/>
      <c r="J150" s="15"/>
      <c r="K150" s="237"/>
      <c r="L150" s="164"/>
      <c r="M150" s="164"/>
      <c r="N150" s="238"/>
      <c r="O150" s="238"/>
      <c r="P150" s="165"/>
    </row>
    <row r="151" spans="1:16" s="181" customFormat="1" ht="95.25" customHeight="1" hidden="1">
      <c r="A151" s="178"/>
      <c r="B151" s="179"/>
      <c r="C151" s="179"/>
      <c r="D151" s="94"/>
      <c r="E151" s="104"/>
      <c r="F151" s="104"/>
      <c r="G151" s="180"/>
      <c r="H151" s="142"/>
      <c r="I151" s="114"/>
      <c r="J151" s="114"/>
      <c r="K151" s="269"/>
      <c r="L151" s="269"/>
      <c r="M151" s="269"/>
      <c r="N151" s="270"/>
      <c r="O151" s="270"/>
      <c r="P151" s="269"/>
    </row>
    <row r="152" spans="1:16" s="23" customFormat="1" ht="102" customHeight="1">
      <c r="A152" s="25">
        <v>1516011</v>
      </c>
      <c r="B152" s="20">
        <v>6011</v>
      </c>
      <c r="C152" s="20" t="s">
        <v>298</v>
      </c>
      <c r="D152" s="4" t="s">
        <v>205</v>
      </c>
      <c r="E152" s="39" t="s">
        <v>1</v>
      </c>
      <c r="F152" s="5" t="s">
        <v>423</v>
      </c>
      <c r="G152" s="14">
        <f>H152+I152</f>
        <v>700000</v>
      </c>
      <c r="H152" s="16">
        <v>0</v>
      </c>
      <c r="I152" s="15">
        <v>700000</v>
      </c>
      <c r="J152" s="15">
        <f>I152</f>
        <v>700000</v>
      </c>
      <c r="K152" s="237"/>
      <c r="L152" s="237"/>
      <c r="M152" s="237"/>
      <c r="N152" s="238"/>
      <c r="O152" s="238"/>
      <c r="P152" s="271"/>
    </row>
    <row r="153" spans="1:16" s="110" customFormat="1" ht="101.25" customHeight="1">
      <c r="A153" s="12" t="s">
        <v>397</v>
      </c>
      <c r="B153" s="11">
        <v>6015</v>
      </c>
      <c r="C153" s="12" t="s">
        <v>113</v>
      </c>
      <c r="D153" s="100" t="s">
        <v>398</v>
      </c>
      <c r="E153" s="39" t="s">
        <v>1</v>
      </c>
      <c r="F153" s="5" t="s">
        <v>423</v>
      </c>
      <c r="G153" s="14">
        <f>H153+I153</f>
        <v>949645</v>
      </c>
      <c r="H153" s="16">
        <v>0</v>
      </c>
      <c r="I153" s="15">
        <v>949645</v>
      </c>
      <c r="J153" s="15">
        <f>I153</f>
        <v>949645</v>
      </c>
      <c r="K153" s="255"/>
      <c r="L153" s="255"/>
      <c r="M153" s="255"/>
      <c r="N153" s="238"/>
      <c r="O153" s="238"/>
      <c r="P153" s="255"/>
    </row>
    <row r="154" spans="1:16" s="23" customFormat="1" ht="88.5" customHeight="1" hidden="1">
      <c r="A154" s="25"/>
      <c r="B154" s="20"/>
      <c r="C154" s="20"/>
      <c r="D154" s="13"/>
      <c r="E154" s="17"/>
      <c r="F154" s="17"/>
      <c r="G154" s="14"/>
      <c r="H154" s="16"/>
      <c r="I154" s="15"/>
      <c r="J154" s="15"/>
      <c r="K154" s="164"/>
      <c r="L154" s="164"/>
      <c r="M154" s="164"/>
      <c r="N154" s="238"/>
      <c r="O154" s="238"/>
      <c r="P154" s="271"/>
    </row>
    <row r="155" spans="1:16" s="23" customFormat="1" ht="117" customHeight="1" hidden="1">
      <c r="A155" s="20"/>
      <c r="B155" s="20"/>
      <c r="C155" s="20"/>
      <c r="D155" s="24"/>
      <c r="E155" s="17"/>
      <c r="F155" s="17"/>
      <c r="G155" s="14"/>
      <c r="H155" s="16"/>
      <c r="I155" s="15"/>
      <c r="J155" s="15"/>
      <c r="K155" s="164"/>
      <c r="L155" s="164"/>
      <c r="M155" s="164"/>
      <c r="N155" s="238"/>
      <c r="O155" s="238"/>
      <c r="P155" s="165"/>
    </row>
    <row r="156" spans="1:16" s="110" customFormat="1" ht="75" customHeight="1" hidden="1">
      <c r="A156" s="178"/>
      <c r="B156" s="179"/>
      <c r="C156" s="179"/>
      <c r="D156" s="182"/>
      <c r="E156" s="104"/>
      <c r="F156" s="104"/>
      <c r="G156" s="180"/>
      <c r="H156" s="142"/>
      <c r="I156" s="114"/>
      <c r="J156" s="15"/>
      <c r="K156" s="255"/>
      <c r="L156" s="255"/>
      <c r="M156" s="255"/>
      <c r="N156" s="238"/>
      <c r="O156" s="238"/>
      <c r="P156" s="255"/>
    </row>
    <row r="157" spans="1:16" s="23" customFormat="1" ht="103.5" customHeight="1" hidden="1">
      <c r="A157" s="25"/>
      <c r="B157" s="20"/>
      <c r="C157" s="20"/>
      <c r="D157" s="24"/>
      <c r="E157" s="17"/>
      <c r="F157" s="17"/>
      <c r="G157" s="14"/>
      <c r="H157" s="16"/>
      <c r="I157" s="15"/>
      <c r="J157" s="15"/>
      <c r="K157" s="164"/>
      <c r="L157" s="164"/>
      <c r="M157" s="164"/>
      <c r="N157" s="238"/>
      <c r="O157" s="238"/>
      <c r="P157" s="165"/>
    </row>
    <row r="158" spans="1:16" s="110" customFormat="1" ht="78" customHeight="1" hidden="1">
      <c r="A158" s="178"/>
      <c r="B158" s="179"/>
      <c r="C158" s="179"/>
      <c r="D158" s="182"/>
      <c r="E158" s="104"/>
      <c r="F158" s="104"/>
      <c r="G158" s="180"/>
      <c r="H158" s="142"/>
      <c r="I158" s="114"/>
      <c r="J158" s="15"/>
      <c r="K158" s="255"/>
      <c r="L158" s="255"/>
      <c r="M158" s="255"/>
      <c r="N158" s="238"/>
      <c r="O158" s="238"/>
      <c r="P158" s="255"/>
    </row>
    <row r="159" spans="1:16" s="110" customFormat="1" ht="108" customHeight="1" hidden="1">
      <c r="A159" s="12"/>
      <c r="B159" s="12"/>
      <c r="C159" s="12"/>
      <c r="D159" s="24"/>
      <c r="E159" s="17"/>
      <c r="F159" s="17"/>
      <c r="G159" s="14"/>
      <c r="H159" s="16"/>
      <c r="I159" s="8"/>
      <c r="J159" s="15"/>
      <c r="K159" s="272"/>
      <c r="L159" s="255"/>
      <c r="M159" s="255"/>
      <c r="N159" s="238"/>
      <c r="O159" s="238"/>
      <c r="P159" s="255"/>
    </row>
    <row r="160" spans="1:18" s="23" customFormat="1" ht="102.75" customHeight="1">
      <c r="A160" s="10">
        <v>1516017</v>
      </c>
      <c r="B160" s="12" t="s">
        <v>231</v>
      </c>
      <c r="C160" s="12" t="s">
        <v>113</v>
      </c>
      <c r="D160" s="24" t="s">
        <v>320</v>
      </c>
      <c r="E160" s="17" t="s">
        <v>332</v>
      </c>
      <c r="F160" s="5" t="s">
        <v>423</v>
      </c>
      <c r="G160" s="14">
        <f>H160+I160</f>
        <v>72700000</v>
      </c>
      <c r="H160" s="18">
        <f>54700000+15000000+2000000</f>
        <v>71700000</v>
      </c>
      <c r="I160" s="8">
        <v>1000000</v>
      </c>
      <c r="J160" s="15">
        <f>I160</f>
        <v>1000000</v>
      </c>
      <c r="K160" s="273"/>
      <c r="L160" s="237"/>
      <c r="M160" s="237"/>
      <c r="N160" s="237"/>
      <c r="O160" s="238"/>
      <c r="P160" s="274"/>
      <c r="R160" s="183"/>
    </row>
    <row r="161" spans="1:16" s="189" customFormat="1" ht="111" customHeight="1" hidden="1">
      <c r="A161" s="184"/>
      <c r="B161" s="184"/>
      <c r="C161" s="185"/>
      <c r="D161" s="182"/>
      <c r="E161" s="186"/>
      <c r="F161" s="187"/>
      <c r="G161" s="180"/>
      <c r="H161" s="142"/>
      <c r="I161" s="142"/>
      <c r="J161" s="188"/>
      <c r="K161" s="272"/>
      <c r="L161" s="272"/>
      <c r="M161" s="272"/>
      <c r="N161" s="238"/>
      <c r="O161" s="238"/>
      <c r="P161" s="275"/>
    </row>
    <row r="162" spans="1:16" s="110" customFormat="1" ht="78" customHeight="1" hidden="1">
      <c r="A162" s="106"/>
      <c r="B162" s="106"/>
      <c r="C162" s="190"/>
      <c r="D162" s="182"/>
      <c r="E162" s="151"/>
      <c r="F162" s="94"/>
      <c r="G162" s="180"/>
      <c r="H162" s="114"/>
      <c r="I162" s="1"/>
      <c r="J162" s="15"/>
      <c r="K162" s="272"/>
      <c r="L162" s="255"/>
      <c r="M162" s="255"/>
      <c r="N162" s="238"/>
      <c r="O162" s="238"/>
      <c r="P162" s="255"/>
    </row>
    <row r="163" spans="1:16" s="110" customFormat="1" ht="93" customHeight="1" hidden="1">
      <c r="A163" s="10"/>
      <c r="B163" s="10"/>
      <c r="C163" s="12"/>
      <c r="D163" s="24"/>
      <c r="E163" s="39"/>
      <c r="F163" s="17"/>
      <c r="G163" s="14"/>
      <c r="H163" s="16"/>
      <c r="I163" s="15"/>
      <c r="J163" s="15"/>
      <c r="K163" s="272"/>
      <c r="L163" s="255"/>
      <c r="M163" s="255"/>
      <c r="N163" s="238"/>
      <c r="O163" s="238"/>
      <c r="P163" s="255"/>
    </row>
    <row r="164" spans="1:16" s="23" customFormat="1" ht="121.5" customHeight="1" hidden="1">
      <c r="A164" s="10"/>
      <c r="B164" s="10"/>
      <c r="C164" s="12"/>
      <c r="D164" s="24"/>
      <c r="E164" s="39"/>
      <c r="F164" s="17"/>
      <c r="G164" s="14"/>
      <c r="H164" s="16"/>
      <c r="I164" s="16"/>
      <c r="J164" s="15"/>
      <c r="K164" s="164"/>
      <c r="L164" s="164"/>
      <c r="M164" s="164"/>
      <c r="N164" s="238"/>
      <c r="O164" s="238"/>
      <c r="P164" s="165"/>
    </row>
    <row r="165" spans="1:16" s="23" customFormat="1" ht="102.75" customHeight="1" hidden="1">
      <c r="A165" s="10"/>
      <c r="B165" s="10"/>
      <c r="C165" s="12"/>
      <c r="D165" s="24"/>
      <c r="E165" s="39"/>
      <c r="F165" s="17"/>
      <c r="G165" s="14"/>
      <c r="H165" s="16"/>
      <c r="I165" s="16"/>
      <c r="J165" s="15"/>
      <c r="K165" s="237"/>
      <c r="L165" s="164"/>
      <c r="M165" s="164"/>
      <c r="N165" s="238"/>
      <c r="O165" s="238"/>
      <c r="P165" s="165"/>
    </row>
    <row r="166" spans="1:16" s="23" customFormat="1" ht="124.5" customHeight="1" hidden="1">
      <c r="A166" s="10"/>
      <c r="B166" s="10"/>
      <c r="C166" s="10"/>
      <c r="D166" s="24"/>
      <c r="E166" s="17"/>
      <c r="F166" s="17"/>
      <c r="G166" s="14"/>
      <c r="H166" s="16"/>
      <c r="I166" s="16"/>
      <c r="J166" s="15"/>
      <c r="K166" s="237"/>
      <c r="L166" s="164"/>
      <c r="M166" s="164"/>
      <c r="N166" s="238"/>
      <c r="O166" s="238"/>
      <c r="P166" s="165"/>
    </row>
    <row r="167" spans="1:16" s="23" customFormat="1" ht="100.5" customHeight="1">
      <c r="A167" s="10">
        <v>1516030</v>
      </c>
      <c r="B167" s="10">
        <v>6030</v>
      </c>
      <c r="C167" s="10" t="s">
        <v>113</v>
      </c>
      <c r="D167" s="24" t="s">
        <v>226</v>
      </c>
      <c r="E167" s="2" t="s">
        <v>331</v>
      </c>
      <c r="F167" s="5" t="s">
        <v>353</v>
      </c>
      <c r="G167" s="14">
        <f>H167+I167</f>
        <v>233793150</v>
      </c>
      <c r="H167" s="15">
        <f>222660100-49900+1000000-200000+400000-50000+1000000+3800000-117050-150000+450000</f>
        <v>228743150</v>
      </c>
      <c r="I167" s="18">
        <f>5250000-200000</f>
        <v>5050000</v>
      </c>
      <c r="J167" s="19">
        <f>I167</f>
        <v>5050000</v>
      </c>
      <c r="K167" s="273"/>
      <c r="L167" s="237"/>
      <c r="M167" s="237"/>
      <c r="N167" s="237"/>
      <c r="O167" s="238"/>
      <c r="P167" s="165"/>
    </row>
    <row r="168" spans="1:16" s="23" customFormat="1" ht="98.25" customHeight="1" hidden="1">
      <c r="A168" s="10">
        <v>1516030</v>
      </c>
      <c r="B168" s="10">
        <v>6030</v>
      </c>
      <c r="C168" s="10" t="s">
        <v>113</v>
      </c>
      <c r="D168" s="24" t="s">
        <v>226</v>
      </c>
      <c r="E168" s="326" t="s">
        <v>391</v>
      </c>
      <c r="F168" s="4" t="s">
        <v>393</v>
      </c>
      <c r="G168" s="14">
        <f>H168+I168</f>
        <v>0</v>
      </c>
      <c r="H168" s="191">
        <v>0</v>
      </c>
      <c r="I168" s="192">
        <f>3000000-3000000</f>
        <v>0</v>
      </c>
      <c r="J168" s="193">
        <f>I168</f>
        <v>0</v>
      </c>
      <c r="K168" s="273"/>
      <c r="L168" s="237"/>
      <c r="M168" s="237"/>
      <c r="N168" s="237"/>
      <c r="O168" s="238"/>
      <c r="P168" s="165"/>
    </row>
    <row r="169" spans="1:16" s="181" customFormat="1" ht="95.25" customHeight="1" hidden="1">
      <c r="A169" s="149"/>
      <c r="B169" s="150"/>
      <c r="C169" s="150"/>
      <c r="D169" s="151"/>
      <c r="E169" s="327" t="s">
        <v>392</v>
      </c>
      <c r="F169" s="103"/>
      <c r="G169" s="152"/>
      <c r="H169" s="109"/>
      <c r="I169" s="108"/>
      <c r="J169" s="108"/>
      <c r="K169" s="276"/>
      <c r="L169" s="269"/>
      <c r="M169" s="269"/>
      <c r="N169" s="270"/>
      <c r="O169" s="270"/>
      <c r="P169" s="269"/>
    </row>
    <row r="170" spans="1:16" s="23" customFormat="1" ht="93" customHeight="1" hidden="1">
      <c r="A170" s="10"/>
      <c r="B170" s="10"/>
      <c r="C170" s="10"/>
      <c r="D170" s="24"/>
      <c r="E170" s="17"/>
      <c r="F170" s="39"/>
      <c r="G170" s="14"/>
      <c r="H170" s="16"/>
      <c r="I170" s="16"/>
      <c r="J170" s="15"/>
      <c r="K170" s="164"/>
      <c r="L170" s="164"/>
      <c r="M170" s="164"/>
      <c r="N170" s="238"/>
      <c r="O170" s="238"/>
      <c r="P170" s="165"/>
    </row>
    <row r="171" spans="1:16" s="23" customFormat="1" ht="87" customHeight="1" hidden="1">
      <c r="A171" s="10"/>
      <c r="B171" s="10"/>
      <c r="C171" s="10"/>
      <c r="D171" s="24"/>
      <c r="E171" s="194"/>
      <c r="F171" s="39"/>
      <c r="G171" s="14"/>
      <c r="H171" s="16"/>
      <c r="I171" s="16"/>
      <c r="J171" s="15"/>
      <c r="K171" s="164"/>
      <c r="L171" s="164"/>
      <c r="M171" s="164"/>
      <c r="N171" s="238"/>
      <c r="O171" s="238"/>
      <c r="P171" s="165"/>
    </row>
    <row r="172" spans="1:16" s="23" customFormat="1" ht="104.25" customHeight="1" hidden="1">
      <c r="A172" s="10"/>
      <c r="B172" s="10"/>
      <c r="C172" s="10"/>
      <c r="D172" s="24"/>
      <c r="E172" s="39"/>
      <c r="F172" s="17"/>
      <c r="G172" s="14"/>
      <c r="H172" s="16"/>
      <c r="I172" s="18"/>
      <c r="J172" s="15"/>
      <c r="K172" s="164"/>
      <c r="L172" s="164"/>
      <c r="M172" s="164"/>
      <c r="N172" s="238"/>
      <c r="O172" s="238"/>
      <c r="P172" s="165"/>
    </row>
    <row r="173" spans="1:16" s="23" customFormat="1" ht="73.5" customHeight="1">
      <c r="A173" s="3" t="s">
        <v>308</v>
      </c>
      <c r="B173" s="3" t="s">
        <v>300</v>
      </c>
      <c r="C173" s="2" t="s">
        <v>298</v>
      </c>
      <c r="D173" s="49" t="s">
        <v>309</v>
      </c>
      <c r="E173" s="39" t="s">
        <v>12</v>
      </c>
      <c r="F173" s="5" t="s">
        <v>371</v>
      </c>
      <c r="G173" s="14">
        <f aca="true" t="shared" si="6" ref="G173:G179">H173+I173</f>
        <v>2000000</v>
      </c>
      <c r="H173" s="16">
        <v>2000000</v>
      </c>
      <c r="I173" s="8">
        <v>0</v>
      </c>
      <c r="J173" s="15">
        <f aca="true" t="shared" si="7" ref="J173:J179">I173</f>
        <v>0</v>
      </c>
      <c r="K173" s="265"/>
      <c r="L173" s="164"/>
      <c r="M173" s="164"/>
      <c r="N173" s="238"/>
      <c r="O173" s="238"/>
      <c r="P173" s="165"/>
    </row>
    <row r="174" spans="1:16" s="23" customFormat="1" ht="73.5" customHeight="1">
      <c r="A174" s="2" t="s">
        <v>390</v>
      </c>
      <c r="B174" s="10">
        <v>7130</v>
      </c>
      <c r="C174" s="10" t="s">
        <v>136</v>
      </c>
      <c r="D174" s="24" t="s">
        <v>196</v>
      </c>
      <c r="E174" s="39" t="s">
        <v>331</v>
      </c>
      <c r="F174" s="5" t="s">
        <v>353</v>
      </c>
      <c r="G174" s="14">
        <f t="shared" si="6"/>
        <v>49900</v>
      </c>
      <c r="H174" s="16">
        <v>49900</v>
      </c>
      <c r="I174" s="8">
        <v>0</v>
      </c>
      <c r="J174" s="15">
        <f t="shared" si="7"/>
        <v>0</v>
      </c>
      <c r="K174" s="265"/>
      <c r="L174" s="164"/>
      <c r="M174" s="164"/>
      <c r="N174" s="238"/>
      <c r="O174" s="238"/>
      <c r="P174" s="165"/>
    </row>
    <row r="175" spans="1:16" s="23" customFormat="1" ht="146.25" customHeight="1">
      <c r="A175" s="3">
        <v>1517310</v>
      </c>
      <c r="B175" s="3">
        <v>7310</v>
      </c>
      <c r="C175" s="2" t="s">
        <v>141</v>
      </c>
      <c r="D175" s="49" t="s">
        <v>318</v>
      </c>
      <c r="E175" s="2" t="s">
        <v>345</v>
      </c>
      <c r="F175" s="5" t="s">
        <v>369</v>
      </c>
      <c r="G175" s="14">
        <f t="shared" si="6"/>
        <v>2000000</v>
      </c>
      <c r="H175" s="7">
        <v>0</v>
      </c>
      <c r="I175" s="8">
        <v>2000000</v>
      </c>
      <c r="J175" s="15">
        <f t="shared" si="7"/>
        <v>2000000</v>
      </c>
      <c r="K175" s="237"/>
      <c r="L175" s="237"/>
      <c r="M175" s="237"/>
      <c r="N175" s="238"/>
      <c r="O175" s="238"/>
      <c r="P175" s="165"/>
    </row>
    <row r="176" spans="1:16" s="23" customFormat="1" ht="82.5" customHeight="1">
      <c r="A176" s="3">
        <v>1517310</v>
      </c>
      <c r="B176" s="3">
        <v>7310</v>
      </c>
      <c r="C176" s="2" t="s">
        <v>141</v>
      </c>
      <c r="D176" s="49" t="s">
        <v>254</v>
      </c>
      <c r="E176" s="5" t="s">
        <v>23</v>
      </c>
      <c r="F176" s="5" t="s">
        <v>424</v>
      </c>
      <c r="G176" s="14">
        <f t="shared" si="6"/>
        <v>199900</v>
      </c>
      <c r="H176" s="7">
        <v>0</v>
      </c>
      <c r="I176" s="8">
        <f>99900+100000</f>
        <v>199900</v>
      </c>
      <c r="J176" s="15">
        <f t="shared" si="7"/>
        <v>199900</v>
      </c>
      <c r="K176" s="237"/>
      <c r="L176" s="237"/>
      <c r="M176" s="237"/>
      <c r="N176" s="238"/>
      <c r="O176" s="238"/>
      <c r="P176" s="165"/>
    </row>
    <row r="177" spans="1:16" s="23" customFormat="1" ht="72.75" customHeight="1">
      <c r="A177" s="3" t="s">
        <v>54</v>
      </c>
      <c r="B177" s="3" t="s">
        <v>55</v>
      </c>
      <c r="C177" s="2" t="s">
        <v>141</v>
      </c>
      <c r="D177" s="97" t="s">
        <v>252</v>
      </c>
      <c r="E177" s="5" t="s">
        <v>23</v>
      </c>
      <c r="F177" s="5" t="s">
        <v>424</v>
      </c>
      <c r="G177" s="14">
        <f t="shared" si="6"/>
        <v>3250000</v>
      </c>
      <c r="H177" s="7">
        <v>0</v>
      </c>
      <c r="I177" s="8">
        <v>3250000</v>
      </c>
      <c r="J177" s="15">
        <f t="shared" si="7"/>
        <v>3250000</v>
      </c>
      <c r="K177" s="237"/>
      <c r="L177" s="164"/>
      <c r="M177" s="164"/>
      <c r="N177" s="238"/>
      <c r="O177" s="238"/>
      <c r="P177" s="165"/>
    </row>
    <row r="178" spans="1:16" s="23" customFormat="1" ht="78.75" customHeight="1">
      <c r="A178" s="3" t="s">
        <v>306</v>
      </c>
      <c r="B178" s="3" t="s">
        <v>307</v>
      </c>
      <c r="C178" s="2" t="s">
        <v>141</v>
      </c>
      <c r="D178" s="97" t="s">
        <v>253</v>
      </c>
      <c r="E178" s="5" t="s">
        <v>23</v>
      </c>
      <c r="F178" s="5" t="s">
        <v>424</v>
      </c>
      <c r="G178" s="14">
        <f t="shared" si="6"/>
        <v>2650000</v>
      </c>
      <c r="H178" s="7">
        <v>0</v>
      </c>
      <c r="I178" s="8">
        <v>2650000</v>
      </c>
      <c r="J178" s="15">
        <f t="shared" si="7"/>
        <v>2650000</v>
      </c>
      <c r="K178" s="237"/>
      <c r="L178" s="164"/>
      <c r="M178" s="164"/>
      <c r="N178" s="238"/>
      <c r="O178" s="238"/>
      <c r="P178" s="165"/>
    </row>
    <row r="179" spans="1:16" s="23" customFormat="1" ht="81" customHeight="1">
      <c r="A179" s="3">
        <v>1517323</v>
      </c>
      <c r="B179" s="3">
        <v>7323</v>
      </c>
      <c r="C179" s="2" t="s">
        <v>141</v>
      </c>
      <c r="D179" s="49" t="s">
        <v>21</v>
      </c>
      <c r="E179" s="5" t="s">
        <v>23</v>
      </c>
      <c r="F179" s="5" t="s">
        <v>424</v>
      </c>
      <c r="G179" s="14">
        <f t="shared" si="6"/>
        <v>49900</v>
      </c>
      <c r="H179" s="7">
        <v>0</v>
      </c>
      <c r="I179" s="8">
        <v>49900</v>
      </c>
      <c r="J179" s="15">
        <f t="shared" si="7"/>
        <v>49900</v>
      </c>
      <c r="K179" s="164"/>
      <c r="L179" s="164"/>
      <c r="M179" s="164"/>
      <c r="N179" s="238"/>
      <c r="O179" s="238"/>
      <c r="P179" s="165"/>
    </row>
    <row r="180" spans="1:16" s="23" customFormat="1" ht="87" customHeight="1" hidden="1">
      <c r="A180" s="20"/>
      <c r="B180" s="20"/>
      <c r="C180" s="20"/>
      <c r="D180" s="44"/>
      <c r="E180" s="5"/>
      <c r="F180" s="13"/>
      <c r="G180" s="14"/>
      <c r="H180" s="7"/>
      <c r="I180" s="15"/>
      <c r="J180" s="15"/>
      <c r="K180" s="237"/>
      <c r="L180" s="164"/>
      <c r="M180" s="164"/>
      <c r="N180" s="238"/>
      <c r="O180" s="238"/>
      <c r="P180" s="165"/>
    </row>
    <row r="181" spans="1:16" s="181" customFormat="1" ht="95.25" customHeight="1" hidden="1">
      <c r="A181" s="178"/>
      <c r="B181" s="179"/>
      <c r="C181" s="179"/>
      <c r="D181" s="94"/>
      <c r="E181" s="104"/>
      <c r="F181" s="104"/>
      <c r="G181" s="180"/>
      <c r="H181" s="142"/>
      <c r="I181" s="114"/>
      <c r="J181" s="114"/>
      <c r="K181" s="276"/>
      <c r="L181" s="269"/>
      <c r="M181" s="269"/>
      <c r="N181" s="270"/>
      <c r="O181" s="270"/>
      <c r="P181" s="269"/>
    </row>
    <row r="182" spans="1:16" s="195" customFormat="1" ht="84" customHeight="1">
      <c r="A182" s="3">
        <v>1517325</v>
      </c>
      <c r="B182" s="3">
        <v>7325</v>
      </c>
      <c r="C182" s="2" t="s">
        <v>141</v>
      </c>
      <c r="D182" s="49" t="s">
        <v>21</v>
      </c>
      <c r="E182" s="5" t="s">
        <v>23</v>
      </c>
      <c r="F182" s="5" t="s">
        <v>424</v>
      </c>
      <c r="G182" s="14">
        <f>H182+I182</f>
        <v>50000</v>
      </c>
      <c r="H182" s="7">
        <v>0</v>
      </c>
      <c r="I182" s="8">
        <v>50000</v>
      </c>
      <c r="J182" s="15">
        <f>I182</f>
        <v>50000</v>
      </c>
      <c r="K182" s="277"/>
      <c r="L182" s="278"/>
      <c r="M182" s="278"/>
      <c r="N182" s="238"/>
      <c r="O182" s="238"/>
      <c r="P182" s="279"/>
    </row>
    <row r="183" spans="1:16" s="138" customFormat="1" ht="97.5" customHeight="1">
      <c r="A183" s="3" t="s">
        <v>319</v>
      </c>
      <c r="B183" s="2" t="s">
        <v>22</v>
      </c>
      <c r="C183" s="2" t="s">
        <v>141</v>
      </c>
      <c r="D183" s="49" t="s">
        <v>21</v>
      </c>
      <c r="E183" s="399" t="s">
        <v>23</v>
      </c>
      <c r="F183" s="399" t="s">
        <v>424</v>
      </c>
      <c r="G183" s="14">
        <f>H183+I183</f>
        <v>10769276</v>
      </c>
      <c r="H183" s="7">
        <v>0</v>
      </c>
      <c r="I183" s="8">
        <f>1812955+I184+117050</f>
        <v>10769276</v>
      </c>
      <c r="J183" s="8">
        <f>1812955+117050</f>
        <v>1930005</v>
      </c>
      <c r="K183" s="240"/>
      <c r="L183" s="240"/>
      <c r="M183" s="239"/>
      <c r="N183" s="241"/>
      <c r="O183" s="241"/>
      <c r="P183" s="242"/>
    </row>
    <row r="184" spans="1:16" s="110" customFormat="1" ht="102" customHeight="1">
      <c r="A184" s="106"/>
      <c r="B184" s="106"/>
      <c r="C184" s="106"/>
      <c r="D184" s="102" t="s">
        <v>414</v>
      </c>
      <c r="E184" s="401"/>
      <c r="F184" s="401"/>
      <c r="G184" s="107">
        <f>H184+I184</f>
        <v>8839271</v>
      </c>
      <c r="H184" s="108">
        <v>0</v>
      </c>
      <c r="I184" s="109">
        <v>8839271</v>
      </c>
      <c r="J184" s="109">
        <v>0</v>
      </c>
      <c r="K184" s="253"/>
      <c r="L184" s="254"/>
      <c r="M184" s="254"/>
      <c r="N184" s="254"/>
      <c r="O184" s="254"/>
      <c r="P184" s="255"/>
    </row>
    <row r="185" spans="1:16" s="28" customFormat="1" ht="96" customHeight="1" hidden="1">
      <c r="A185" s="3"/>
      <c r="B185" s="49"/>
      <c r="C185" s="93"/>
      <c r="D185" s="4"/>
      <c r="E185" s="42"/>
      <c r="F185" s="154"/>
      <c r="G185" s="47"/>
      <c r="H185" s="48"/>
      <c r="I185" s="48"/>
      <c r="J185" s="15"/>
      <c r="K185" s="156"/>
      <c r="L185" s="166"/>
      <c r="M185" s="166"/>
      <c r="N185" s="238"/>
      <c r="O185" s="238"/>
      <c r="P185" s="167"/>
    </row>
    <row r="186" spans="1:16" s="110" customFormat="1" ht="192.75" customHeight="1" hidden="1">
      <c r="A186" s="149"/>
      <c r="B186" s="150"/>
      <c r="C186" s="150"/>
      <c r="D186" s="151"/>
      <c r="E186" s="103"/>
      <c r="F186" s="104"/>
      <c r="G186" s="180"/>
      <c r="H186" s="142"/>
      <c r="I186" s="114"/>
      <c r="J186" s="15"/>
      <c r="K186" s="255"/>
      <c r="L186" s="255"/>
      <c r="M186" s="255"/>
      <c r="N186" s="238"/>
      <c r="O186" s="238"/>
      <c r="P186" s="255"/>
    </row>
    <row r="187" spans="1:16" s="23" customFormat="1" ht="97.5" customHeight="1">
      <c r="A187" s="3">
        <v>1517461</v>
      </c>
      <c r="B187" s="3">
        <v>7461</v>
      </c>
      <c r="C187" s="2" t="s">
        <v>138</v>
      </c>
      <c r="D187" s="4" t="s">
        <v>86</v>
      </c>
      <c r="E187" s="2" t="s">
        <v>331</v>
      </c>
      <c r="F187" s="5" t="s">
        <v>353</v>
      </c>
      <c r="G187" s="14">
        <f aca="true" t="shared" si="8" ref="G187:G197">H187+I187</f>
        <v>44600000</v>
      </c>
      <c r="H187" s="19">
        <f>45000000-1000000</f>
        <v>44000000</v>
      </c>
      <c r="I187" s="8">
        <v>600000</v>
      </c>
      <c r="J187" s="15">
        <v>600000</v>
      </c>
      <c r="K187" s="237"/>
      <c r="L187" s="164"/>
      <c r="M187" s="164"/>
      <c r="N187" s="238"/>
      <c r="O187" s="238"/>
      <c r="P187" s="165"/>
    </row>
    <row r="188" spans="1:16" s="23" customFormat="1" ht="126.75" customHeight="1">
      <c r="A188" s="68" t="s">
        <v>101</v>
      </c>
      <c r="B188" s="10" t="s">
        <v>102</v>
      </c>
      <c r="C188" s="12" t="s">
        <v>103</v>
      </c>
      <c r="D188" s="24" t="s">
        <v>104</v>
      </c>
      <c r="E188" s="17" t="s">
        <v>348</v>
      </c>
      <c r="F188" s="5" t="s">
        <v>374</v>
      </c>
      <c r="G188" s="14">
        <f t="shared" si="8"/>
        <v>8500000</v>
      </c>
      <c r="H188" s="16">
        <v>8500000</v>
      </c>
      <c r="I188" s="15">
        <v>0</v>
      </c>
      <c r="J188" s="15">
        <f>I188</f>
        <v>0</v>
      </c>
      <c r="K188" s="164"/>
      <c r="L188" s="164"/>
      <c r="M188" s="164"/>
      <c r="N188" s="238"/>
      <c r="O188" s="238"/>
      <c r="P188" s="165"/>
    </row>
    <row r="189" spans="1:16" s="23" customFormat="1" ht="42" customHeight="1" hidden="1">
      <c r="A189" s="10"/>
      <c r="B189" s="10"/>
      <c r="C189" s="12"/>
      <c r="D189" s="24"/>
      <c r="E189" s="356"/>
      <c r="F189" s="358"/>
      <c r="G189" s="14"/>
      <c r="H189" s="16"/>
      <c r="I189" s="15"/>
      <c r="J189" s="15"/>
      <c r="K189" s="164"/>
      <c r="L189" s="237"/>
      <c r="M189" s="164"/>
      <c r="N189" s="238"/>
      <c r="O189" s="238"/>
      <c r="P189" s="165"/>
    </row>
    <row r="190" spans="1:16" s="139" customFormat="1" ht="83.25" customHeight="1" hidden="1">
      <c r="A190" s="178"/>
      <c r="B190" s="179"/>
      <c r="C190" s="178"/>
      <c r="D190" s="196"/>
      <c r="E190" s="356"/>
      <c r="F190" s="358"/>
      <c r="G190" s="180"/>
      <c r="H190" s="142"/>
      <c r="I190" s="114"/>
      <c r="J190" s="114"/>
      <c r="K190" s="246"/>
      <c r="L190" s="245"/>
      <c r="M190" s="246"/>
      <c r="N190" s="238"/>
      <c r="O190" s="238"/>
      <c r="P190" s="246"/>
    </row>
    <row r="191" spans="1:16" s="27" customFormat="1" ht="111" customHeight="1" hidden="1">
      <c r="A191" s="20"/>
      <c r="B191" s="20"/>
      <c r="C191" s="20"/>
      <c r="D191" s="24"/>
      <c r="E191" s="17"/>
      <c r="F191" s="197"/>
      <c r="G191" s="14"/>
      <c r="H191" s="16"/>
      <c r="I191" s="15"/>
      <c r="J191" s="15"/>
      <c r="K191" s="166"/>
      <c r="L191" s="166"/>
      <c r="M191" s="166"/>
      <c r="N191" s="238"/>
      <c r="O191" s="238"/>
      <c r="P191" s="166"/>
    </row>
    <row r="192" spans="1:16" s="23" customFormat="1" ht="137.25" customHeight="1" hidden="1">
      <c r="A192" s="10"/>
      <c r="B192" s="10"/>
      <c r="C192" s="10"/>
      <c r="D192" s="24"/>
      <c r="E192" s="39"/>
      <c r="F192" s="17"/>
      <c r="G192" s="14"/>
      <c r="H192" s="16"/>
      <c r="I192" s="15"/>
      <c r="J192" s="15"/>
      <c r="K192" s="237"/>
      <c r="L192" s="237"/>
      <c r="M192" s="237"/>
      <c r="N192" s="238"/>
      <c r="O192" s="238"/>
      <c r="P192" s="165"/>
    </row>
    <row r="193" spans="1:16" s="23" customFormat="1" ht="132" customHeight="1">
      <c r="A193" s="10">
        <v>1517670</v>
      </c>
      <c r="B193" s="10">
        <v>7670</v>
      </c>
      <c r="C193" s="10" t="s">
        <v>125</v>
      </c>
      <c r="D193" s="24" t="s">
        <v>158</v>
      </c>
      <c r="E193" s="5" t="s">
        <v>10</v>
      </c>
      <c r="F193" s="5" t="s">
        <v>361</v>
      </c>
      <c r="G193" s="14">
        <f t="shared" si="8"/>
        <v>7000000</v>
      </c>
      <c r="H193" s="16">
        <v>0</v>
      </c>
      <c r="I193" s="15">
        <v>7000000</v>
      </c>
      <c r="J193" s="15">
        <f>I193</f>
        <v>7000000</v>
      </c>
      <c r="K193" s="273"/>
      <c r="L193" s="232"/>
      <c r="M193" s="164"/>
      <c r="N193" s="238"/>
      <c r="O193" s="238"/>
      <c r="P193" s="165"/>
    </row>
    <row r="194" spans="1:16" s="23" customFormat="1" ht="121.5" customHeight="1" hidden="1">
      <c r="A194" s="10">
        <v>1517670</v>
      </c>
      <c r="B194" s="10">
        <v>7670</v>
      </c>
      <c r="C194" s="10" t="s">
        <v>125</v>
      </c>
      <c r="D194" s="24" t="s">
        <v>158</v>
      </c>
      <c r="E194" s="42" t="s">
        <v>2</v>
      </c>
      <c r="F194" s="5" t="s">
        <v>358</v>
      </c>
      <c r="G194" s="14">
        <f t="shared" si="8"/>
        <v>0</v>
      </c>
      <c r="H194" s="16">
        <v>0</v>
      </c>
      <c r="I194" s="15">
        <f>20000000-5000000-15000000</f>
        <v>0</v>
      </c>
      <c r="J194" s="15">
        <f>I194</f>
        <v>0</v>
      </c>
      <c r="K194" s="164"/>
      <c r="L194" s="237"/>
      <c r="M194" s="164"/>
      <c r="N194" s="238"/>
      <c r="O194" s="238"/>
      <c r="P194" s="165"/>
    </row>
    <row r="195" spans="1:16" s="23" customFormat="1" ht="123.75" customHeight="1">
      <c r="A195" s="10">
        <v>1517670</v>
      </c>
      <c r="B195" s="10">
        <v>7670</v>
      </c>
      <c r="C195" s="10" t="s">
        <v>125</v>
      </c>
      <c r="D195" s="24" t="s">
        <v>158</v>
      </c>
      <c r="E195" s="39" t="s">
        <v>4</v>
      </c>
      <c r="F195" s="5" t="s">
        <v>425</v>
      </c>
      <c r="G195" s="14">
        <f>H195+I195</f>
        <v>45000000</v>
      </c>
      <c r="H195" s="16">
        <v>0</v>
      </c>
      <c r="I195" s="15">
        <f>25000000+5000000+15000000</f>
        <v>45000000</v>
      </c>
      <c r="J195" s="15">
        <f>I195</f>
        <v>45000000</v>
      </c>
      <c r="K195" s="168"/>
      <c r="L195" s="164"/>
      <c r="M195" s="164"/>
      <c r="N195" s="238"/>
      <c r="O195" s="238"/>
      <c r="P195" s="165"/>
    </row>
    <row r="196" spans="1:16" s="23" customFormat="1" ht="165.75" customHeight="1">
      <c r="A196" s="10">
        <v>1517670</v>
      </c>
      <c r="B196" s="10">
        <v>7670</v>
      </c>
      <c r="C196" s="10" t="s">
        <v>125</v>
      </c>
      <c r="D196" s="24" t="s">
        <v>158</v>
      </c>
      <c r="E196" s="17" t="s">
        <v>5</v>
      </c>
      <c r="F196" s="5" t="s">
        <v>359</v>
      </c>
      <c r="G196" s="14">
        <f t="shared" si="8"/>
        <v>20000000</v>
      </c>
      <c r="H196" s="18">
        <v>0</v>
      </c>
      <c r="I196" s="19">
        <v>20000000</v>
      </c>
      <c r="J196" s="19">
        <f>I196</f>
        <v>20000000</v>
      </c>
      <c r="K196" s="164"/>
      <c r="L196" s="164"/>
      <c r="M196" s="164"/>
      <c r="N196" s="238"/>
      <c r="O196" s="238"/>
      <c r="P196" s="165"/>
    </row>
    <row r="197" spans="1:16" s="23" customFormat="1" ht="140.25" customHeight="1">
      <c r="A197" s="10">
        <v>1517670</v>
      </c>
      <c r="B197" s="10">
        <v>7670</v>
      </c>
      <c r="C197" s="10" t="s">
        <v>125</v>
      </c>
      <c r="D197" s="24" t="s">
        <v>158</v>
      </c>
      <c r="E197" s="17" t="s">
        <v>395</v>
      </c>
      <c r="F197" s="5" t="s">
        <v>396</v>
      </c>
      <c r="G197" s="14">
        <f t="shared" si="8"/>
        <v>200000</v>
      </c>
      <c r="H197" s="16">
        <v>0</v>
      </c>
      <c r="I197" s="15">
        <f>50000+150000</f>
        <v>200000</v>
      </c>
      <c r="J197" s="19">
        <f>I197</f>
        <v>200000</v>
      </c>
      <c r="K197" s="164"/>
      <c r="L197" s="164"/>
      <c r="M197" s="164"/>
      <c r="N197" s="238"/>
      <c r="O197" s="238"/>
      <c r="P197" s="165"/>
    </row>
    <row r="198" spans="1:16" s="23" customFormat="1" ht="103.5" customHeight="1" hidden="1">
      <c r="A198" s="2"/>
      <c r="B198" s="2"/>
      <c r="C198" s="2"/>
      <c r="D198" s="4"/>
      <c r="E198" s="42"/>
      <c r="F198" s="5" t="s">
        <v>349</v>
      </c>
      <c r="G198" s="41"/>
      <c r="H198" s="198"/>
      <c r="I198" s="199"/>
      <c r="J198" s="199"/>
      <c r="K198" s="164"/>
      <c r="L198" s="164"/>
      <c r="M198" s="164"/>
      <c r="N198" s="238"/>
      <c r="O198" s="238"/>
      <c r="P198" s="165"/>
    </row>
    <row r="199" spans="1:16" s="23" customFormat="1" ht="103.5" customHeight="1">
      <c r="A199" s="10">
        <v>1517670</v>
      </c>
      <c r="B199" s="10">
        <v>7670</v>
      </c>
      <c r="C199" s="10" t="s">
        <v>125</v>
      </c>
      <c r="D199" s="24" t="s">
        <v>158</v>
      </c>
      <c r="E199" s="39" t="s">
        <v>3</v>
      </c>
      <c r="F199" s="5" t="s">
        <v>426</v>
      </c>
      <c r="G199" s="14">
        <f>H199+I199</f>
        <v>3000000</v>
      </c>
      <c r="H199" s="16">
        <v>0</v>
      </c>
      <c r="I199" s="15">
        <f>20000000-17000000</f>
        <v>3000000</v>
      </c>
      <c r="J199" s="15">
        <f>I199</f>
        <v>3000000</v>
      </c>
      <c r="K199" s="164"/>
      <c r="L199" s="164"/>
      <c r="M199" s="164"/>
      <c r="N199" s="238"/>
      <c r="O199" s="238"/>
      <c r="P199" s="165"/>
    </row>
    <row r="200" spans="1:16" s="23" customFormat="1" ht="93.75" customHeight="1" hidden="1">
      <c r="A200" s="10">
        <v>1517670</v>
      </c>
      <c r="B200" s="10">
        <v>7670</v>
      </c>
      <c r="C200" s="10" t="s">
        <v>125</v>
      </c>
      <c r="D200" s="24" t="s">
        <v>158</v>
      </c>
      <c r="E200" s="39" t="s">
        <v>394</v>
      </c>
      <c r="F200" s="5" t="s">
        <v>360</v>
      </c>
      <c r="G200" s="14">
        <f>H200+I200</f>
        <v>0</v>
      </c>
      <c r="H200" s="16">
        <v>0</v>
      </c>
      <c r="I200" s="15">
        <f>3000000-3000000</f>
        <v>0</v>
      </c>
      <c r="J200" s="15">
        <f>I200</f>
        <v>0</v>
      </c>
      <c r="K200" s="164"/>
      <c r="L200" s="164"/>
      <c r="M200" s="164"/>
      <c r="N200" s="238"/>
      <c r="O200" s="238"/>
      <c r="P200" s="165"/>
    </row>
    <row r="201" spans="1:16" s="23" customFormat="1" ht="100.5" customHeight="1">
      <c r="A201" s="11">
        <v>1518230</v>
      </c>
      <c r="B201" s="11" t="s">
        <v>404</v>
      </c>
      <c r="C201" s="10" t="s">
        <v>405</v>
      </c>
      <c r="D201" s="101" t="s">
        <v>406</v>
      </c>
      <c r="E201" s="326" t="s">
        <v>407</v>
      </c>
      <c r="F201" s="4" t="s">
        <v>393</v>
      </c>
      <c r="G201" s="14">
        <f>H201+I201</f>
        <v>3000000</v>
      </c>
      <c r="H201" s="16">
        <v>0</v>
      </c>
      <c r="I201" s="15">
        <v>3000000</v>
      </c>
      <c r="J201" s="15">
        <f>I201</f>
        <v>3000000</v>
      </c>
      <c r="K201" s="237"/>
      <c r="L201" s="164"/>
      <c r="M201" s="164"/>
      <c r="N201" s="238"/>
      <c r="O201" s="238"/>
      <c r="P201" s="165"/>
    </row>
    <row r="202" spans="1:16" s="23" customFormat="1" ht="64.5" customHeight="1" hidden="1">
      <c r="A202" s="11"/>
      <c r="B202" s="11"/>
      <c r="C202" s="12"/>
      <c r="D202" s="24"/>
      <c r="E202" s="17"/>
      <c r="F202" s="194"/>
      <c r="G202" s="14"/>
      <c r="H202" s="48"/>
      <c r="I202" s="200"/>
      <c r="J202" s="15"/>
      <c r="K202" s="164"/>
      <c r="L202" s="164"/>
      <c r="M202" s="164"/>
      <c r="N202" s="238"/>
      <c r="O202" s="238"/>
      <c r="P202" s="165"/>
    </row>
    <row r="203" spans="1:16" s="23" customFormat="1" ht="64.5" customHeight="1" hidden="1">
      <c r="A203" s="11"/>
      <c r="B203" s="11"/>
      <c r="C203" s="12"/>
      <c r="D203" s="24"/>
      <c r="E203" s="39"/>
      <c r="F203" s="17"/>
      <c r="G203" s="14"/>
      <c r="H203" s="16"/>
      <c r="I203" s="15"/>
      <c r="J203" s="15"/>
      <c r="K203" s="164"/>
      <c r="L203" s="164"/>
      <c r="M203" s="164"/>
      <c r="N203" s="238"/>
      <c r="O203" s="238"/>
      <c r="P203" s="165"/>
    </row>
    <row r="204" spans="1:16" s="23" customFormat="1" ht="64.5" customHeight="1" hidden="1">
      <c r="A204" s="11"/>
      <c r="B204" s="11"/>
      <c r="C204" s="12"/>
      <c r="D204" s="24"/>
      <c r="E204" s="17"/>
      <c r="F204" s="42"/>
      <c r="G204" s="14"/>
      <c r="H204" s="48"/>
      <c r="I204" s="52"/>
      <c r="J204" s="15"/>
      <c r="K204" s="164"/>
      <c r="L204" s="164"/>
      <c r="M204" s="164"/>
      <c r="N204" s="238"/>
      <c r="O204" s="238"/>
      <c r="P204" s="165"/>
    </row>
    <row r="205" spans="1:16" s="23" customFormat="1" ht="64.5" customHeight="1" hidden="1">
      <c r="A205" s="11"/>
      <c r="B205" s="11"/>
      <c r="C205" s="12"/>
      <c r="D205" s="24"/>
      <c r="E205" s="2"/>
      <c r="F205" s="13"/>
      <c r="G205" s="14"/>
      <c r="H205" s="48"/>
      <c r="I205" s="52"/>
      <c r="J205" s="15"/>
      <c r="K205" s="164"/>
      <c r="L205" s="164"/>
      <c r="M205" s="164"/>
      <c r="N205" s="238"/>
      <c r="O205" s="238"/>
      <c r="P205" s="165"/>
    </row>
    <row r="206" spans="1:16" s="23" customFormat="1" ht="64.5" customHeight="1" hidden="1">
      <c r="A206" s="11"/>
      <c r="B206" s="11"/>
      <c r="C206" s="12"/>
      <c r="D206" s="24"/>
      <c r="E206" s="5"/>
      <c r="F206" s="4"/>
      <c r="G206" s="14"/>
      <c r="H206" s="48"/>
      <c r="I206" s="52"/>
      <c r="J206" s="15"/>
      <c r="K206" s="164"/>
      <c r="L206" s="164"/>
      <c r="M206" s="164"/>
      <c r="N206" s="238"/>
      <c r="O206" s="238"/>
      <c r="P206" s="165"/>
    </row>
    <row r="207" spans="1:16" s="195" customFormat="1" ht="64.5" customHeight="1" hidden="1">
      <c r="A207" s="201"/>
      <c r="B207" s="11"/>
      <c r="C207" s="12"/>
      <c r="D207" s="89"/>
      <c r="E207" s="17"/>
      <c r="F207" s="39"/>
      <c r="G207" s="14"/>
      <c r="H207" s="48"/>
      <c r="I207" s="52"/>
      <c r="J207" s="15"/>
      <c r="K207" s="278"/>
      <c r="L207" s="278"/>
      <c r="M207" s="278"/>
      <c r="N207" s="238"/>
      <c r="O207" s="238"/>
      <c r="P207" s="279"/>
    </row>
    <row r="208" spans="1:16" s="195" customFormat="1" ht="64.5" customHeight="1" hidden="1">
      <c r="A208" s="201"/>
      <c r="B208" s="11"/>
      <c r="C208" s="12"/>
      <c r="D208" s="24"/>
      <c r="E208" s="17"/>
      <c r="F208" s="17"/>
      <c r="G208" s="14"/>
      <c r="H208" s="48"/>
      <c r="I208" s="52"/>
      <c r="J208" s="15"/>
      <c r="K208" s="278"/>
      <c r="L208" s="277"/>
      <c r="M208" s="278"/>
      <c r="N208" s="238"/>
      <c r="O208" s="238"/>
      <c r="P208" s="279"/>
    </row>
    <row r="209" spans="1:16" s="195" customFormat="1" ht="64.5" customHeight="1" hidden="1">
      <c r="A209" s="201"/>
      <c r="B209" s="11"/>
      <c r="C209" s="12"/>
      <c r="D209" s="24"/>
      <c r="E209" s="5"/>
      <c r="F209" s="4"/>
      <c r="G209" s="14"/>
      <c r="H209" s="48"/>
      <c r="I209" s="52"/>
      <c r="J209" s="15"/>
      <c r="K209" s="278"/>
      <c r="L209" s="277"/>
      <c r="M209" s="278"/>
      <c r="N209" s="238"/>
      <c r="O209" s="238"/>
      <c r="P209" s="279"/>
    </row>
    <row r="210" spans="1:16" s="91" customFormat="1" ht="64.5" customHeight="1">
      <c r="A210" s="61">
        <v>1600000</v>
      </c>
      <c r="B210" s="87"/>
      <c r="C210" s="87"/>
      <c r="D210" s="348" t="s">
        <v>140</v>
      </c>
      <c r="E210" s="349"/>
      <c r="F210" s="62" t="s">
        <v>212</v>
      </c>
      <c r="G210" s="57">
        <f>G211</f>
        <v>1160000</v>
      </c>
      <c r="H210" s="57">
        <f>H211</f>
        <v>826850</v>
      </c>
      <c r="I210" s="57">
        <f>I211</f>
        <v>333150</v>
      </c>
      <c r="J210" s="57">
        <f>J211</f>
        <v>333150</v>
      </c>
      <c r="K210" s="159"/>
      <c r="L210" s="159"/>
      <c r="M210" s="159"/>
      <c r="N210" s="231"/>
      <c r="O210" s="231"/>
      <c r="P210" s="161"/>
    </row>
    <row r="211" spans="1:16" s="91" customFormat="1" ht="49.5" customHeight="1">
      <c r="A211" s="32">
        <v>1610000</v>
      </c>
      <c r="B211" s="31"/>
      <c r="C211" s="31"/>
      <c r="D211" s="343" t="s">
        <v>140</v>
      </c>
      <c r="E211" s="344"/>
      <c r="F211" s="33" t="s">
        <v>212</v>
      </c>
      <c r="G211" s="35">
        <f>H211+I211</f>
        <v>1160000</v>
      </c>
      <c r="H211" s="35">
        <f>H212+H213</f>
        <v>826850</v>
      </c>
      <c r="I211" s="35">
        <f>I212+I213</f>
        <v>333150</v>
      </c>
      <c r="J211" s="35">
        <f>J212+J213</f>
        <v>333150</v>
      </c>
      <c r="K211" s="237"/>
      <c r="L211" s="237"/>
      <c r="M211" s="237"/>
      <c r="N211" s="232"/>
      <c r="O211" s="232"/>
      <c r="P211" s="161"/>
    </row>
    <row r="212" spans="1:16" s="23" customFormat="1" ht="102" customHeight="1">
      <c r="A212" s="20" t="s">
        <v>283</v>
      </c>
      <c r="B212" s="20" t="s">
        <v>139</v>
      </c>
      <c r="C212" s="20" t="s">
        <v>110</v>
      </c>
      <c r="D212" s="24" t="s">
        <v>258</v>
      </c>
      <c r="E212" s="5" t="s">
        <v>41</v>
      </c>
      <c r="F212" s="5" t="s">
        <v>349</v>
      </c>
      <c r="G212" s="6">
        <f>SUM(H212+I212)</f>
        <v>98000</v>
      </c>
      <c r="H212" s="7">
        <v>98000</v>
      </c>
      <c r="I212" s="15">
        <v>0</v>
      </c>
      <c r="J212" s="15">
        <v>0</v>
      </c>
      <c r="K212" s="164"/>
      <c r="L212" s="164"/>
      <c r="M212" s="164"/>
      <c r="N212" s="238"/>
      <c r="O212" s="238"/>
      <c r="P212" s="165"/>
    </row>
    <row r="213" spans="1:16" s="23" customFormat="1" ht="103.5" customHeight="1">
      <c r="A213" s="20" t="s">
        <v>241</v>
      </c>
      <c r="B213" s="20" t="s">
        <v>102</v>
      </c>
      <c r="C213" s="20" t="s">
        <v>103</v>
      </c>
      <c r="D213" s="24" t="s">
        <v>104</v>
      </c>
      <c r="E213" s="5" t="s">
        <v>39</v>
      </c>
      <c r="F213" s="5" t="s">
        <v>370</v>
      </c>
      <c r="G213" s="6">
        <f>SUM(H213+I213)</f>
        <v>1062000</v>
      </c>
      <c r="H213" s="7">
        <f>728850</f>
        <v>728850</v>
      </c>
      <c r="I213" s="15">
        <f>333150</f>
        <v>333150</v>
      </c>
      <c r="J213" s="15">
        <f>I213</f>
        <v>333150</v>
      </c>
      <c r="K213" s="164"/>
      <c r="L213" s="164"/>
      <c r="M213" s="164"/>
      <c r="N213" s="238"/>
      <c r="O213" s="238"/>
      <c r="P213" s="165"/>
    </row>
    <row r="214" spans="1:16" s="90" customFormat="1" ht="60.75" customHeight="1">
      <c r="A214" s="87" t="s">
        <v>284</v>
      </c>
      <c r="B214" s="61"/>
      <c r="C214" s="61"/>
      <c r="D214" s="339" t="s">
        <v>232</v>
      </c>
      <c r="E214" s="340"/>
      <c r="F214" s="62" t="s">
        <v>212</v>
      </c>
      <c r="G214" s="30">
        <f>G215</f>
        <v>98000</v>
      </c>
      <c r="H214" s="30">
        <f>H215</f>
        <v>98000</v>
      </c>
      <c r="I214" s="30">
        <f>I215</f>
        <v>0</v>
      </c>
      <c r="J214" s="30">
        <f>J215</f>
        <v>0</v>
      </c>
      <c r="K214" s="159"/>
      <c r="L214" s="159"/>
      <c r="M214" s="159"/>
      <c r="N214" s="231"/>
      <c r="O214" s="231"/>
      <c r="P214" s="159"/>
    </row>
    <row r="215" spans="1:16" s="22" customFormat="1" ht="61.5" customHeight="1">
      <c r="A215" s="31" t="s">
        <v>285</v>
      </c>
      <c r="B215" s="32"/>
      <c r="C215" s="32"/>
      <c r="D215" s="361" t="s">
        <v>232</v>
      </c>
      <c r="E215" s="362"/>
      <c r="F215" s="33" t="s">
        <v>212</v>
      </c>
      <c r="G215" s="34">
        <f>H215+I215</f>
        <v>98000</v>
      </c>
      <c r="H215" s="34">
        <f>H216</f>
        <v>98000</v>
      </c>
      <c r="I215" s="34">
        <f>I216</f>
        <v>0</v>
      </c>
      <c r="J215" s="34">
        <f>J216</f>
        <v>0</v>
      </c>
      <c r="K215" s="237"/>
      <c r="L215" s="237"/>
      <c r="M215" s="237"/>
      <c r="N215" s="232"/>
      <c r="O215" s="232"/>
      <c r="P215" s="164"/>
    </row>
    <row r="216" spans="1:16" s="22" customFormat="1" ht="90.75">
      <c r="A216" s="12" t="s">
        <v>286</v>
      </c>
      <c r="B216" s="12" t="s">
        <v>139</v>
      </c>
      <c r="C216" s="12" t="s">
        <v>110</v>
      </c>
      <c r="D216" s="24" t="s">
        <v>258</v>
      </c>
      <c r="E216" s="5" t="s">
        <v>41</v>
      </c>
      <c r="F216" s="5" t="s">
        <v>349</v>
      </c>
      <c r="G216" s="6">
        <f>SUM(H216+I216)</f>
        <v>98000</v>
      </c>
      <c r="H216" s="7">
        <v>98000</v>
      </c>
      <c r="I216" s="8">
        <v>0</v>
      </c>
      <c r="J216" s="15">
        <v>0</v>
      </c>
      <c r="K216" s="164"/>
      <c r="L216" s="164"/>
      <c r="M216" s="164"/>
      <c r="N216" s="238"/>
      <c r="O216" s="238"/>
      <c r="P216" s="164"/>
    </row>
    <row r="217" spans="1:16" s="91" customFormat="1" ht="53.25" customHeight="1">
      <c r="A217" s="61" t="s">
        <v>194</v>
      </c>
      <c r="B217" s="87"/>
      <c r="C217" s="87"/>
      <c r="D217" s="348" t="s">
        <v>144</v>
      </c>
      <c r="E217" s="349"/>
      <c r="F217" s="62" t="s">
        <v>212</v>
      </c>
      <c r="G217" s="57">
        <f>G218</f>
        <v>89876950</v>
      </c>
      <c r="H217" s="57">
        <f>H218</f>
        <v>82631450</v>
      </c>
      <c r="I217" s="57">
        <f>I218</f>
        <v>7245500</v>
      </c>
      <c r="J217" s="57">
        <f>J218</f>
        <v>7240000</v>
      </c>
      <c r="K217" s="159"/>
      <c r="L217" s="159"/>
      <c r="M217" s="159"/>
      <c r="N217" s="231"/>
      <c r="O217" s="231"/>
      <c r="P217" s="161"/>
    </row>
    <row r="218" spans="1:16" s="23" customFormat="1" ht="51.75" customHeight="1">
      <c r="A218" s="32" t="s">
        <v>195</v>
      </c>
      <c r="B218" s="31"/>
      <c r="C218" s="31"/>
      <c r="D218" s="343" t="s">
        <v>144</v>
      </c>
      <c r="E218" s="344"/>
      <c r="F218" s="33" t="s">
        <v>212</v>
      </c>
      <c r="G218" s="35">
        <f>H218+I218</f>
        <v>89876950</v>
      </c>
      <c r="H218" s="35">
        <f>SUM(H219+H220+H223+H224+H225+H221)</f>
        <v>82631450</v>
      </c>
      <c r="I218" s="35">
        <f>SUM(I219+I220+I223+I224+I225+I221)</f>
        <v>7245500</v>
      </c>
      <c r="J218" s="35">
        <f>SUM(J219+J220+J223+J224+J225+J221)</f>
        <v>7240000</v>
      </c>
      <c r="K218" s="237"/>
      <c r="L218" s="237"/>
      <c r="M218" s="237"/>
      <c r="N218" s="232"/>
      <c r="O218" s="232"/>
      <c r="P218" s="165"/>
    </row>
    <row r="219" spans="1:16" s="23" customFormat="1" ht="100.5" customHeight="1">
      <c r="A219" s="20" t="s">
        <v>287</v>
      </c>
      <c r="B219" s="20" t="s">
        <v>139</v>
      </c>
      <c r="C219" s="20" t="s">
        <v>110</v>
      </c>
      <c r="D219" s="24" t="s">
        <v>258</v>
      </c>
      <c r="E219" s="5" t="s">
        <v>41</v>
      </c>
      <c r="F219" s="5" t="s">
        <v>349</v>
      </c>
      <c r="G219" s="6">
        <f>SUM(H219+I219)</f>
        <v>244000</v>
      </c>
      <c r="H219" s="7">
        <v>244000</v>
      </c>
      <c r="I219" s="15">
        <v>0</v>
      </c>
      <c r="J219" s="15">
        <v>0</v>
      </c>
      <c r="K219" s="237"/>
      <c r="L219" s="164"/>
      <c r="M219" s="164"/>
      <c r="N219" s="238"/>
      <c r="O219" s="238"/>
      <c r="P219" s="165"/>
    </row>
    <row r="220" spans="1:16" s="23" customFormat="1" ht="100.5" customHeight="1">
      <c r="A220" s="10">
        <v>1917413</v>
      </c>
      <c r="B220" s="10">
        <v>7413</v>
      </c>
      <c r="C220" s="10" t="s">
        <v>146</v>
      </c>
      <c r="D220" s="24" t="s">
        <v>304</v>
      </c>
      <c r="E220" s="17" t="s">
        <v>14</v>
      </c>
      <c r="F220" s="5" t="s">
        <v>427</v>
      </c>
      <c r="G220" s="6">
        <f>SUM(H220+I220)</f>
        <v>2247600</v>
      </c>
      <c r="H220" s="16">
        <v>2100</v>
      </c>
      <c r="I220" s="8">
        <f>5500+2240000</f>
        <v>2245500</v>
      </c>
      <c r="J220" s="8">
        <v>2240000</v>
      </c>
      <c r="K220" s="280"/>
      <c r="L220" s="237"/>
      <c r="M220" s="164"/>
      <c r="N220" s="238"/>
      <c r="O220" s="238"/>
      <c r="P220" s="165"/>
    </row>
    <row r="221" spans="1:16" s="23" customFormat="1" ht="90.75" customHeight="1" hidden="1">
      <c r="A221" s="25"/>
      <c r="B221" s="25"/>
      <c r="C221" s="25"/>
      <c r="D221" s="13"/>
      <c r="E221" s="5"/>
      <c r="F221" s="13"/>
      <c r="G221" s="6"/>
      <c r="H221" s="16"/>
      <c r="I221" s="15"/>
      <c r="J221" s="15"/>
      <c r="K221" s="164"/>
      <c r="L221" s="164"/>
      <c r="M221" s="164"/>
      <c r="N221" s="238"/>
      <c r="O221" s="238"/>
      <c r="P221" s="165"/>
    </row>
    <row r="222" spans="1:16" s="181" customFormat="1" ht="95.25" customHeight="1" hidden="1">
      <c r="A222" s="178"/>
      <c r="B222" s="179"/>
      <c r="C222" s="179"/>
      <c r="D222" s="94"/>
      <c r="E222" s="104"/>
      <c r="F222" s="104"/>
      <c r="G222" s="180"/>
      <c r="H222" s="142"/>
      <c r="I222" s="114"/>
      <c r="J222" s="114"/>
      <c r="K222" s="276"/>
      <c r="L222" s="269"/>
      <c r="M222" s="269"/>
      <c r="N222" s="270"/>
      <c r="O222" s="270"/>
      <c r="P222" s="269"/>
    </row>
    <row r="223" spans="1:16" s="23" customFormat="1" ht="102" customHeight="1">
      <c r="A223" s="10" t="s">
        <v>311</v>
      </c>
      <c r="B223" s="10" t="s">
        <v>312</v>
      </c>
      <c r="C223" s="10" t="s">
        <v>256</v>
      </c>
      <c r="D223" s="24" t="s">
        <v>145</v>
      </c>
      <c r="E223" s="17" t="s">
        <v>15</v>
      </c>
      <c r="F223" s="5" t="s">
        <v>363</v>
      </c>
      <c r="G223" s="6">
        <f>SUM(H223+I223)</f>
        <v>82385350</v>
      </c>
      <c r="H223" s="16">
        <v>82385350</v>
      </c>
      <c r="I223" s="8">
        <v>0</v>
      </c>
      <c r="J223" s="15">
        <f>I223</f>
        <v>0</v>
      </c>
      <c r="K223" s="164"/>
      <c r="L223" s="164"/>
      <c r="M223" s="164"/>
      <c r="N223" s="238"/>
      <c r="O223" s="238"/>
      <c r="P223" s="165"/>
    </row>
    <row r="224" spans="1:16" s="23" customFormat="1" ht="119.25" customHeight="1" hidden="1">
      <c r="A224" s="202"/>
      <c r="B224" s="202"/>
      <c r="C224" s="202"/>
      <c r="D224" s="203"/>
      <c r="E224" s="204"/>
      <c r="F224" s="204"/>
      <c r="G224" s="205"/>
      <c r="H224" s="16"/>
      <c r="I224" s="8"/>
      <c r="J224" s="15"/>
      <c r="K224" s="237"/>
      <c r="L224" s="164"/>
      <c r="M224" s="164"/>
      <c r="N224" s="238"/>
      <c r="O224" s="238"/>
      <c r="P224" s="274"/>
    </row>
    <row r="225" spans="1:16" s="23" customFormat="1" ht="132" customHeight="1">
      <c r="A225" s="10">
        <v>1917670</v>
      </c>
      <c r="B225" s="10">
        <v>7670</v>
      </c>
      <c r="C225" s="10" t="s">
        <v>125</v>
      </c>
      <c r="D225" s="24" t="s">
        <v>158</v>
      </c>
      <c r="E225" s="17" t="s">
        <v>8</v>
      </c>
      <c r="F225" s="5" t="s">
        <v>363</v>
      </c>
      <c r="G225" s="43">
        <f>SUM(H225+I225)</f>
        <v>5000000</v>
      </c>
      <c r="H225" s="16">
        <v>0</v>
      </c>
      <c r="I225" s="8">
        <v>5000000</v>
      </c>
      <c r="J225" s="8">
        <f>I225</f>
        <v>5000000</v>
      </c>
      <c r="K225" s="164"/>
      <c r="L225" s="240"/>
      <c r="M225" s="164"/>
      <c r="N225" s="238"/>
      <c r="O225" s="238"/>
      <c r="P225" s="274"/>
    </row>
    <row r="226" spans="1:16" s="91" customFormat="1" ht="45" customHeight="1">
      <c r="A226" s="61">
        <v>2700000</v>
      </c>
      <c r="B226" s="87"/>
      <c r="C226" s="87"/>
      <c r="D226" s="348" t="s">
        <v>93</v>
      </c>
      <c r="E226" s="349"/>
      <c r="F226" s="62" t="s">
        <v>212</v>
      </c>
      <c r="G226" s="57">
        <f>G227</f>
        <v>7396828</v>
      </c>
      <c r="H226" s="57">
        <f>H227</f>
        <v>7396828</v>
      </c>
      <c r="I226" s="57">
        <f>I227</f>
        <v>0</v>
      </c>
      <c r="J226" s="57">
        <f>J227</f>
        <v>0</v>
      </c>
      <c r="K226" s="160"/>
      <c r="L226" s="159"/>
      <c r="M226" s="159"/>
      <c r="N226" s="231"/>
      <c r="O226" s="231"/>
      <c r="P226" s="161"/>
    </row>
    <row r="227" spans="1:16" s="23" customFormat="1" ht="48" customHeight="1">
      <c r="A227" s="32">
        <v>2710000</v>
      </c>
      <c r="B227" s="31"/>
      <c r="C227" s="31"/>
      <c r="D227" s="343" t="s">
        <v>93</v>
      </c>
      <c r="E227" s="344"/>
      <c r="F227" s="33" t="s">
        <v>212</v>
      </c>
      <c r="G227" s="35">
        <f>H227+I227</f>
        <v>7396828</v>
      </c>
      <c r="H227" s="35">
        <f>SUM(H228+H229+H230+H231+H232)</f>
        <v>7396828</v>
      </c>
      <c r="I227" s="35">
        <f>SUM(I228+I229+I230+I231+I232)</f>
        <v>0</v>
      </c>
      <c r="J227" s="35">
        <f>SUM(J228+J229+J230+J231+J232)</f>
        <v>0</v>
      </c>
      <c r="K227" s="237"/>
      <c r="L227" s="237"/>
      <c r="M227" s="237"/>
      <c r="N227" s="232"/>
      <c r="O227" s="232"/>
      <c r="P227" s="165"/>
    </row>
    <row r="228" spans="1:16" s="23" customFormat="1" ht="90.75">
      <c r="A228" s="20" t="s">
        <v>288</v>
      </c>
      <c r="B228" s="20" t="s">
        <v>139</v>
      </c>
      <c r="C228" s="20" t="s">
        <v>110</v>
      </c>
      <c r="D228" s="24" t="s">
        <v>258</v>
      </c>
      <c r="E228" s="5" t="s">
        <v>41</v>
      </c>
      <c r="F228" s="5" t="s">
        <v>349</v>
      </c>
      <c r="G228" s="6">
        <f>SUM(H228+I228)</f>
        <v>297000</v>
      </c>
      <c r="H228" s="7">
        <v>297000</v>
      </c>
      <c r="I228" s="15">
        <v>0</v>
      </c>
      <c r="J228" s="15">
        <v>0</v>
      </c>
      <c r="K228" s="164"/>
      <c r="L228" s="164"/>
      <c r="M228" s="164"/>
      <c r="N228" s="238"/>
      <c r="O228" s="238"/>
      <c r="P228" s="165"/>
    </row>
    <row r="229" spans="1:16" s="23" customFormat="1" ht="102.75" customHeight="1" hidden="1">
      <c r="A229" s="10"/>
      <c r="B229" s="10"/>
      <c r="C229" s="12"/>
      <c r="D229" s="12"/>
      <c r="E229" s="17"/>
      <c r="F229" s="17"/>
      <c r="G229" s="6"/>
      <c r="H229" s="16"/>
      <c r="I229" s="8"/>
      <c r="J229" s="8"/>
      <c r="K229" s="164"/>
      <c r="L229" s="164"/>
      <c r="M229" s="164"/>
      <c r="N229" s="238"/>
      <c r="O229" s="238"/>
      <c r="P229" s="165"/>
    </row>
    <row r="230" spans="1:16" s="23" customFormat="1" ht="113.25" customHeight="1">
      <c r="A230" s="10" t="s">
        <v>313</v>
      </c>
      <c r="B230" s="10" t="s">
        <v>314</v>
      </c>
      <c r="C230" s="10" t="s">
        <v>148</v>
      </c>
      <c r="D230" s="24" t="s">
        <v>159</v>
      </c>
      <c r="E230" s="55" t="s">
        <v>35</v>
      </c>
      <c r="F230" s="5" t="s">
        <v>366</v>
      </c>
      <c r="G230" s="6">
        <f>SUM(H230+I230)</f>
        <v>51828</v>
      </c>
      <c r="H230" s="16">
        <f>51828</f>
        <v>51828</v>
      </c>
      <c r="I230" s="8">
        <v>0</v>
      </c>
      <c r="J230" s="8">
        <f>I230</f>
        <v>0</v>
      </c>
      <c r="K230" s="164"/>
      <c r="L230" s="164"/>
      <c r="M230" s="164"/>
      <c r="N230" s="238"/>
      <c r="O230" s="238"/>
      <c r="P230" s="165"/>
    </row>
    <row r="231" spans="1:16" s="22" customFormat="1" ht="108" customHeight="1">
      <c r="A231" s="25">
        <v>2717693</v>
      </c>
      <c r="B231" s="20" t="s">
        <v>302</v>
      </c>
      <c r="C231" s="20" t="s">
        <v>125</v>
      </c>
      <c r="D231" s="12" t="s">
        <v>303</v>
      </c>
      <c r="E231" s="328" t="s">
        <v>17</v>
      </c>
      <c r="F231" s="5" t="s">
        <v>365</v>
      </c>
      <c r="G231" s="6">
        <f>SUM(H231+I231)</f>
        <v>7000000</v>
      </c>
      <c r="H231" s="16">
        <v>7000000</v>
      </c>
      <c r="I231" s="8">
        <v>0</v>
      </c>
      <c r="J231" s="8">
        <f>I231</f>
        <v>0</v>
      </c>
      <c r="K231" s="281"/>
      <c r="L231" s="164"/>
      <c r="M231" s="164"/>
      <c r="N231" s="238"/>
      <c r="O231" s="238"/>
      <c r="P231" s="164"/>
    </row>
    <row r="232" spans="1:16" s="22" customFormat="1" ht="93" customHeight="1">
      <c r="A232" s="25">
        <v>2717693</v>
      </c>
      <c r="B232" s="20" t="s">
        <v>302</v>
      </c>
      <c r="C232" s="20" t="s">
        <v>125</v>
      </c>
      <c r="D232" s="12" t="s">
        <v>303</v>
      </c>
      <c r="E232" s="5" t="s">
        <v>23</v>
      </c>
      <c r="F232" s="5" t="s">
        <v>364</v>
      </c>
      <c r="G232" s="6">
        <f>SUM(H232+I232)</f>
        <v>48000</v>
      </c>
      <c r="H232" s="16">
        <v>48000</v>
      </c>
      <c r="I232" s="8">
        <v>0</v>
      </c>
      <c r="J232" s="8">
        <f>I232</f>
        <v>0</v>
      </c>
      <c r="K232" s="281"/>
      <c r="L232" s="164"/>
      <c r="M232" s="164"/>
      <c r="N232" s="238"/>
      <c r="O232" s="238"/>
      <c r="P232" s="164"/>
    </row>
    <row r="233" spans="1:16" s="90" customFormat="1" ht="45.75" customHeight="1">
      <c r="A233" s="61" t="s">
        <v>192</v>
      </c>
      <c r="B233" s="87"/>
      <c r="C233" s="87"/>
      <c r="D233" s="348" t="s">
        <v>213</v>
      </c>
      <c r="E233" s="349"/>
      <c r="F233" s="62" t="s">
        <v>212</v>
      </c>
      <c r="G233" s="57">
        <f>G234</f>
        <v>11795842.27</v>
      </c>
      <c r="H233" s="57">
        <f>H234</f>
        <v>397000</v>
      </c>
      <c r="I233" s="57">
        <f>I234</f>
        <v>11398842.27</v>
      </c>
      <c r="J233" s="57">
        <f>J234</f>
        <v>1152270</v>
      </c>
      <c r="K233" s="159"/>
      <c r="L233" s="159"/>
      <c r="M233" s="159"/>
      <c r="N233" s="231"/>
      <c r="O233" s="231"/>
      <c r="P233" s="159"/>
    </row>
    <row r="234" spans="1:16" s="22" customFormat="1" ht="51" customHeight="1">
      <c r="A234" s="32" t="s">
        <v>193</v>
      </c>
      <c r="B234" s="31"/>
      <c r="C234" s="31"/>
      <c r="D234" s="361" t="s">
        <v>213</v>
      </c>
      <c r="E234" s="362"/>
      <c r="F234" s="33" t="s">
        <v>212</v>
      </c>
      <c r="G234" s="35">
        <f>H234+I234</f>
        <v>11795842.27</v>
      </c>
      <c r="H234" s="35">
        <f>SUM(H235+H236+H237+H238)</f>
        <v>397000</v>
      </c>
      <c r="I234" s="35">
        <f>SUM(I235+I236+I237+I238)</f>
        <v>11398842.27</v>
      </c>
      <c r="J234" s="35">
        <f>SUM(J235+J236+J237+J238)</f>
        <v>1152270</v>
      </c>
      <c r="K234" s="237"/>
      <c r="L234" s="237"/>
      <c r="M234" s="237"/>
      <c r="N234" s="232"/>
      <c r="O234" s="232"/>
      <c r="P234" s="164"/>
    </row>
    <row r="235" spans="1:16" s="22" customFormat="1" ht="98.25" customHeight="1">
      <c r="A235" s="20" t="s">
        <v>289</v>
      </c>
      <c r="B235" s="20" t="s">
        <v>139</v>
      </c>
      <c r="C235" s="20" t="s">
        <v>110</v>
      </c>
      <c r="D235" s="24" t="s">
        <v>258</v>
      </c>
      <c r="E235" s="5" t="s">
        <v>41</v>
      </c>
      <c r="F235" s="5" t="s">
        <v>349</v>
      </c>
      <c r="G235" s="6">
        <f>SUM(H235+I235)</f>
        <v>397000</v>
      </c>
      <c r="H235" s="7">
        <v>397000</v>
      </c>
      <c r="I235" s="15">
        <v>0</v>
      </c>
      <c r="J235" s="15">
        <v>0</v>
      </c>
      <c r="K235" s="164"/>
      <c r="L235" s="164"/>
      <c r="M235" s="164"/>
      <c r="N235" s="238"/>
      <c r="O235" s="238"/>
      <c r="P235" s="164"/>
    </row>
    <row r="236" spans="1:16" s="22" customFormat="1" ht="105" customHeight="1">
      <c r="A236" s="20" t="s">
        <v>282</v>
      </c>
      <c r="B236" s="20" t="s">
        <v>281</v>
      </c>
      <c r="C236" s="10" t="s">
        <v>125</v>
      </c>
      <c r="D236" s="24" t="s">
        <v>158</v>
      </c>
      <c r="E236" s="326" t="s">
        <v>9</v>
      </c>
      <c r="F236" s="5" t="s">
        <v>357</v>
      </c>
      <c r="G236" s="6">
        <f>SUM(H236+I236)</f>
        <v>1152270</v>
      </c>
      <c r="H236" s="7">
        <v>0</v>
      </c>
      <c r="I236" s="15">
        <v>1152270</v>
      </c>
      <c r="J236" s="8">
        <f>I236</f>
        <v>1152270</v>
      </c>
      <c r="K236" s="164"/>
      <c r="L236" s="164"/>
      <c r="M236" s="164"/>
      <c r="N236" s="238"/>
      <c r="O236" s="238"/>
      <c r="P236" s="164"/>
    </row>
    <row r="237" spans="1:16" s="22" customFormat="1" ht="101.25" customHeight="1" hidden="1">
      <c r="A237" s="10"/>
      <c r="B237" s="10"/>
      <c r="C237" s="10"/>
      <c r="D237" s="4"/>
      <c r="E237" s="39"/>
      <c r="F237" s="5" t="s">
        <v>349</v>
      </c>
      <c r="G237" s="43"/>
      <c r="H237" s="18"/>
      <c r="I237" s="19"/>
      <c r="J237" s="19"/>
      <c r="K237" s="164"/>
      <c r="L237" s="164"/>
      <c r="M237" s="164"/>
      <c r="N237" s="238"/>
      <c r="O237" s="238"/>
      <c r="P237" s="164"/>
    </row>
    <row r="238" spans="1:16" s="22" customFormat="1" ht="84" customHeight="1">
      <c r="A238" s="10">
        <v>2818340</v>
      </c>
      <c r="B238" s="10">
        <v>8340</v>
      </c>
      <c r="C238" s="10" t="s">
        <v>143</v>
      </c>
      <c r="D238" s="4" t="s">
        <v>199</v>
      </c>
      <c r="E238" s="39" t="s">
        <v>413</v>
      </c>
      <c r="F238" s="5" t="s">
        <v>356</v>
      </c>
      <c r="G238" s="43">
        <f>SUM(H238+I238)</f>
        <v>10246572.27</v>
      </c>
      <c r="H238" s="18">
        <v>0</v>
      </c>
      <c r="I238" s="18">
        <f>8647500+1599073.08-0.81</f>
        <v>10246572.27</v>
      </c>
      <c r="J238" s="19">
        <v>0</v>
      </c>
      <c r="K238" s="273"/>
      <c r="L238" s="164"/>
      <c r="M238" s="164"/>
      <c r="N238" s="238"/>
      <c r="O238" s="238"/>
      <c r="P238" s="164"/>
    </row>
    <row r="239" spans="1:16" s="90" customFormat="1" ht="63.75" customHeight="1">
      <c r="A239" s="61" t="s">
        <v>290</v>
      </c>
      <c r="B239" s="87"/>
      <c r="C239" s="87"/>
      <c r="D239" s="348" t="s">
        <v>147</v>
      </c>
      <c r="E239" s="349"/>
      <c r="F239" s="62" t="s">
        <v>212</v>
      </c>
      <c r="G239" s="57">
        <f>G240</f>
        <v>4898000</v>
      </c>
      <c r="H239" s="57">
        <f>H240</f>
        <v>398000</v>
      </c>
      <c r="I239" s="57">
        <f>I240</f>
        <v>4500000</v>
      </c>
      <c r="J239" s="57">
        <f>J240</f>
        <v>4500000</v>
      </c>
      <c r="K239" s="159"/>
      <c r="L239" s="159"/>
      <c r="M239" s="159"/>
      <c r="N239" s="231"/>
      <c r="O239" s="231"/>
      <c r="P239" s="159"/>
    </row>
    <row r="240" spans="1:16" s="22" customFormat="1" ht="63" customHeight="1">
      <c r="A240" s="32">
        <v>2910000</v>
      </c>
      <c r="B240" s="31"/>
      <c r="C240" s="31"/>
      <c r="D240" s="343" t="s">
        <v>147</v>
      </c>
      <c r="E240" s="344"/>
      <c r="F240" s="33" t="s">
        <v>212</v>
      </c>
      <c r="G240" s="35">
        <f>H240+I240</f>
        <v>4898000</v>
      </c>
      <c r="H240" s="35">
        <f>SUM(H241+H242+H243+H244)</f>
        <v>398000</v>
      </c>
      <c r="I240" s="35">
        <f>SUM(I241+I242+I243+I244)</f>
        <v>4500000</v>
      </c>
      <c r="J240" s="35">
        <f>SUM(J241+J242+J243+J244)</f>
        <v>4500000</v>
      </c>
      <c r="K240" s="237"/>
      <c r="L240" s="237"/>
      <c r="M240" s="237"/>
      <c r="N240" s="232"/>
      <c r="O240" s="232"/>
      <c r="P240" s="159"/>
    </row>
    <row r="241" spans="1:16" s="22" customFormat="1" ht="99.75" customHeight="1">
      <c r="A241" s="20" t="s">
        <v>291</v>
      </c>
      <c r="B241" s="20" t="s">
        <v>139</v>
      </c>
      <c r="C241" s="20" t="s">
        <v>110</v>
      </c>
      <c r="D241" s="24" t="s">
        <v>258</v>
      </c>
      <c r="E241" s="5" t="s">
        <v>41</v>
      </c>
      <c r="F241" s="5" t="s">
        <v>349</v>
      </c>
      <c r="G241" s="6">
        <f>SUM(H241+I241)</f>
        <v>398000</v>
      </c>
      <c r="H241" s="7">
        <v>398000</v>
      </c>
      <c r="I241" s="15">
        <v>0</v>
      </c>
      <c r="J241" s="15">
        <v>0</v>
      </c>
      <c r="K241" s="237"/>
      <c r="L241" s="164"/>
      <c r="M241" s="164"/>
      <c r="N241" s="238"/>
      <c r="O241" s="238"/>
      <c r="P241" s="164"/>
    </row>
    <row r="242" spans="1:16" s="22" customFormat="1" ht="120" customHeight="1" hidden="1">
      <c r="A242" s="20"/>
      <c r="B242" s="25"/>
      <c r="C242" s="25"/>
      <c r="D242" s="13"/>
      <c r="E242" s="5"/>
      <c r="F242" s="5"/>
      <c r="G242" s="6"/>
      <c r="H242" s="7"/>
      <c r="I242" s="15"/>
      <c r="J242" s="15"/>
      <c r="K242" s="237"/>
      <c r="L242" s="164"/>
      <c r="M242" s="164"/>
      <c r="N242" s="238"/>
      <c r="O242" s="238"/>
      <c r="P242" s="164"/>
    </row>
    <row r="243" spans="1:16" s="22" customFormat="1" ht="84" customHeight="1">
      <c r="A243" s="20" t="s">
        <v>239</v>
      </c>
      <c r="B243" s="12" t="s">
        <v>240</v>
      </c>
      <c r="C243" s="10" t="s">
        <v>141</v>
      </c>
      <c r="D243" s="24" t="s">
        <v>255</v>
      </c>
      <c r="E243" s="5" t="s">
        <v>23</v>
      </c>
      <c r="F243" s="5" t="s">
        <v>424</v>
      </c>
      <c r="G243" s="6">
        <f>SUM(H243+I243)</f>
        <v>500000</v>
      </c>
      <c r="H243" s="7">
        <v>0</v>
      </c>
      <c r="I243" s="15">
        <v>500000</v>
      </c>
      <c r="J243" s="15">
        <f>I243</f>
        <v>500000</v>
      </c>
      <c r="K243" s="237"/>
      <c r="L243" s="164"/>
      <c r="M243" s="164"/>
      <c r="N243" s="238"/>
      <c r="O243" s="238"/>
      <c r="P243" s="164"/>
    </row>
    <row r="244" spans="1:16" s="22" customFormat="1" ht="143.25" customHeight="1">
      <c r="A244" s="10" t="s">
        <v>25</v>
      </c>
      <c r="B244" s="11" t="s">
        <v>26</v>
      </c>
      <c r="C244" s="10" t="s">
        <v>27</v>
      </c>
      <c r="D244" s="51" t="s">
        <v>28</v>
      </c>
      <c r="E244" s="17" t="s">
        <v>29</v>
      </c>
      <c r="F244" s="5" t="s">
        <v>372</v>
      </c>
      <c r="G244" s="6">
        <f>SUM(H244+I244)</f>
        <v>4000000</v>
      </c>
      <c r="H244" s="16"/>
      <c r="I244" s="8">
        <v>4000000</v>
      </c>
      <c r="J244" s="8">
        <f>I244</f>
        <v>4000000</v>
      </c>
      <c r="K244" s="164"/>
      <c r="L244" s="164"/>
      <c r="M244" s="164"/>
      <c r="N244" s="238"/>
      <c r="O244" s="238"/>
      <c r="P244" s="164"/>
    </row>
    <row r="245" spans="1:16" s="110" customFormat="1" ht="114.75" customHeight="1" hidden="1">
      <c r="A245" s="106"/>
      <c r="B245" s="106"/>
      <c r="C245" s="190"/>
      <c r="D245" s="182"/>
      <c r="E245" s="117"/>
      <c r="F245" s="206"/>
      <c r="G245" s="180"/>
      <c r="H245" s="114"/>
      <c r="I245" s="1"/>
      <c r="J245" s="8"/>
      <c r="K245" s="272"/>
      <c r="L245" s="255"/>
      <c r="M245" s="255"/>
      <c r="N245" s="238"/>
      <c r="O245" s="238"/>
      <c r="P245" s="255"/>
    </row>
    <row r="246" spans="1:16" s="90" customFormat="1" ht="55.5" customHeight="1">
      <c r="A246" s="61" t="s">
        <v>131</v>
      </c>
      <c r="B246" s="87"/>
      <c r="C246" s="87"/>
      <c r="D246" s="348" t="s">
        <v>135</v>
      </c>
      <c r="E246" s="349"/>
      <c r="F246" s="62" t="s">
        <v>212</v>
      </c>
      <c r="G246" s="57">
        <f>G247</f>
        <v>2720530</v>
      </c>
      <c r="H246" s="57">
        <f>H247</f>
        <v>2170600</v>
      </c>
      <c r="I246" s="57">
        <f>I247</f>
        <v>549930</v>
      </c>
      <c r="J246" s="57">
        <f>J247</f>
        <v>549930</v>
      </c>
      <c r="K246" s="159"/>
      <c r="L246" s="159"/>
      <c r="M246" s="159"/>
      <c r="N246" s="231"/>
      <c r="O246" s="231"/>
      <c r="P246" s="159"/>
    </row>
    <row r="247" spans="1:16" s="22" customFormat="1" ht="60.75" customHeight="1">
      <c r="A247" s="32" t="s">
        <v>132</v>
      </c>
      <c r="B247" s="31"/>
      <c r="C247" s="31"/>
      <c r="D247" s="343" t="s">
        <v>135</v>
      </c>
      <c r="E247" s="344"/>
      <c r="F247" s="33" t="s">
        <v>212</v>
      </c>
      <c r="G247" s="35">
        <f>H247+I247</f>
        <v>2720530</v>
      </c>
      <c r="H247" s="35">
        <f>SUM(H248+H249+H250+H251+H252+H253+H254+H255+H256+H257+H258)</f>
        <v>2170600</v>
      </c>
      <c r="I247" s="35">
        <f>SUM(I248+I249+I250+I251+I252+I253+I254+I255+I256+I257+I258)</f>
        <v>549930</v>
      </c>
      <c r="J247" s="35">
        <f>SUM(J248+J249+J250+J251+J252+J253+J254+J255+J256+J257+J258)</f>
        <v>549930</v>
      </c>
      <c r="K247" s="237"/>
      <c r="L247" s="237"/>
      <c r="M247" s="237"/>
      <c r="N247" s="232"/>
      <c r="O247" s="232"/>
      <c r="P247" s="164"/>
    </row>
    <row r="248" spans="1:16" s="22" customFormat="1" ht="98.25" customHeight="1">
      <c r="A248" s="20" t="s">
        <v>292</v>
      </c>
      <c r="B248" s="20" t="s">
        <v>139</v>
      </c>
      <c r="C248" s="20" t="s">
        <v>110</v>
      </c>
      <c r="D248" s="24" t="s">
        <v>258</v>
      </c>
      <c r="E248" s="5" t="s">
        <v>41</v>
      </c>
      <c r="F248" s="5" t="s">
        <v>349</v>
      </c>
      <c r="G248" s="6">
        <f>SUM(H248+I248)</f>
        <v>123000</v>
      </c>
      <c r="H248" s="7">
        <v>123000</v>
      </c>
      <c r="I248" s="15">
        <v>0</v>
      </c>
      <c r="J248" s="15">
        <v>0</v>
      </c>
      <c r="K248" s="237"/>
      <c r="L248" s="164"/>
      <c r="M248" s="164"/>
      <c r="N248" s="238"/>
      <c r="O248" s="238"/>
      <c r="P248" s="164"/>
    </row>
    <row r="249" spans="1:16" s="22" customFormat="1" ht="212.25" customHeight="1" hidden="1">
      <c r="A249" s="20"/>
      <c r="B249" s="20"/>
      <c r="C249" s="20"/>
      <c r="D249" s="12"/>
      <c r="E249" s="89"/>
      <c r="F249" s="89"/>
      <c r="G249" s="6"/>
      <c r="H249" s="8"/>
      <c r="I249" s="15"/>
      <c r="J249" s="8"/>
      <c r="K249" s="168"/>
      <c r="L249" s="164"/>
      <c r="M249" s="164"/>
      <c r="N249" s="238"/>
      <c r="O249" s="238"/>
      <c r="P249" s="164"/>
    </row>
    <row r="250" spans="1:16" s="22" customFormat="1" ht="120.75" customHeight="1" hidden="1">
      <c r="A250" s="20"/>
      <c r="B250" s="20"/>
      <c r="C250" s="20"/>
      <c r="D250" s="12"/>
      <c r="E250" s="89"/>
      <c r="F250" s="89"/>
      <c r="G250" s="6"/>
      <c r="H250" s="8"/>
      <c r="I250" s="15"/>
      <c r="J250" s="8"/>
      <c r="K250" s="168"/>
      <c r="L250" s="164"/>
      <c r="M250" s="164"/>
      <c r="N250" s="238"/>
      <c r="O250" s="238"/>
      <c r="P250" s="164"/>
    </row>
    <row r="251" spans="1:16" s="137" customFormat="1" ht="210" customHeight="1" hidden="1">
      <c r="A251" s="2"/>
      <c r="B251" s="2"/>
      <c r="C251" s="2"/>
      <c r="D251" s="2"/>
      <c r="E251" s="49"/>
      <c r="F251" s="49"/>
      <c r="G251" s="43"/>
      <c r="H251" s="19"/>
      <c r="I251" s="19"/>
      <c r="J251" s="19"/>
      <c r="K251" s="282"/>
      <c r="L251" s="239"/>
      <c r="M251" s="283"/>
      <c r="N251" s="241"/>
      <c r="O251" s="241"/>
      <c r="P251" s="239"/>
    </row>
    <row r="252" spans="1:16" s="137" customFormat="1" ht="150" customHeight="1" hidden="1">
      <c r="A252" s="2"/>
      <c r="B252" s="2"/>
      <c r="C252" s="2"/>
      <c r="D252" s="49"/>
      <c r="E252" s="42"/>
      <c r="F252" s="42"/>
      <c r="G252" s="43"/>
      <c r="H252" s="9"/>
      <c r="I252" s="19"/>
      <c r="J252" s="19"/>
      <c r="K252" s="282"/>
      <c r="L252" s="239"/>
      <c r="M252" s="239"/>
      <c r="N252" s="241"/>
      <c r="O252" s="241"/>
      <c r="P252" s="239"/>
    </row>
    <row r="253" spans="1:16" s="137" customFormat="1" ht="150.75" customHeight="1">
      <c r="A253" s="69" t="s">
        <v>299</v>
      </c>
      <c r="B253" s="2" t="s">
        <v>300</v>
      </c>
      <c r="C253" s="2" t="s">
        <v>298</v>
      </c>
      <c r="D253" s="49" t="s">
        <v>301</v>
      </c>
      <c r="E253" s="49" t="s">
        <v>24</v>
      </c>
      <c r="F253" s="5" t="s">
        <v>367</v>
      </c>
      <c r="G253" s="43">
        <f>SUM(H253+I253)</f>
        <v>13600</v>
      </c>
      <c r="H253" s="9">
        <v>13600</v>
      </c>
      <c r="I253" s="19">
        <v>0</v>
      </c>
      <c r="J253" s="19">
        <f aca="true" t="shared" si="9" ref="J253:J258">I253</f>
        <v>0</v>
      </c>
      <c r="K253" s="284"/>
      <c r="L253" s="239"/>
      <c r="M253" s="283"/>
      <c r="N253" s="241"/>
      <c r="O253" s="241"/>
      <c r="P253" s="239"/>
    </row>
    <row r="254" spans="1:16" s="137" customFormat="1" ht="192" customHeight="1" hidden="1">
      <c r="A254" s="2"/>
      <c r="B254" s="2"/>
      <c r="C254" s="2"/>
      <c r="D254" s="49"/>
      <c r="E254" s="49"/>
      <c r="F254" s="49"/>
      <c r="G254" s="43"/>
      <c r="H254" s="19"/>
      <c r="I254" s="19"/>
      <c r="J254" s="19"/>
      <c r="K254" s="282"/>
      <c r="L254" s="239"/>
      <c r="M254" s="283"/>
      <c r="N254" s="241"/>
      <c r="O254" s="241"/>
      <c r="P254" s="239"/>
    </row>
    <row r="255" spans="1:16" s="22" customFormat="1" ht="101.25" customHeight="1">
      <c r="A255" s="10">
        <v>3117130</v>
      </c>
      <c r="B255" s="10">
        <v>7130</v>
      </c>
      <c r="C255" s="10" t="s">
        <v>136</v>
      </c>
      <c r="D255" s="24" t="s">
        <v>196</v>
      </c>
      <c r="E255" s="17" t="s">
        <v>7</v>
      </c>
      <c r="F255" s="5" t="s">
        <v>355</v>
      </c>
      <c r="G255" s="43">
        <f>SUM(H255+I255)</f>
        <v>2000000</v>
      </c>
      <c r="H255" s="16">
        <v>2000000</v>
      </c>
      <c r="I255" s="8">
        <v>0</v>
      </c>
      <c r="J255" s="8">
        <f t="shared" si="9"/>
        <v>0</v>
      </c>
      <c r="K255" s="164"/>
      <c r="L255" s="164"/>
      <c r="M255" s="164"/>
      <c r="N255" s="238"/>
      <c r="O255" s="238"/>
      <c r="P255" s="164"/>
    </row>
    <row r="256" spans="1:16" s="22" customFormat="1" ht="99.75" customHeight="1">
      <c r="A256" s="10">
        <v>3117650</v>
      </c>
      <c r="B256" s="10">
        <v>7650</v>
      </c>
      <c r="C256" s="10" t="s">
        <v>125</v>
      </c>
      <c r="D256" s="24" t="s">
        <v>83</v>
      </c>
      <c r="E256" s="17" t="s">
        <v>7</v>
      </c>
      <c r="F256" s="5" t="s">
        <v>355</v>
      </c>
      <c r="G256" s="6">
        <f>SUM(H256+I256)</f>
        <v>500000</v>
      </c>
      <c r="H256" s="16">
        <v>0</v>
      </c>
      <c r="I256" s="8">
        <f>950000-450000</f>
        <v>500000</v>
      </c>
      <c r="J256" s="8">
        <f t="shared" si="9"/>
        <v>500000</v>
      </c>
      <c r="K256" s="164"/>
      <c r="L256" s="164"/>
      <c r="M256" s="164"/>
      <c r="N256" s="238"/>
      <c r="O256" s="238"/>
      <c r="P256" s="164"/>
    </row>
    <row r="257" spans="1:16" s="22" customFormat="1" ht="150.75" customHeight="1">
      <c r="A257" s="10">
        <v>3117660</v>
      </c>
      <c r="B257" s="10">
        <v>7660</v>
      </c>
      <c r="C257" s="10" t="s">
        <v>125</v>
      </c>
      <c r="D257" s="24" t="s">
        <v>52</v>
      </c>
      <c r="E257" s="17" t="s">
        <v>7</v>
      </c>
      <c r="F257" s="5" t="s">
        <v>355</v>
      </c>
      <c r="G257" s="6">
        <f>SUM(H257+I257)</f>
        <v>49930</v>
      </c>
      <c r="H257" s="16">
        <v>0</v>
      </c>
      <c r="I257" s="8">
        <f>158230-108300</f>
        <v>49930</v>
      </c>
      <c r="J257" s="8">
        <f t="shared" si="9"/>
        <v>49930</v>
      </c>
      <c r="K257" s="164"/>
      <c r="L257" s="164"/>
      <c r="M257" s="164"/>
      <c r="N257" s="238"/>
      <c r="O257" s="238"/>
      <c r="P257" s="164"/>
    </row>
    <row r="258" spans="1:16" s="22" customFormat="1" ht="110.25" customHeight="1">
      <c r="A258" s="20" t="s">
        <v>315</v>
      </c>
      <c r="B258" s="20" t="s">
        <v>302</v>
      </c>
      <c r="C258" s="20" t="s">
        <v>125</v>
      </c>
      <c r="D258" s="12" t="s">
        <v>316</v>
      </c>
      <c r="E258" s="5" t="s">
        <v>16</v>
      </c>
      <c r="F258" s="5" t="s">
        <v>368</v>
      </c>
      <c r="G258" s="6">
        <f>SUM(H258+I258)</f>
        <v>34000</v>
      </c>
      <c r="H258" s="7">
        <v>34000</v>
      </c>
      <c r="I258" s="15">
        <v>0</v>
      </c>
      <c r="J258" s="8">
        <f t="shared" si="9"/>
        <v>0</v>
      </c>
      <c r="K258" s="164"/>
      <c r="L258" s="164"/>
      <c r="M258" s="164"/>
      <c r="N258" s="238"/>
      <c r="O258" s="238"/>
      <c r="P258" s="164"/>
    </row>
    <row r="259" spans="1:16" s="90" customFormat="1" ht="47.25" customHeight="1">
      <c r="A259" s="61" t="s">
        <v>293</v>
      </c>
      <c r="B259" s="87"/>
      <c r="C259" s="87"/>
      <c r="D259" s="348" t="s">
        <v>133</v>
      </c>
      <c r="E259" s="349"/>
      <c r="F259" s="62" t="s">
        <v>212</v>
      </c>
      <c r="G259" s="57">
        <f>G260</f>
        <v>4749000</v>
      </c>
      <c r="H259" s="57">
        <f>H260</f>
        <v>4749000</v>
      </c>
      <c r="I259" s="57">
        <f>I260</f>
        <v>0</v>
      </c>
      <c r="J259" s="57">
        <f>J260</f>
        <v>0</v>
      </c>
      <c r="K259" s="159"/>
      <c r="L259" s="159"/>
      <c r="M259" s="159"/>
      <c r="N259" s="231"/>
      <c r="O259" s="231"/>
      <c r="P259" s="159"/>
    </row>
    <row r="260" spans="1:16" s="22" customFormat="1" ht="48.75" customHeight="1">
      <c r="A260" s="32" t="s">
        <v>294</v>
      </c>
      <c r="B260" s="31"/>
      <c r="C260" s="31"/>
      <c r="D260" s="343" t="s">
        <v>133</v>
      </c>
      <c r="E260" s="344"/>
      <c r="F260" s="33" t="s">
        <v>212</v>
      </c>
      <c r="G260" s="35">
        <f>H260+I260</f>
        <v>4749000</v>
      </c>
      <c r="H260" s="35">
        <f>H261+H262</f>
        <v>4749000</v>
      </c>
      <c r="I260" s="35">
        <f>I261+I262</f>
        <v>0</v>
      </c>
      <c r="J260" s="35">
        <f>J261+J262</f>
        <v>0</v>
      </c>
      <c r="K260" s="232"/>
      <c r="L260" s="232"/>
      <c r="M260" s="232"/>
      <c r="N260" s="232"/>
      <c r="O260" s="232"/>
      <c r="P260" s="164"/>
    </row>
    <row r="261" spans="1:16" s="22" customFormat="1" ht="105" customHeight="1">
      <c r="A261" s="10" t="s">
        <v>295</v>
      </c>
      <c r="B261" s="20" t="s">
        <v>139</v>
      </c>
      <c r="C261" s="10" t="s">
        <v>110</v>
      </c>
      <c r="D261" s="24" t="s">
        <v>258</v>
      </c>
      <c r="E261" s="5" t="s">
        <v>41</v>
      </c>
      <c r="F261" s="5" t="s">
        <v>349</v>
      </c>
      <c r="G261" s="6">
        <f>SUM(H261+I261)</f>
        <v>4549000</v>
      </c>
      <c r="H261" s="7">
        <f>3049000+1000000+500000</f>
        <v>4549000</v>
      </c>
      <c r="I261" s="8">
        <v>0</v>
      </c>
      <c r="J261" s="8">
        <v>0</v>
      </c>
      <c r="K261" s="164"/>
      <c r="L261" s="164"/>
      <c r="M261" s="164"/>
      <c r="N261" s="238"/>
      <c r="O261" s="238"/>
      <c r="P261" s="164"/>
    </row>
    <row r="262" spans="1:16" s="22" customFormat="1" ht="87" customHeight="1">
      <c r="A262" s="10">
        <v>3216030</v>
      </c>
      <c r="B262" s="10">
        <v>6030</v>
      </c>
      <c r="C262" s="10" t="s">
        <v>113</v>
      </c>
      <c r="D262" s="24" t="s">
        <v>226</v>
      </c>
      <c r="E262" s="13" t="s">
        <v>13</v>
      </c>
      <c r="F262" s="5" t="s">
        <v>353</v>
      </c>
      <c r="G262" s="21">
        <f>H262+I262</f>
        <v>200000</v>
      </c>
      <c r="H262" s="15">
        <v>200000</v>
      </c>
      <c r="I262" s="8">
        <v>0</v>
      </c>
      <c r="J262" s="8">
        <f>I262</f>
        <v>0</v>
      </c>
      <c r="K262" s="164"/>
      <c r="L262" s="164"/>
      <c r="M262" s="164"/>
      <c r="N262" s="238"/>
      <c r="O262" s="238"/>
      <c r="P262" s="164"/>
    </row>
    <row r="263" spans="1:16" s="90" customFormat="1" ht="49.5" customHeight="1">
      <c r="A263" s="61" t="s">
        <v>197</v>
      </c>
      <c r="B263" s="87"/>
      <c r="C263" s="87"/>
      <c r="D263" s="348" t="s">
        <v>134</v>
      </c>
      <c r="E263" s="349"/>
      <c r="F263" s="62" t="s">
        <v>212</v>
      </c>
      <c r="G263" s="57">
        <f>G264</f>
        <v>8222000</v>
      </c>
      <c r="H263" s="57">
        <f>H264</f>
        <v>8222000</v>
      </c>
      <c r="I263" s="57">
        <f>I264</f>
        <v>0</v>
      </c>
      <c r="J263" s="57">
        <f>J264</f>
        <v>0</v>
      </c>
      <c r="K263" s="159"/>
      <c r="L263" s="159"/>
      <c r="M263" s="159"/>
      <c r="N263" s="231"/>
      <c r="O263" s="231"/>
      <c r="P263" s="159"/>
    </row>
    <row r="264" spans="1:16" s="22" customFormat="1" ht="57.75" customHeight="1">
      <c r="A264" s="32" t="s">
        <v>198</v>
      </c>
      <c r="B264" s="31"/>
      <c r="C264" s="31"/>
      <c r="D264" s="343" t="s">
        <v>134</v>
      </c>
      <c r="E264" s="344"/>
      <c r="F264" s="33" t="s">
        <v>212</v>
      </c>
      <c r="G264" s="35">
        <f>H264+I264</f>
        <v>8222000</v>
      </c>
      <c r="H264" s="35">
        <f>H265+H266+H267+H268</f>
        <v>8222000</v>
      </c>
      <c r="I264" s="35">
        <f>I265+I266+I267+I268</f>
        <v>0</v>
      </c>
      <c r="J264" s="35">
        <f>J265+J266+J267+J268</f>
        <v>0</v>
      </c>
      <c r="K264" s="237"/>
      <c r="L264" s="237"/>
      <c r="M264" s="237"/>
      <c r="N264" s="232"/>
      <c r="O264" s="232"/>
      <c r="P264" s="164"/>
    </row>
    <row r="265" spans="1:16" s="22" customFormat="1" ht="99.75" customHeight="1">
      <c r="A265" s="20" t="s">
        <v>296</v>
      </c>
      <c r="B265" s="20" t="s">
        <v>139</v>
      </c>
      <c r="C265" s="20" t="s">
        <v>110</v>
      </c>
      <c r="D265" s="24" t="s">
        <v>258</v>
      </c>
      <c r="E265" s="5" t="s">
        <v>40</v>
      </c>
      <c r="F265" s="5" t="s">
        <v>349</v>
      </c>
      <c r="G265" s="21">
        <f>H265+I265</f>
        <v>257000</v>
      </c>
      <c r="H265" s="7">
        <v>257000</v>
      </c>
      <c r="I265" s="15">
        <v>0</v>
      </c>
      <c r="J265" s="15">
        <v>0</v>
      </c>
      <c r="K265" s="237"/>
      <c r="L265" s="164"/>
      <c r="M265" s="164"/>
      <c r="N265" s="238"/>
      <c r="O265" s="238"/>
      <c r="P265" s="164"/>
    </row>
    <row r="266" spans="1:16" s="22" customFormat="1" ht="165" customHeight="1" hidden="1">
      <c r="A266" s="20"/>
      <c r="B266" s="10"/>
      <c r="C266" s="10"/>
      <c r="D266" s="24"/>
      <c r="E266" s="17"/>
      <c r="F266" s="17"/>
      <c r="G266" s="21"/>
      <c r="H266" s="16"/>
      <c r="I266" s="15"/>
      <c r="J266" s="8"/>
      <c r="K266" s="237"/>
      <c r="L266" s="164"/>
      <c r="M266" s="164"/>
      <c r="N266" s="238"/>
      <c r="O266" s="238"/>
      <c r="P266" s="164"/>
    </row>
    <row r="267" spans="1:16" s="22" customFormat="1" ht="213" customHeight="1">
      <c r="A267" s="20" t="s">
        <v>156</v>
      </c>
      <c r="B267" s="10">
        <v>6020</v>
      </c>
      <c r="C267" s="10" t="s">
        <v>113</v>
      </c>
      <c r="D267" s="24" t="s">
        <v>206</v>
      </c>
      <c r="E267" s="17" t="s">
        <v>333</v>
      </c>
      <c r="F267" s="5" t="s">
        <v>354</v>
      </c>
      <c r="G267" s="21">
        <f>H267+I267</f>
        <v>7965000</v>
      </c>
      <c r="H267" s="16">
        <v>7965000</v>
      </c>
      <c r="I267" s="15">
        <v>0</v>
      </c>
      <c r="J267" s="8">
        <f>I267</f>
        <v>0</v>
      </c>
      <c r="K267" s="164"/>
      <c r="L267" s="164"/>
      <c r="M267" s="164"/>
      <c r="N267" s="238"/>
      <c r="O267" s="238"/>
      <c r="P267" s="164"/>
    </row>
    <row r="268" spans="1:16" s="22" customFormat="1" ht="129" customHeight="1" hidden="1">
      <c r="A268" s="10"/>
      <c r="B268" s="10"/>
      <c r="C268" s="10"/>
      <c r="D268" s="24"/>
      <c r="E268" s="17"/>
      <c r="F268" s="17"/>
      <c r="G268" s="21"/>
      <c r="H268" s="16"/>
      <c r="I268" s="8"/>
      <c r="J268" s="8"/>
      <c r="K268" s="164"/>
      <c r="L268" s="164"/>
      <c r="M268" s="164"/>
      <c r="N268" s="238"/>
      <c r="O268" s="238"/>
      <c r="P268" s="164"/>
    </row>
    <row r="269" spans="1:16" s="90" customFormat="1" ht="39" customHeight="1">
      <c r="A269" s="61">
        <v>3700000</v>
      </c>
      <c r="B269" s="87"/>
      <c r="C269" s="61"/>
      <c r="D269" s="339" t="s">
        <v>227</v>
      </c>
      <c r="E269" s="340"/>
      <c r="F269" s="99" t="s">
        <v>212</v>
      </c>
      <c r="G269" s="30">
        <f>G270</f>
        <v>6323000</v>
      </c>
      <c r="H269" s="30">
        <f>H270</f>
        <v>3289500</v>
      </c>
      <c r="I269" s="30">
        <f>I270</f>
        <v>3033500</v>
      </c>
      <c r="J269" s="30">
        <f>J270</f>
        <v>3033500</v>
      </c>
      <c r="K269" s="159"/>
      <c r="L269" s="159"/>
      <c r="M269" s="159"/>
      <c r="N269" s="231"/>
      <c r="O269" s="231"/>
      <c r="P269" s="159"/>
    </row>
    <row r="270" spans="1:16" s="90" customFormat="1" ht="36" customHeight="1">
      <c r="A270" s="32">
        <v>3710000</v>
      </c>
      <c r="B270" s="31"/>
      <c r="C270" s="32"/>
      <c r="D270" s="343" t="s">
        <v>227</v>
      </c>
      <c r="E270" s="344"/>
      <c r="F270" s="33" t="s">
        <v>212</v>
      </c>
      <c r="G270" s="35">
        <f>H270+I270</f>
        <v>6323000</v>
      </c>
      <c r="H270" s="35">
        <f>H271+H274+H275+H276</f>
        <v>3289500</v>
      </c>
      <c r="I270" s="35">
        <f>I271+I274+I275+I276</f>
        <v>3033500</v>
      </c>
      <c r="J270" s="35">
        <f>J271+J274+J275+J276</f>
        <v>3033500</v>
      </c>
      <c r="K270" s="232"/>
      <c r="L270" s="232"/>
      <c r="M270" s="232"/>
      <c r="N270" s="232"/>
      <c r="O270" s="232"/>
      <c r="P270" s="159"/>
    </row>
    <row r="271" spans="1:16" s="22" customFormat="1" ht="93" customHeight="1">
      <c r="A271" s="25">
        <v>3710180</v>
      </c>
      <c r="B271" s="20" t="s">
        <v>139</v>
      </c>
      <c r="C271" s="20" t="s">
        <v>110</v>
      </c>
      <c r="D271" s="24" t="s">
        <v>258</v>
      </c>
      <c r="E271" s="5" t="s">
        <v>41</v>
      </c>
      <c r="F271" s="5" t="s">
        <v>349</v>
      </c>
      <c r="G271" s="6">
        <f>SUM(H271+I271)</f>
        <v>123000</v>
      </c>
      <c r="H271" s="7">
        <v>123000</v>
      </c>
      <c r="I271" s="8">
        <v>0</v>
      </c>
      <c r="J271" s="8">
        <v>0</v>
      </c>
      <c r="K271" s="164"/>
      <c r="L271" s="164"/>
      <c r="M271" s="164"/>
      <c r="N271" s="238"/>
      <c r="O271" s="238"/>
      <c r="P271" s="164"/>
    </row>
    <row r="272" spans="1:16" s="22" customFormat="1" ht="59.25" customHeight="1" hidden="1">
      <c r="A272" s="10"/>
      <c r="B272" s="10"/>
      <c r="C272" s="10"/>
      <c r="D272" s="207"/>
      <c r="E272" s="357"/>
      <c r="F272" s="357"/>
      <c r="G272" s="6"/>
      <c r="H272" s="7"/>
      <c r="I272" s="8"/>
      <c r="J272" s="8"/>
      <c r="K272" s="164"/>
      <c r="L272" s="164"/>
      <c r="M272" s="164"/>
      <c r="N272" s="238"/>
      <c r="O272" s="238"/>
      <c r="P272" s="164"/>
    </row>
    <row r="273" spans="1:16" s="110" customFormat="1" ht="81" customHeight="1" hidden="1">
      <c r="A273" s="106"/>
      <c r="B273" s="106"/>
      <c r="C273" s="190"/>
      <c r="D273" s="105"/>
      <c r="E273" s="357"/>
      <c r="F273" s="357"/>
      <c r="G273" s="180"/>
      <c r="H273" s="114"/>
      <c r="I273" s="1"/>
      <c r="J273" s="8"/>
      <c r="K273" s="272"/>
      <c r="L273" s="255"/>
      <c r="M273" s="255"/>
      <c r="N273" s="238"/>
      <c r="O273" s="238"/>
      <c r="P273" s="255"/>
    </row>
    <row r="274" spans="1:16" s="22" customFormat="1" ht="134.25" customHeight="1">
      <c r="A274" s="25" t="s">
        <v>270</v>
      </c>
      <c r="B274" s="20">
        <v>9800</v>
      </c>
      <c r="C274" s="20" t="s">
        <v>139</v>
      </c>
      <c r="D274" s="24" t="s">
        <v>271</v>
      </c>
      <c r="E274" s="5" t="s">
        <v>411</v>
      </c>
      <c r="F274" s="5" t="s">
        <v>412</v>
      </c>
      <c r="G274" s="6">
        <f>SUM(H274+I274)</f>
        <v>5300000</v>
      </c>
      <c r="H274" s="7">
        <f>2481500-190000</f>
        <v>2291500</v>
      </c>
      <c r="I274" s="8">
        <f>2818500+190000</f>
        <v>3008500</v>
      </c>
      <c r="J274" s="8">
        <f>I274</f>
        <v>3008500</v>
      </c>
      <c r="K274" s="280"/>
      <c r="L274" s="237"/>
      <c r="M274" s="237"/>
      <c r="N274" s="237"/>
      <c r="O274" s="238"/>
      <c r="P274" s="164"/>
    </row>
    <row r="275" spans="1:16" s="22" customFormat="1" ht="154.5" customHeight="1">
      <c r="A275" s="25" t="s">
        <v>270</v>
      </c>
      <c r="B275" s="20">
        <v>9800</v>
      </c>
      <c r="C275" s="20" t="s">
        <v>139</v>
      </c>
      <c r="D275" s="24" t="s">
        <v>271</v>
      </c>
      <c r="E275" s="5" t="s">
        <v>410</v>
      </c>
      <c r="F275" s="5" t="s">
        <v>420</v>
      </c>
      <c r="G275" s="6">
        <f>SUM(H275+I275)</f>
        <v>400000</v>
      </c>
      <c r="H275" s="7">
        <v>375000</v>
      </c>
      <c r="I275" s="8">
        <v>25000</v>
      </c>
      <c r="J275" s="8">
        <f>I275</f>
        <v>25000</v>
      </c>
      <c r="K275" s="237"/>
      <c r="L275" s="237"/>
      <c r="M275" s="164"/>
      <c r="N275" s="238"/>
      <c r="O275" s="238"/>
      <c r="P275" s="164"/>
    </row>
    <row r="276" spans="1:16" s="22" customFormat="1" ht="137.25" customHeight="1">
      <c r="A276" s="25" t="s">
        <v>270</v>
      </c>
      <c r="B276" s="20">
        <v>9800</v>
      </c>
      <c r="C276" s="20" t="s">
        <v>139</v>
      </c>
      <c r="D276" s="24" t="s">
        <v>271</v>
      </c>
      <c r="E276" s="42" t="s">
        <v>408</v>
      </c>
      <c r="F276" s="5" t="s">
        <v>409</v>
      </c>
      <c r="G276" s="6">
        <f>SUM(H276+I276)</f>
        <v>500000</v>
      </c>
      <c r="H276" s="7">
        <v>500000</v>
      </c>
      <c r="I276" s="8">
        <v>0</v>
      </c>
      <c r="J276" s="8">
        <f>I276</f>
        <v>0</v>
      </c>
      <c r="K276" s="164"/>
      <c r="L276" s="164"/>
      <c r="M276" s="164"/>
      <c r="N276" s="238"/>
      <c r="O276" s="238"/>
      <c r="P276" s="164"/>
    </row>
    <row r="277" spans="1:16" s="91" customFormat="1" ht="45.75" customHeight="1">
      <c r="A277" s="31" t="s">
        <v>81</v>
      </c>
      <c r="B277" s="31" t="s">
        <v>81</v>
      </c>
      <c r="C277" s="31" t="s">
        <v>81</v>
      </c>
      <c r="D277" s="72" t="s">
        <v>82</v>
      </c>
      <c r="E277" s="33" t="s">
        <v>81</v>
      </c>
      <c r="F277" s="33" t="s">
        <v>81</v>
      </c>
      <c r="G277" s="70">
        <f>H277+I277</f>
        <v>1117433587.27</v>
      </c>
      <c r="H277" s="70">
        <f>H17+H26+H49+H89+H112+H122+H137+H142+H210+H214+H217+H226+H233+H239+H246+H259+H263+H269</f>
        <v>896918700</v>
      </c>
      <c r="I277" s="70">
        <f>I17+I26+I49+I89+I112+I122+I137+I142+I210+I214+I217+I226+I233+I239+I246+I259+I263+I269</f>
        <v>220514887.27</v>
      </c>
      <c r="J277" s="70">
        <f>J17+J26+J49+J89+J112+J122+J137+J142+J210+J214+J217+J226+J233+J239+J246+J259+J263+J269</f>
        <v>199993204</v>
      </c>
      <c r="K277" s="285"/>
      <c r="L277" s="285"/>
      <c r="M277" s="285"/>
      <c r="N277" s="285"/>
      <c r="O277" s="285"/>
      <c r="P277" s="274"/>
    </row>
    <row r="278" spans="1:16" s="77" customFormat="1" ht="63" customHeight="1">
      <c r="A278" s="79"/>
      <c r="B278" s="80"/>
      <c r="C278" s="80"/>
      <c r="D278" s="81"/>
      <c r="E278" s="82"/>
      <c r="F278" s="82"/>
      <c r="G278" s="83"/>
      <c r="H278" s="83"/>
      <c r="I278" s="83"/>
      <c r="J278" s="83"/>
      <c r="K278" s="285"/>
      <c r="L278" s="285"/>
      <c r="M278" s="285"/>
      <c r="N278" s="285"/>
      <c r="O278" s="285"/>
      <c r="P278" s="286"/>
    </row>
    <row r="279" spans="1:16" s="208" customFormat="1" ht="84" customHeight="1">
      <c r="A279" s="341" t="s">
        <v>280</v>
      </c>
      <c r="B279" s="341"/>
      <c r="C279" s="341"/>
      <c r="D279" s="341"/>
      <c r="E279" s="341"/>
      <c r="F279" s="84"/>
      <c r="G279" s="85"/>
      <c r="H279" s="337" t="s">
        <v>42</v>
      </c>
      <c r="I279" s="338"/>
      <c r="J279" s="338"/>
      <c r="K279" s="287"/>
      <c r="L279" s="288"/>
      <c r="M279" s="288"/>
      <c r="N279" s="289"/>
      <c r="O279" s="289"/>
      <c r="P279" s="290"/>
    </row>
    <row r="280" spans="1:16" s="77" customFormat="1" ht="23.25" customHeight="1">
      <c r="A280" s="342"/>
      <c r="B280" s="342"/>
      <c r="C280" s="342"/>
      <c r="D280" s="342"/>
      <c r="E280" s="209"/>
      <c r="F280" s="209"/>
      <c r="G280" s="210"/>
      <c r="H280" s="211"/>
      <c r="I280" s="346"/>
      <c r="J280" s="346"/>
      <c r="K280" s="291"/>
      <c r="L280" s="291"/>
      <c r="M280" s="164"/>
      <c r="N280" s="292"/>
      <c r="O280" s="292"/>
      <c r="P280" s="286"/>
    </row>
    <row r="281" spans="1:15" s="295" customFormat="1" ht="26.25" customHeight="1">
      <c r="A281" s="302"/>
      <c r="B281" s="303"/>
      <c r="C281" s="303"/>
      <c r="D281" s="304"/>
      <c r="E281" s="222"/>
      <c r="F281" s="222"/>
      <c r="G281" s="345"/>
      <c r="H281" s="345"/>
      <c r="I281" s="345"/>
      <c r="J281" s="345"/>
      <c r="K281" s="293"/>
      <c r="L281" s="293"/>
      <c r="M281" s="164"/>
      <c r="N281" s="294"/>
      <c r="O281" s="294"/>
    </row>
    <row r="282" spans="1:15" s="295" customFormat="1" ht="34.5" customHeight="1">
      <c r="A282" s="302"/>
      <c r="B282" s="303"/>
      <c r="C282" s="303"/>
      <c r="D282" s="304"/>
      <c r="E282" s="222"/>
      <c r="F282" s="222"/>
      <c r="G282" s="345"/>
      <c r="H282" s="345"/>
      <c r="I282" s="305"/>
      <c r="J282" s="305"/>
      <c r="K282" s="58"/>
      <c r="L282" s="293"/>
      <c r="M282" s="293"/>
      <c r="N282" s="294"/>
      <c r="O282" s="294"/>
    </row>
    <row r="283" spans="1:15" s="295" customFormat="1" ht="18.75">
      <c r="A283" s="302"/>
      <c r="B283" s="303"/>
      <c r="C283" s="303"/>
      <c r="D283" s="304"/>
      <c r="E283" s="222"/>
      <c r="F283" s="218"/>
      <c r="G283" s="266"/>
      <c r="H283" s="266"/>
      <c r="I283" s="266"/>
      <c r="J283" s="266"/>
      <c r="K283" s="296"/>
      <c r="L283" s="293"/>
      <c r="M283" s="293"/>
      <c r="N283" s="294"/>
      <c r="O283" s="294"/>
    </row>
    <row r="284" spans="1:15" s="295" customFormat="1" ht="18.75">
      <c r="A284" s="302"/>
      <c r="B284" s="303"/>
      <c r="C284" s="303"/>
      <c r="D284" s="304"/>
      <c r="E284" s="222"/>
      <c r="F284" s="218"/>
      <c r="G284" s="219"/>
      <c r="H284" s="219"/>
      <c r="I284" s="219"/>
      <c r="J284" s="219"/>
      <c r="K284" s="296"/>
      <c r="L284" s="293"/>
      <c r="M284" s="293"/>
      <c r="N284" s="294"/>
      <c r="O284" s="294"/>
    </row>
    <row r="285" spans="1:15" s="295" customFormat="1" ht="18.75">
      <c r="A285" s="302"/>
      <c r="B285" s="303"/>
      <c r="C285" s="303"/>
      <c r="D285" s="304"/>
      <c r="E285" s="222"/>
      <c r="F285" s="218"/>
      <c r="G285" s="266"/>
      <c r="H285" s="266"/>
      <c r="I285" s="266"/>
      <c r="J285" s="266"/>
      <c r="K285" s="296"/>
      <c r="L285" s="293"/>
      <c r="M285" s="293"/>
      <c r="N285" s="294"/>
      <c r="O285" s="294"/>
    </row>
    <row r="286" spans="1:15" s="299" customFormat="1" ht="20.25">
      <c r="A286" s="306"/>
      <c r="B286" s="307"/>
      <c r="C286" s="307"/>
      <c r="D286" s="308"/>
      <c r="E286" s="309"/>
      <c r="F286" s="218"/>
      <c r="G286" s="266"/>
      <c r="H286" s="266"/>
      <c r="I286" s="266"/>
      <c r="J286" s="266"/>
      <c r="K286" s="296"/>
      <c r="L286" s="297"/>
      <c r="M286" s="297"/>
      <c r="N286" s="298"/>
      <c r="O286" s="298"/>
    </row>
    <row r="287" spans="1:15" s="295" customFormat="1" ht="18.75">
      <c r="A287" s="302"/>
      <c r="B287" s="303"/>
      <c r="C287" s="303"/>
      <c r="D287" s="304"/>
      <c r="E287" s="222"/>
      <c r="F287" s="218"/>
      <c r="G287" s="266"/>
      <c r="H287" s="266"/>
      <c r="I287" s="266"/>
      <c r="J287" s="266"/>
      <c r="K287" s="296"/>
      <c r="L287" s="293"/>
      <c r="M287" s="293"/>
      <c r="N287" s="294"/>
      <c r="O287" s="294"/>
    </row>
    <row r="288" spans="1:15" s="295" customFormat="1" ht="18.75">
      <c r="A288" s="302"/>
      <c r="B288" s="303"/>
      <c r="C288" s="303"/>
      <c r="D288" s="304"/>
      <c r="E288" s="222"/>
      <c r="F288" s="218"/>
      <c r="G288" s="266"/>
      <c r="H288" s="266"/>
      <c r="I288" s="266"/>
      <c r="J288" s="266"/>
      <c r="K288" s="296"/>
      <c r="L288" s="293"/>
      <c r="M288" s="293"/>
      <c r="N288" s="294"/>
      <c r="O288" s="294"/>
    </row>
    <row r="289" spans="1:15" s="295" customFormat="1" ht="18.75">
      <c r="A289" s="302"/>
      <c r="B289" s="303"/>
      <c r="C289" s="303"/>
      <c r="D289" s="304"/>
      <c r="E289" s="222"/>
      <c r="F289" s="218"/>
      <c r="G289" s="266"/>
      <c r="H289" s="266"/>
      <c r="I289" s="266"/>
      <c r="J289" s="266"/>
      <c r="K289" s="296"/>
      <c r="L289" s="293"/>
      <c r="M289" s="293"/>
      <c r="N289" s="294"/>
      <c r="O289" s="294"/>
    </row>
    <row r="290" spans="1:15" s="295" customFormat="1" ht="24.75" customHeight="1">
      <c r="A290" s="302"/>
      <c r="B290" s="303"/>
      <c r="C290" s="303"/>
      <c r="D290" s="304"/>
      <c r="E290" s="222"/>
      <c r="F290" s="310"/>
      <c r="G290" s="311"/>
      <c r="H290" s="311"/>
      <c r="I290" s="311"/>
      <c r="J290" s="311"/>
      <c r="K290" s="296"/>
      <c r="L290" s="293"/>
      <c r="M290" s="293"/>
      <c r="N290" s="294"/>
      <c r="O290" s="300"/>
    </row>
    <row r="291" spans="1:15" s="295" customFormat="1" ht="18.75">
      <c r="A291" s="302"/>
      <c r="B291" s="303"/>
      <c r="C291" s="303"/>
      <c r="D291" s="304"/>
      <c r="E291" s="222"/>
      <c r="F291" s="218"/>
      <c r="G291" s="219"/>
      <c r="H291" s="219"/>
      <c r="I291" s="219"/>
      <c r="J291" s="219"/>
      <c r="K291" s="296"/>
      <c r="L291" s="293"/>
      <c r="M291" s="293"/>
      <c r="N291" s="294"/>
      <c r="O291" s="294"/>
    </row>
    <row r="292" spans="1:15" s="295" customFormat="1" ht="24" customHeight="1">
      <c r="A292" s="302"/>
      <c r="B292" s="303"/>
      <c r="C292" s="303"/>
      <c r="D292" s="304"/>
      <c r="E292" s="222"/>
      <c r="F292" s="218"/>
      <c r="G292" s="219"/>
      <c r="H292" s="219"/>
      <c r="I292" s="219"/>
      <c r="J292" s="219"/>
      <c r="K292" s="296"/>
      <c r="L292" s="293"/>
      <c r="M292" s="293"/>
      <c r="N292" s="294"/>
      <c r="O292" s="294"/>
    </row>
    <row r="293" spans="1:15" s="295" customFormat="1" ht="18.75">
      <c r="A293" s="302"/>
      <c r="B293" s="303"/>
      <c r="C293" s="303"/>
      <c r="D293" s="304"/>
      <c r="E293" s="222"/>
      <c r="F293" s="220"/>
      <c r="G293" s="221"/>
      <c r="H293" s="221"/>
      <c r="I293" s="221"/>
      <c r="J293" s="221"/>
      <c r="K293" s="301"/>
      <c r="L293" s="293"/>
      <c r="M293" s="293"/>
      <c r="N293" s="294"/>
      <c r="O293" s="294"/>
    </row>
    <row r="294" spans="1:15" s="295" customFormat="1" ht="13.5">
      <c r="A294" s="302"/>
      <c r="B294" s="303"/>
      <c r="C294" s="303"/>
      <c r="D294" s="304"/>
      <c r="E294" s="222"/>
      <c r="F294" s="222"/>
      <c r="G294" s="223"/>
      <c r="H294" s="224"/>
      <c r="I294" s="225"/>
      <c r="J294" s="225"/>
      <c r="K294" s="293"/>
      <c r="L294" s="293"/>
      <c r="M294" s="293"/>
      <c r="N294" s="294"/>
      <c r="O294" s="294"/>
    </row>
    <row r="295" spans="1:15" s="295" customFormat="1" ht="18.75">
      <c r="A295" s="302"/>
      <c r="B295" s="303"/>
      <c r="C295" s="303"/>
      <c r="D295" s="304"/>
      <c r="E295" s="222"/>
      <c r="F295" s="222"/>
      <c r="G295" s="221"/>
      <c r="H295" s="221"/>
      <c r="I295" s="221"/>
      <c r="J295" s="221"/>
      <c r="K295" s="293"/>
      <c r="L295" s="293"/>
      <c r="M295" s="293"/>
      <c r="N295" s="294"/>
      <c r="O295" s="294"/>
    </row>
    <row r="296" spans="1:15" s="295" customFormat="1" ht="13.5">
      <c r="A296" s="302"/>
      <c r="B296" s="303"/>
      <c r="C296" s="303"/>
      <c r="D296" s="304"/>
      <c r="E296" s="222"/>
      <c r="F296" s="222"/>
      <c r="G296" s="312"/>
      <c r="H296" s="313"/>
      <c r="I296" s="313"/>
      <c r="J296" s="313"/>
      <c r="K296" s="293"/>
      <c r="L296" s="293"/>
      <c r="M296" s="293"/>
      <c r="N296" s="294"/>
      <c r="O296" s="294"/>
    </row>
    <row r="297" spans="1:15" s="295" customFormat="1" ht="25.5" customHeight="1">
      <c r="A297" s="302"/>
      <c r="B297" s="303"/>
      <c r="C297" s="303"/>
      <c r="D297" s="304"/>
      <c r="E297" s="222"/>
      <c r="F297" s="222"/>
      <c r="G297" s="312"/>
      <c r="H297" s="313"/>
      <c r="I297" s="313"/>
      <c r="J297" s="313"/>
      <c r="K297" s="293"/>
      <c r="L297" s="293"/>
      <c r="M297" s="293"/>
      <c r="N297" s="294"/>
      <c r="O297" s="294"/>
    </row>
    <row r="298" spans="1:15" s="295" customFormat="1" ht="20.25">
      <c r="A298" s="302"/>
      <c r="B298" s="303"/>
      <c r="C298" s="303"/>
      <c r="D298" s="304"/>
      <c r="E298" s="222"/>
      <c r="F298" s="314"/>
      <c r="G298" s="315"/>
      <c r="H298" s="316"/>
      <c r="I298" s="316"/>
      <c r="J298" s="316"/>
      <c r="K298" s="293"/>
      <c r="L298" s="293"/>
      <c r="M298" s="293"/>
      <c r="N298" s="294"/>
      <c r="O298" s="294"/>
    </row>
    <row r="299" spans="1:15" s="295" customFormat="1" ht="18">
      <c r="A299" s="302"/>
      <c r="B299" s="303"/>
      <c r="C299" s="303"/>
      <c r="D299" s="304"/>
      <c r="E299" s="222"/>
      <c r="F299" s="317"/>
      <c r="G299" s="223"/>
      <c r="H299" s="224"/>
      <c r="I299" s="316"/>
      <c r="J299" s="316"/>
      <c r="K299" s="318"/>
      <c r="L299" s="318"/>
      <c r="M299" s="318"/>
      <c r="N299" s="294"/>
      <c r="O299" s="294"/>
    </row>
    <row r="300" spans="1:15" s="295" customFormat="1" ht="13.5">
      <c r="A300" s="302"/>
      <c r="B300" s="303"/>
      <c r="C300" s="303"/>
      <c r="D300" s="304"/>
      <c r="E300" s="222"/>
      <c r="F300" s="222"/>
      <c r="G300" s="312"/>
      <c r="H300" s="313"/>
      <c r="I300" s="313"/>
      <c r="J300" s="313"/>
      <c r="K300" s="319"/>
      <c r="L300" s="318"/>
      <c r="M300" s="318"/>
      <c r="N300" s="294"/>
      <c r="O300" s="294"/>
    </row>
    <row r="301" spans="1:15" s="295" customFormat="1" ht="13.5">
      <c r="A301" s="302"/>
      <c r="B301" s="303"/>
      <c r="C301" s="303"/>
      <c r="D301" s="304"/>
      <c r="E301" s="222"/>
      <c r="F301" s="222"/>
      <c r="G301" s="312"/>
      <c r="H301" s="313"/>
      <c r="I301" s="313"/>
      <c r="J301" s="313"/>
      <c r="K301" s="319"/>
      <c r="L301" s="318"/>
      <c r="M301" s="318"/>
      <c r="N301" s="294"/>
      <c r="O301" s="294"/>
    </row>
    <row r="302" spans="1:15" s="295" customFormat="1" ht="13.5">
      <c r="A302" s="302"/>
      <c r="B302" s="303"/>
      <c r="C302" s="303"/>
      <c r="D302" s="304"/>
      <c r="E302" s="222"/>
      <c r="F302" s="222"/>
      <c r="G302" s="312"/>
      <c r="H302" s="313"/>
      <c r="I302" s="313"/>
      <c r="J302" s="313"/>
      <c r="K302" s="318"/>
      <c r="L302" s="318"/>
      <c r="M302" s="318"/>
      <c r="N302" s="294"/>
      <c r="O302" s="294"/>
    </row>
    <row r="303" spans="1:15" s="295" customFormat="1" ht="13.5">
      <c r="A303" s="302"/>
      <c r="B303" s="303"/>
      <c r="C303" s="303"/>
      <c r="D303" s="304"/>
      <c r="E303" s="222"/>
      <c r="F303" s="320"/>
      <c r="G303" s="312"/>
      <c r="H303" s="313"/>
      <c r="I303" s="313"/>
      <c r="J303" s="313"/>
      <c r="K303" s="321"/>
      <c r="L303" s="293"/>
      <c r="M303" s="293"/>
      <c r="N303" s="294"/>
      <c r="O303" s="294"/>
    </row>
    <row r="304" spans="1:15" s="295" customFormat="1" ht="13.5">
      <c r="A304" s="302"/>
      <c r="B304" s="303"/>
      <c r="C304" s="303"/>
      <c r="D304" s="304"/>
      <c r="E304" s="222"/>
      <c r="F304" s="222"/>
      <c r="G304" s="312"/>
      <c r="H304" s="313"/>
      <c r="I304" s="313"/>
      <c r="J304" s="313"/>
      <c r="K304" s="293"/>
      <c r="L304" s="293"/>
      <c r="M304" s="293"/>
      <c r="N304" s="294"/>
      <c r="O304" s="294"/>
    </row>
    <row r="305" spans="1:15" s="295" customFormat="1" ht="13.5">
      <c r="A305" s="302"/>
      <c r="B305" s="303"/>
      <c r="C305" s="303"/>
      <c r="D305" s="304"/>
      <c r="E305" s="222"/>
      <c r="F305" s="222"/>
      <c r="G305" s="312"/>
      <c r="H305" s="313"/>
      <c r="I305" s="313"/>
      <c r="J305" s="313"/>
      <c r="K305" s="293"/>
      <c r="L305" s="293"/>
      <c r="M305" s="293"/>
      <c r="N305" s="294"/>
      <c r="O305" s="294"/>
    </row>
    <row r="306" spans="1:15" s="295" customFormat="1" ht="13.5">
      <c r="A306" s="302"/>
      <c r="B306" s="303"/>
      <c r="C306" s="303"/>
      <c r="D306" s="304"/>
      <c r="E306" s="222"/>
      <c r="F306" s="320"/>
      <c r="G306" s="312"/>
      <c r="H306" s="313"/>
      <c r="I306" s="313"/>
      <c r="J306" s="313"/>
      <c r="K306" s="293"/>
      <c r="L306" s="293"/>
      <c r="M306" s="293"/>
      <c r="N306" s="294"/>
      <c r="O306" s="294"/>
    </row>
    <row r="307" spans="1:15" s="295" customFormat="1" ht="21">
      <c r="A307" s="302"/>
      <c r="B307" s="303"/>
      <c r="C307" s="303"/>
      <c r="D307" s="304"/>
      <c r="E307" s="222"/>
      <c r="F307" s="222"/>
      <c r="G307" s="312"/>
      <c r="H307" s="313"/>
      <c r="I307" s="313"/>
      <c r="J307" s="313"/>
      <c r="K307" s="322"/>
      <c r="L307" s="293"/>
      <c r="M307" s="321"/>
      <c r="N307" s="294"/>
      <c r="O307" s="294"/>
    </row>
    <row r="308" spans="1:15" s="295" customFormat="1" ht="13.5">
      <c r="A308" s="302"/>
      <c r="B308" s="303"/>
      <c r="C308" s="303"/>
      <c r="D308" s="304"/>
      <c r="E308" s="222"/>
      <c r="F308" s="320"/>
      <c r="G308" s="312"/>
      <c r="H308" s="313"/>
      <c r="I308" s="313"/>
      <c r="J308" s="313"/>
      <c r="K308" s="293"/>
      <c r="L308" s="293"/>
      <c r="M308" s="293"/>
      <c r="N308" s="294"/>
      <c r="O308" s="294"/>
    </row>
    <row r="309" spans="1:15" s="295" customFormat="1" ht="13.5">
      <c r="A309" s="302"/>
      <c r="B309" s="303"/>
      <c r="C309" s="303"/>
      <c r="D309" s="304"/>
      <c r="E309" s="222"/>
      <c r="F309" s="222"/>
      <c r="G309" s="312"/>
      <c r="H309" s="313"/>
      <c r="I309" s="313"/>
      <c r="J309" s="313"/>
      <c r="K309" s="293"/>
      <c r="L309" s="293"/>
      <c r="M309" s="293"/>
      <c r="N309" s="294"/>
      <c r="O309" s="294"/>
    </row>
    <row r="310" spans="1:15" s="295" customFormat="1" ht="13.5">
      <c r="A310" s="302"/>
      <c r="B310" s="303"/>
      <c r="C310" s="303"/>
      <c r="D310" s="304"/>
      <c r="E310" s="222"/>
      <c r="F310" s="222"/>
      <c r="G310" s="312"/>
      <c r="H310" s="313"/>
      <c r="I310" s="313"/>
      <c r="J310" s="313"/>
      <c r="K310" s="293"/>
      <c r="L310" s="293"/>
      <c r="M310" s="293"/>
      <c r="N310" s="294"/>
      <c r="O310" s="294"/>
    </row>
    <row r="311" spans="1:15" s="295" customFormat="1" ht="16.5">
      <c r="A311" s="302"/>
      <c r="B311" s="303"/>
      <c r="C311" s="303"/>
      <c r="D311" s="304"/>
      <c r="E311" s="222"/>
      <c r="F311" s="222"/>
      <c r="G311" s="312"/>
      <c r="H311" s="323"/>
      <c r="I311" s="323"/>
      <c r="J311" s="323"/>
      <c r="K311" s="293"/>
      <c r="L311" s="293"/>
      <c r="M311" s="293"/>
      <c r="N311" s="294"/>
      <c r="O311" s="294"/>
    </row>
    <row r="312" spans="1:15" s="295" customFormat="1" ht="25.5" customHeight="1">
      <c r="A312" s="302"/>
      <c r="B312" s="303"/>
      <c r="C312" s="303"/>
      <c r="D312" s="304"/>
      <c r="E312" s="222"/>
      <c r="F312" s="222"/>
      <c r="G312" s="336"/>
      <c r="H312" s="336"/>
      <c r="I312" s="324"/>
      <c r="J312" s="324"/>
      <c r="K312" s="312"/>
      <c r="L312" s="293"/>
      <c r="M312" s="312"/>
      <c r="N312" s="294"/>
      <c r="O312" s="294"/>
    </row>
  </sheetData>
  <sheetProtection/>
  <mergeCells count="112">
    <mergeCell ref="E183:E184"/>
    <mergeCell ref="F183:F184"/>
    <mergeCell ref="F92:F98"/>
    <mergeCell ref="E69:E70"/>
    <mergeCell ref="E71:E83"/>
    <mergeCell ref="A105:A106"/>
    <mergeCell ref="F69:F70"/>
    <mergeCell ref="F71:F83"/>
    <mergeCell ref="E92:E98"/>
    <mergeCell ref="F99:F100"/>
    <mergeCell ref="C97:C98"/>
    <mergeCell ref="E99:E100"/>
    <mergeCell ref="A107:A109"/>
    <mergeCell ref="D112:E112"/>
    <mergeCell ref="A97:A98"/>
    <mergeCell ref="B107:B109"/>
    <mergeCell ref="C107:C109"/>
    <mergeCell ref="D107:D109"/>
    <mergeCell ref="A102:A103"/>
    <mergeCell ref="B105:B106"/>
    <mergeCell ref="C105:C106"/>
    <mergeCell ref="D105:D106"/>
    <mergeCell ref="D90:E90"/>
    <mergeCell ref="F52:F62"/>
    <mergeCell ref="F42:F47"/>
    <mergeCell ref="E52:E63"/>
    <mergeCell ref="E64:E68"/>
    <mergeCell ref="F64:F68"/>
    <mergeCell ref="D89:E89"/>
    <mergeCell ref="E42:E47"/>
    <mergeCell ref="D50:E50"/>
    <mergeCell ref="D49:E49"/>
    <mergeCell ref="C19:C20"/>
    <mergeCell ref="E12:E15"/>
    <mergeCell ref="E37:E40"/>
    <mergeCell ref="D12:D15"/>
    <mergeCell ref="E29:E34"/>
    <mergeCell ref="D27:E27"/>
    <mergeCell ref="F37:F40"/>
    <mergeCell ref="I12:J14"/>
    <mergeCell ref="D17:E17"/>
    <mergeCell ref="D19:D20"/>
    <mergeCell ref="D26:E26"/>
    <mergeCell ref="F29:F35"/>
    <mergeCell ref="D227:E227"/>
    <mergeCell ref="D234:E234"/>
    <mergeCell ref="I1:J1"/>
    <mergeCell ref="A8:J8"/>
    <mergeCell ref="A12:A15"/>
    <mergeCell ref="B12:B15"/>
    <mergeCell ref="C12:C15"/>
    <mergeCell ref="G12:G15"/>
    <mergeCell ref="H12:H15"/>
    <mergeCell ref="I5:J5"/>
    <mergeCell ref="E115:E121"/>
    <mergeCell ref="F115:F121"/>
    <mergeCell ref="A19:A20"/>
    <mergeCell ref="B19:B20"/>
    <mergeCell ref="D264:E264"/>
    <mergeCell ref="D211:E211"/>
    <mergeCell ref="D137:E137"/>
    <mergeCell ref="E189:E190"/>
    <mergeCell ref="D143:E143"/>
    <mergeCell ref="D113:E113"/>
    <mergeCell ref="A9:J9"/>
    <mergeCell ref="I2:J2"/>
    <mergeCell ref="I3:J3"/>
    <mergeCell ref="I4:J4"/>
    <mergeCell ref="A10:J10"/>
    <mergeCell ref="D18:E18"/>
    <mergeCell ref="I6:J6"/>
    <mergeCell ref="F12:F15"/>
    <mergeCell ref="D123:E123"/>
    <mergeCell ref="D122:E122"/>
    <mergeCell ref="D259:E259"/>
    <mergeCell ref="D233:E233"/>
    <mergeCell ref="D246:E246"/>
    <mergeCell ref="D218:E218"/>
    <mergeCell ref="D215:E215"/>
    <mergeCell ref="D247:E247"/>
    <mergeCell ref="D138:E138"/>
    <mergeCell ref="D239:E239"/>
    <mergeCell ref="E125:E126"/>
    <mergeCell ref="F125:F126"/>
    <mergeCell ref="F272:F273"/>
    <mergeCell ref="E272:E273"/>
    <mergeCell ref="D263:E263"/>
    <mergeCell ref="D217:E217"/>
    <mergeCell ref="D226:E226"/>
    <mergeCell ref="D210:E210"/>
    <mergeCell ref="F189:F190"/>
    <mergeCell ref="D240:E240"/>
    <mergeCell ref="I281:J281"/>
    <mergeCell ref="G281:G282"/>
    <mergeCell ref="H281:H282"/>
    <mergeCell ref="I280:J280"/>
    <mergeCell ref="K115:K116"/>
    <mergeCell ref="D142:E142"/>
    <mergeCell ref="D214:E214"/>
    <mergeCell ref="F129:F135"/>
    <mergeCell ref="E129:E135"/>
    <mergeCell ref="D260:E260"/>
    <mergeCell ref="C102:C103"/>
    <mergeCell ref="B97:B98"/>
    <mergeCell ref="D102:D103"/>
    <mergeCell ref="B102:B103"/>
    <mergeCell ref="G312:H312"/>
    <mergeCell ref="H279:J279"/>
    <mergeCell ref="D269:E269"/>
    <mergeCell ref="A279:E279"/>
    <mergeCell ref="A280:D280"/>
    <mergeCell ref="D270:E270"/>
  </mergeCells>
  <printOptions horizontalCentered="1"/>
  <pageMargins left="0.3937007874015748" right="0.4330708661417323" top="0.5511811023622047" bottom="0.3937007874015748" header="0.3937007874015748" footer="0"/>
  <pageSetup fitToHeight="18" fitToWidth="1" horizontalDpi="600" verticalDpi="600" orientation="landscape" paperSize="9" scale="47" r:id="rId1"/>
  <headerFooter differentFirst="1">
    <oddHeader>&amp;C&amp;"Times New Roman,обычный"&amp;12&amp;P&amp;R&amp;"Times New Roman,обычный"&amp;12Продовження додатка 6</oddHeader>
  </headerFooter>
  <rowBreaks count="2" manualBreakCount="2">
    <brk id="101" max="9" man="1"/>
    <brk id="27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2022-03-02T10:50:02Z</cp:lastPrinted>
  <dcterms:created xsi:type="dcterms:W3CDTF">2016-11-29T09:37:01Z</dcterms:created>
  <dcterms:modified xsi:type="dcterms:W3CDTF">2022-03-02T10:50:28Z</dcterms:modified>
  <cp:category/>
  <cp:version/>
  <cp:contentType/>
  <cp:contentStatus/>
</cp:coreProperties>
</file>