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270" windowWidth="11220" windowHeight="8970" activeTab="0"/>
  </bookViews>
  <sheets>
    <sheet name="Лист1" sheetId="1" r:id="rId1"/>
  </sheets>
  <definedNames>
    <definedName name="_xlnm.Print_Area" localSheetId="0">'Лист1'!$A$1:$P$537</definedName>
  </definedNames>
  <calcPr fullCalcOnLoad="1"/>
</workbook>
</file>

<file path=xl/sharedStrings.xml><?xml version="1.0" encoding="utf-8"?>
<sst xmlns="http://schemas.openxmlformats.org/spreadsheetml/2006/main" count="1189" uniqueCount="383">
  <si>
    <t>РОЗПОДІЛ</t>
  </si>
  <si>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</si>
  <si>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</si>
  <si>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</si>
  <si>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</si>
  <si>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</si>
  <si>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</si>
  <si>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</si>
  <si>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</si>
  <si>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</si>
  <si>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</si>
  <si>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</si>
  <si>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</si>
  <si>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</si>
  <si>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</si>
  <si>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</si>
  <si>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t>
  </si>
  <si>
    <t>0111</t>
  </si>
  <si>
    <t>010116</t>
  </si>
  <si>
    <t>Органи місцевого самоврядування</t>
  </si>
  <si>
    <t>0830</t>
  </si>
  <si>
    <t>120201</t>
  </si>
  <si>
    <t>Періодичні видання (газети та журнали)</t>
  </si>
  <si>
    <t>10</t>
  </si>
  <si>
    <t>0910</t>
  </si>
  <si>
    <t>070101</t>
  </si>
  <si>
    <t>Дошкільні заклади освіти</t>
  </si>
  <si>
    <t>0921</t>
  </si>
  <si>
    <t>070201</t>
  </si>
  <si>
    <t>Загальноосвітні школи (в т. ч. школа-дитячий садок, інтернат при школі), спеціалізовані школи, ліцеї, гімназії, колегіуми</t>
  </si>
  <si>
    <t>0922</t>
  </si>
  <si>
    <t>070301</t>
  </si>
  <si>
    <t>Загальноосвітні школи-інтернати, загальноосвітні санаторні школи-інтернати</t>
  </si>
  <si>
    <t>0960</t>
  </si>
  <si>
    <t>070401</t>
  </si>
  <si>
    <t>Позашкільні заклади освіти, заходи із позашкільної роботи з дітьми</t>
  </si>
  <si>
    <t>0990</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</si>
  <si>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</si>
  <si>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</si>
  <si>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</si>
  <si>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</si>
  <si>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070808</t>
  </si>
  <si>
    <t>Допомога дітям-сиротам та дітям, позбавленим батьківського піклування, яким виповнюється 18 років</t>
  </si>
  <si>
    <t>0810</t>
  </si>
  <si>
    <t>130107</t>
  </si>
  <si>
    <t>Утримання та навчально-тренувальна робота дитячо-юнацьких спортивних шкіл</t>
  </si>
  <si>
    <t>0180</t>
  </si>
  <si>
    <t>11</t>
  </si>
  <si>
    <t>1040</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</si>
  <si>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</si>
  <si>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</si>
  <si>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</si>
  <si>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</si>
  <si>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</si>
  <si>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</si>
  <si>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091106</t>
  </si>
  <si>
    <t>Інші видатки</t>
  </si>
  <si>
    <t>091107</t>
  </si>
  <si>
    <t>Соціальні програми і заходи державних органів у справах сім`ї</t>
  </si>
  <si>
    <t>130102</t>
  </si>
  <si>
    <t>Проведення навчально-тренувальних зборів і змагань</t>
  </si>
  <si>
    <t>130104</t>
  </si>
  <si>
    <t>Видатки на утримання центрів з інвалідного спорту і реабілітаційних шкіл</t>
  </si>
  <si>
    <t>130105</t>
  </si>
  <si>
    <t>Проведення навчально-тренувальних зборів і змагань та заходів з інвалідного спорту</t>
  </si>
  <si>
    <t>130106</t>
  </si>
  <si>
    <t>Проведення навчально-тренувальних зборів і змагань з неолімпійських видів спорту</t>
  </si>
  <si>
    <t>130110</t>
  </si>
  <si>
    <t>Фінансова підтримка спортивних споруд</t>
  </si>
  <si>
    <t>130112</t>
  </si>
  <si>
    <t>130115</t>
  </si>
  <si>
    <t>Центри `Спорт для всіх` та заходи з фізичної культури</t>
  </si>
  <si>
    <t>130204</t>
  </si>
  <si>
    <t>Утримання апарату управління громадських фізкультурно-спортивних організацій</t>
  </si>
  <si>
    <t>14</t>
  </si>
  <si>
    <t>0726</t>
  </si>
  <si>
    <t>080800</t>
  </si>
  <si>
    <t>Центри первинної медичної (медико-санітарної) допомоги</t>
  </si>
  <si>
    <t>0763</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</si>
  <si>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</si>
  <si>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</si>
  <si>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</si>
  <si>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</si>
  <si>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15</t>
  </si>
  <si>
    <t>070303</t>
  </si>
  <si>
    <t>Дитячі будинки (в т. ч. сімейного типу, прийомні сім`ї)</t>
  </si>
  <si>
    <t>1030</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</si>
  <si>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</si>
  <si>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</si>
  <si>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</si>
  <si>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</si>
  <si>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</si>
  <si>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</si>
  <si>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</si>
  <si>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1070</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</si>
  <si>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</si>
  <si>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</si>
  <si>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</si>
  <si>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</si>
  <si>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</si>
  <si>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</si>
  <si>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</si>
  <si>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</si>
  <si>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</si>
  <si>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</si>
  <si>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</si>
  <si>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</si>
  <si>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</si>
  <si>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</si>
  <si>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</si>
  <si>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</si>
  <si>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</si>
  <si>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</si>
  <si>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</si>
  <si>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</si>
  <si>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</si>
  <si>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</si>
  <si>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</si>
  <si>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</si>
  <si>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</si>
  <si>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</si>
  <si>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</si>
  <si>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</si>
  <si>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1060</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</si>
  <si>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</si>
  <si>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</si>
  <si>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</si>
  <si>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</si>
  <si>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</si>
  <si>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</si>
  <si>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1090</t>
  </si>
  <si>
    <t>090412</t>
  </si>
  <si>
    <t>Інші видатки на соціальний захист населення</t>
  </si>
  <si>
    <t>1010</t>
  </si>
  <si>
    <t>090413</t>
  </si>
  <si>
    <t>Допомога на догляд за інвалідом I чи II групи внаслідок психічного розладу</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</si>
  <si>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</si>
  <si>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</si>
  <si>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</si>
  <si>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</si>
  <si>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</si>
  <si>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</si>
  <si>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</si>
  <si>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</si>
  <si>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091214</t>
  </si>
  <si>
    <t>Інші установи та заклади</t>
  </si>
  <si>
    <t>091300</t>
  </si>
  <si>
    <t>Державна соціальна допомога інвалідам з дитинства та дітям-інвалідам</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</si>
  <si>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</si>
  <si>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</si>
  <si>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</si>
  <si>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</si>
  <si>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170602</t>
  </si>
  <si>
    <t>Компенсаційні виплати на пільговий проїзд електротранспортом окремим категоріям громадян</t>
  </si>
  <si>
    <t>20</t>
  </si>
  <si>
    <t>090700</t>
  </si>
  <si>
    <t>Утримання закладів, що надають соціальні послуги дітям, які опинились в складних життєвих обставинах</t>
  </si>
  <si>
    <t>090802</t>
  </si>
  <si>
    <t>Інші програми соціального захисту дітей</t>
  </si>
  <si>
    <t>24</t>
  </si>
  <si>
    <t>0821</t>
  </si>
  <si>
    <t>110102</t>
  </si>
  <si>
    <t>Театри</t>
  </si>
  <si>
    <t>0822</t>
  </si>
  <si>
    <t>110103</t>
  </si>
  <si>
    <t>Філармонії, музичні колективи і ансамблі та інші мистецькі заклади та заходи</t>
  </si>
  <si>
    <t>0824</t>
  </si>
  <si>
    <t>110201</t>
  </si>
  <si>
    <t>Бібліотеки</t>
  </si>
  <si>
    <t>110202</t>
  </si>
  <si>
    <t>Музеї і виставки</t>
  </si>
  <si>
    <t>110205</t>
  </si>
  <si>
    <t>Школи естетичного виховання дітей</t>
  </si>
  <si>
    <t>0829</t>
  </si>
  <si>
    <t>110502</t>
  </si>
  <si>
    <t>Інші культурно-освітні заклади та заходи</t>
  </si>
  <si>
    <t>29</t>
  </si>
  <si>
    <t>32</t>
  </si>
  <si>
    <t>0411</t>
  </si>
  <si>
    <t>180404</t>
  </si>
  <si>
    <t>Підтримка малого і середнього підприємництва</t>
  </si>
  <si>
    <t>45</t>
  </si>
  <si>
    <t>0421</t>
  </si>
  <si>
    <t>160101</t>
  </si>
  <si>
    <t>Землеустрій</t>
  </si>
  <si>
    <t>0133</t>
  </si>
  <si>
    <t>250404</t>
  </si>
  <si>
    <t>47</t>
  </si>
  <si>
    <t>0610</t>
  </si>
  <si>
    <t>100101</t>
  </si>
  <si>
    <t>Житлово-експлуатаційне господарство</t>
  </si>
  <si>
    <t>0620</t>
  </si>
  <si>
    <t>100203</t>
  </si>
  <si>
    <t>Благоустрій міст, сіл, селищ</t>
  </si>
  <si>
    <t>100301</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</si>
  <si>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</si>
  <si>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</si>
  <si>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0456</t>
  </si>
  <si>
    <t>170703</t>
  </si>
  <si>
    <t>Видатки на проведення робіт, пов`язаних із будівництвом, реконструкцією, ремонтом та утриманням автомобільних доріг</t>
  </si>
  <si>
    <t>48</t>
  </si>
  <si>
    <t>0443</t>
  </si>
  <si>
    <t>150202</t>
  </si>
  <si>
    <t>Розробка схем та проектних рішень масового застосування</t>
  </si>
  <si>
    <t>60</t>
  </si>
  <si>
    <t>0511</t>
  </si>
  <si>
    <t>240601</t>
  </si>
  <si>
    <t>Охорона та раціональне використання природних ресурсів</t>
  </si>
  <si>
    <t>0512</t>
  </si>
  <si>
    <t>240602</t>
  </si>
  <si>
    <t>Утилізація відходів</t>
  </si>
  <si>
    <t>0513</t>
  </si>
  <si>
    <t>240603</t>
  </si>
  <si>
    <t>Ліквідація іншого забруднення навколишнього природного середовища</t>
  </si>
  <si>
    <t>0540</t>
  </si>
  <si>
    <t>240604</t>
  </si>
  <si>
    <t>Інша діяльність у сфері охорони навколишнього природного середовища</t>
  </si>
  <si>
    <t>65</t>
  </si>
  <si>
    <t>0455</t>
  </si>
  <si>
    <t>170603</t>
  </si>
  <si>
    <t>Інші заходи у сфері електротранспорту</t>
  </si>
  <si>
    <t>0320</t>
  </si>
  <si>
    <t>210105</t>
  </si>
  <si>
    <t>Видатки на запобігання та ліквідацію надзвичайних ситуацій та наслідків стихійного лиха</t>
  </si>
  <si>
    <t>73</t>
  </si>
  <si>
    <t>75</t>
  </si>
  <si>
    <t>76</t>
  </si>
  <si>
    <t>250102</t>
  </si>
  <si>
    <t>Резервний фонд</t>
  </si>
  <si>
    <t>250301</t>
  </si>
  <si>
    <t>Реверсна дотація</t>
  </si>
  <si>
    <t xml:space="preserve"> </t>
  </si>
  <si>
    <t>Лікарні</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</si>
  <si>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</si>
  <si>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Поліклініки і амбулаторії (крім спеціалізованих поліклінік та загальних і спеціалізованих стоматологічних поліклінік)</t>
  </si>
  <si>
    <t>Загальні і спеціалізовані стоматологічні поліклініки</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</si>
  <si>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</si>
  <si>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</si>
  <si>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</si>
  <si>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</si>
  <si>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Капiтальний ремонт житлового фонду мiсцевих органiв влади</t>
  </si>
  <si>
    <t>Водопровідно-каналізаційне господарство </t>
  </si>
  <si>
    <t>0490</t>
  </si>
  <si>
    <t>Капiтальнi вкладення</t>
  </si>
  <si>
    <t>Проведення невідкладних відновлювальних робіт, будівництво та реконструкція  загальноосвітніх навчальних закладів</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</si>
  <si>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</si>
  <si>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Інші субвенції</t>
  </si>
  <si>
    <t>0451</t>
  </si>
  <si>
    <t>Інші заходи у сфері автомобільного транспорту</t>
  </si>
  <si>
    <t>Фінансування енергозберігаючих заходів</t>
  </si>
  <si>
    <t>080201</t>
  </si>
  <si>
    <t>080300</t>
  </si>
  <si>
    <t>080500</t>
  </si>
  <si>
    <t>080101</t>
  </si>
  <si>
    <t>0731</t>
  </si>
  <si>
    <t>0732</t>
  </si>
  <si>
    <t>0721</t>
  </si>
  <si>
    <t>0722</t>
  </si>
  <si>
    <t>Капітальні вкладення</t>
  </si>
  <si>
    <t>Проведення невідкладних відновлювальних робіт, будівництво та реконструкція  позашкільних навчальних закладів</t>
  </si>
  <si>
    <t>в т.ч. за рахунок освітньої субвенції з державного бюджету місцевим бюджетам</t>
  </si>
  <si>
    <t>в тому числі за рахунок медичної субвенції з державного бюджету місцевим бюджетам</t>
  </si>
  <si>
    <t>в т.ч.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</si>
  <si>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в т.ч.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</si>
  <si>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в т. ч.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</si>
  <si>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в т. ч.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</si>
  <si>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в т.ч.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</si>
  <si>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t>
  </si>
  <si>
    <t>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</si>
  <si>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виконання доручень, наданих виборцям депутатами обласної ради у 2015 році</t>
  </si>
  <si>
    <t>в т.ч. на проведення проміжних виборів депутатів обласної ради у мажоритарних виборчих округах</t>
  </si>
  <si>
    <t xml:space="preserve">Теплові мережі </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</si>
  <si>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</si>
  <si>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</si>
  <si>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150110</t>
  </si>
  <si>
    <t>150112</t>
  </si>
  <si>
    <t>Секретар міської ради</t>
  </si>
  <si>
    <t>в т.ч.за рунок додаткової дотації</t>
  </si>
  <si>
    <t>в т.ч. за рахунок додаткової дотації</t>
  </si>
  <si>
    <t>в т.ч. виконання доручень, наданих виборцям депутатами обласної ради у 2015 році</t>
  </si>
  <si>
    <t>в т.ч.виконання доручень, наданих виборцям депутатами обласної ради у 2015 році</t>
  </si>
  <si>
    <t>в т.ч. за рахунок субвенції на утримання об'єктів спільного користування чи ліквідацію негативних наслідків діяльності об'єктів спільного користування</t>
  </si>
  <si>
    <t>0470</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</si>
  <si>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</si>
  <si>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Інші природоохоронні заходи</t>
  </si>
  <si>
    <t xml:space="preserve">в т.ч. за рахунок субвенції з обласного бюджету на здійснення заходів щодо соціально-економічного розвитку </t>
  </si>
  <si>
    <t>в т.ч. за рахунок субвенції з обласного бюджету на природоохоронні заходи</t>
  </si>
  <si>
    <t xml:space="preserve">Субвенція іншим бюджетам на виконання інвестиційних проектів </t>
  </si>
  <si>
    <t xml:space="preserve">Телебачення і радіомовлення </t>
  </si>
  <si>
    <t>Житлове будівництво та придбання житла для окремих категорій населення</t>
  </si>
  <si>
    <t>в т.ч. за рахунок субвенції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брали участь у зазначеній операції, та потребують поліпшення житлових умов</t>
  </si>
  <si>
    <t>Проведення виборів депутатів місцевих рад та сільських, селищних, міських голів</t>
  </si>
  <si>
    <t>Субвенція державного бюджету місцевим бюджетам на проведення виборів депутатів місцевих рад та сільських, селищних, міських голів</t>
  </si>
  <si>
    <t>0160</t>
  </si>
  <si>
    <t>в т.ч. за рахунок субвенції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</si>
  <si>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в т.ч. за рахунок субвенції з державного бюджету місцевим бюджетам на здійснення заходів щодо соціально-економічного розвитку окремих територій</t>
  </si>
  <si>
    <t>в т.ч.субвенції з державного бюджету місцевим бюджетам на здійснення заходів щодо соціально-економічного розвитку окремих територій</t>
  </si>
  <si>
    <t>0301</t>
  </si>
  <si>
    <t xml:space="preserve">Проведення виборів депутатів місцевих рад та сільських, селищних, міських голів </t>
  </si>
  <si>
    <t xml:space="preserve"> 0302</t>
  </si>
  <si>
    <t>Адміністрація Дніпровського району</t>
  </si>
  <si>
    <t xml:space="preserve">Проведення виборів депутатів місцевих рад та сільських,селищних, міських голів </t>
  </si>
  <si>
    <t xml:space="preserve"> 0303</t>
  </si>
  <si>
    <t>Адміністрація Заводського району</t>
  </si>
  <si>
    <t>250203</t>
  </si>
  <si>
    <t xml:space="preserve"> 1501</t>
  </si>
  <si>
    <t>Органи місцевого самоврядуванняня</t>
  </si>
  <si>
    <t xml:space="preserve">Фінансова підтримка громадських організацій інвалідів і ветеранів </t>
  </si>
  <si>
    <t> 091204</t>
  </si>
  <si>
    <t>1020 </t>
  </si>
  <si>
    <t>Територіальні центри соціального обслуговування  (надання соціальних послуг)</t>
  </si>
  <si>
    <t xml:space="preserve"> 1502</t>
  </si>
  <si>
    <t>091204</t>
  </si>
  <si>
    <t>Територіальні центри соціального обслуговування (надання соціальних послуг)</t>
  </si>
  <si>
    <t xml:space="preserve"> 1503</t>
  </si>
  <si>
    <t>1020</t>
  </si>
  <si>
    <t>Територіальні центри срціального обслуговування (надання соціальних послуг)</t>
  </si>
  <si>
    <t xml:space="preserve"> 2001</t>
  </si>
  <si>
    <t>010116 </t>
  </si>
  <si>
    <t>0111 </t>
  </si>
  <si>
    <t xml:space="preserve"> 2002</t>
  </si>
  <si>
    <t xml:space="preserve"> 2003</t>
  </si>
  <si>
    <t xml:space="preserve"> 7502</t>
  </si>
  <si>
    <t>Фінансовий відділ Дніпровського району</t>
  </si>
  <si>
    <t xml:space="preserve"> 7501</t>
  </si>
  <si>
    <t xml:space="preserve"> Фінансовий відділ Баглійського району</t>
  </si>
  <si>
    <t xml:space="preserve"> 7503</t>
  </si>
  <si>
    <t>Фінансовий відділ Заводського району</t>
  </si>
  <si>
    <t>Додаток 3</t>
  </si>
  <si>
    <t>видатків (місцевий) на 2016 рік</t>
  </si>
  <si>
    <t>О.Ю.ЗАЛЕВСЬКИЙ</t>
  </si>
  <si>
    <t>Професійно-технічні заклади освіти</t>
  </si>
  <si>
    <t>070501</t>
  </si>
  <si>
    <t>до рішення  міської ради</t>
  </si>
  <si>
    <t>( у редакції міської ради</t>
  </si>
  <si>
    <t>від 25.12.2015 №12-03/УІІ )</t>
  </si>
  <si>
    <t>090501</t>
  </si>
  <si>
    <t>1050</t>
  </si>
  <si>
    <t>Організація та проведення громадських робіт</t>
  </si>
  <si>
    <t xml:space="preserve"> у тому числі субвенція з обласного бюджету до місцевих бюджетів на виконання доручень виборців</t>
  </si>
  <si>
    <t>у тому числі стабілізаційна дотація</t>
  </si>
  <si>
    <t>в т.ч. за рахунок субвенції з обласного бюджету місцевим бюджетам на розроблення проектів землеустрою для учасників бойових дій, які брали безпосередню участь в антитерористичній операції, забезпеченні її проведення, та членам сімей загиблих учасників бойових дій</t>
  </si>
  <si>
    <t>Служба у справах дітей адміністрації Південного району</t>
  </si>
  <si>
    <t>Управління державного архітектурно-будівельного контролю міської ради</t>
  </si>
  <si>
    <t>в т.ч. виконання доручень, наданих виборцям депутатами обласної ради у 2016 році</t>
  </si>
  <si>
    <t>Адміністрація Південного району</t>
  </si>
  <si>
    <t>Служба у справах дітей адміністрації Дніпровського району</t>
  </si>
  <si>
    <t>Служба у справах дітей адміністрації Заводського району</t>
  </si>
  <si>
    <t xml:space="preserve">в т.ч. за рахунок залишку коштів освітньої субвенції, що утворився на початок бюджетного періоду на видання,придбання, зберегання і доставку підручників і посібників для учнів загальноосвітніх навчальних закладів  </t>
  </si>
  <si>
    <t>070805</t>
  </si>
  <si>
    <t>Групи централізованого господарського обслуговування</t>
  </si>
  <si>
    <t>«Субвенція з місцевого бюджету державному бюджету на виконання програм соціально-економічного та культурного розвитку регіонів»</t>
  </si>
  <si>
    <t>Міська рада</t>
  </si>
  <si>
    <t>Департамент з гуманітарних питань міської ради</t>
  </si>
  <si>
    <t>Департамент молоді і спорту міської ради</t>
  </si>
  <si>
    <t>1110</t>
  </si>
  <si>
    <t>Департамент охорони здоровя та соціальної політики міської ради</t>
  </si>
  <si>
    <t xml:space="preserve">Управління культури міської ради </t>
  </si>
  <si>
    <t>2410</t>
  </si>
  <si>
    <t>Служба у справах дітей міської ради</t>
  </si>
  <si>
    <t>Департамент житлово-комунального господарства та будівництва міської ради</t>
  </si>
  <si>
    <t>Департамент фінансів міської ради</t>
  </si>
  <si>
    <t>Департамент економічного розвитку міської ради</t>
  </si>
  <si>
    <t>Управління з надзвичайних ситуацій та цивільного захисту населення міської ради</t>
  </si>
  <si>
    <t>Управління транспортної інфраструктури та звязку міської ради</t>
  </si>
  <si>
    <t>Управління містобудування та архітектури міської ради</t>
  </si>
  <si>
    <t>Департамент комунальної власності, земельних відносин та реєстрації речових прав на нерухоме майно міської ради</t>
  </si>
  <si>
    <t>Департмент муніципальних послуг та регуляторної політики міської ради</t>
  </si>
  <si>
    <t>Управління соціального захисту населення адміністрації Заводського району міської ради</t>
  </si>
  <si>
    <t>Управління соціального захисту населення адміністрації Дніпровського району міської ради</t>
  </si>
  <si>
    <t>Департамент молоді та спорту</t>
  </si>
  <si>
    <t xml:space="preserve">Департамент охорони здоров’я та соціальної політики </t>
  </si>
  <si>
    <t>Управління екології та природних ресурсів Дніпродзержинської міської ради</t>
  </si>
  <si>
    <t>Відділ реклами міської ради</t>
  </si>
  <si>
    <t>Архівне управління  м.Дніпродзержинська Дніпродзержинської міської ради</t>
  </si>
  <si>
    <t>0930</t>
  </si>
  <si>
    <t>в т.ч: за рахунок субвенції з державного бюджету місцевим бюджетам на здійснення заходів щодо соціально-економічного розвитку окремих територій</t>
  </si>
  <si>
    <t>в т.ч. за рахунок інших субвенцій</t>
  </si>
  <si>
    <t>Управління соціального захисту населення адміністрації Південного району міської ради</t>
  </si>
  <si>
    <t>Проведення невідкладних відновлювальних робіт, будівництво та реконструкція лікарень загального профілю</t>
  </si>
  <si>
    <t>в т.ч. субвенція з обласного бюджету на фінансування переможців обласного конкурсу мініпроектів з енергоефективності та енергозбереження серед локальних громад у 2016році</t>
  </si>
  <si>
    <t>в т.ч.виконання доручень, наданих виборцям депутатами обласної ради у 2016 році</t>
  </si>
  <si>
    <t xml:space="preserve">від         №    </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</si>
</sst>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
    <numFmt numFmtId="186" formatCode="[$-FC19]d\ mmmm\ yyyy\ &quot;г.&quot;"/>
    <numFmt numFmtId="187" formatCode="#,##0.000"/>
    <numFmt numFmtId="188" formatCode="#,##0.0000"/>
  </numFmts>
  <fonts count="23">
    <font>
      <sz val="11"/>
      <color indexed="8"/>
      <name val="Calibri"/>
      <family val="2"/>
    </font>
    <font>
      <sz val="8"/>
      <name val="Calibri"/>
      <family val="2"/>
    </font>
    <font>
      <b/>
      <sz val="11"/>
      <name val="Calibri"/>
      <family val="2"/>
    </font>
    <font>
      <sz val="11"/>
      <name val="Calibri"/>
      <family val="2"/>
    </font>
    <font>
      <sz val="11"/>
      <color indexed="10"/>
      <name val="Calibri"/>
      <family val="2"/>
    </font>
    <font>
      <u val="single"/>
      <sz val="7.7"/>
      <color indexed="12"/>
      <name val="Calibri"/>
      <family val="2"/>
    </font>
    <font>
      <u val="single"/>
      <sz val="7.7"/>
      <color indexed="36"/>
      <name val="Calibri"/>
      <family val="2"/>
    </font>
    <font>
      <b/>
      <sz val="11"/>
      <color indexed="10"/>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right style="thin"/>
      <top style="thin"/>
      <bottom style="thin"/>
    </border>
    <border>
      <left style="thin">
        <color indexed="8"/>
      </left>
      <right>
        <color indexed="63"/>
      </right>
      <top style="thin">
        <color indexed="8"/>
      </top>
      <bottom style="thin">
        <color indexed="8"/>
      </bottom>
    </border>
    <border>
      <left style="thin"/>
      <right>
        <color indexed="63"/>
      </right>
      <top/>
      <bottom style="thin"/>
    </border>
    <border>
      <left style="thin">
        <color indexed="8"/>
      </left>
      <right>
        <color indexed="63"/>
      </right>
      <top style="thin">
        <color indexed="8"/>
      </top>
      <bottom>
        <color indexed="63"/>
      </bottom>
    </border>
    <border>
      <left style="medium"/>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0"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20"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21" borderId="7" applyNumberFormat="0" applyAlignment="0" applyProtection="0"/>
    <xf numFmtId="0" fontId="17" fillId="0" borderId="0" applyNumberFormat="0" applyFill="0" applyBorder="0" applyAlignment="0" applyProtection="0"/>
    <xf numFmtId="0" fontId="18" fillId="22" borderId="0" applyNumberFormat="0" applyBorder="0" applyAlignment="0" applyProtection="0"/>
    <xf numFmtId="0" fontId="6" fillId="0" borderId="0" applyNumberFormat="0" applyFill="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2" fillId="4" borderId="0" applyNumberFormat="0" applyBorder="0" applyAlignment="0" applyProtection="0"/>
  </cellStyleXfs>
  <cellXfs count="144">
    <xf numFmtId="0" fontId="0" fillId="0" borderId="0" xfId="0" applyAlignment="1">
      <alignment/>
    </xf>
    <xf numFmtId="4" fontId="2" fillId="24" borderId="10" xfId="0" applyNumberFormat="1" applyFont="1" applyFill="1" applyBorder="1" applyAlignment="1">
      <alignment vertical="center" wrapText="1"/>
    </xf>
    <xf numFmtId="4" fontId="3" fillId="0" borderId="10" xfId="0" applyNumberFormat="1" applyFont="1" applyFill="1" applyBorder="1" applyAlignment="1">
      <alignment vertical="center" wrapText="1"/>
    </xf>
    <xf numFmtId="0" fontId="3" fillId="0" borderId="10" xfId="0" applyFont="1" applyBorder="1" applyAlignment="1">
      <alignment horizontal="center" vertical="center" wrapText="1"/>
    </xf>
    <xf numFmtId="0" fontId="3" fillId="0" borderId="10" xfId="0" applyFont="1" applyBorder="1" applyAlignment="1" quotePrefix="1">
      <alignment horizontal="center" vertical="center" wrapText="1"/>
    </xf>
    <xf numFmtId="2" fontId="3" fillId="0" borderId="10" xfId="0" applyNumberFormat="1" applyFont="1" applyBorder="1" applyAlignment="1" quotePrefix="1">
      <alignment horizontal="center" vertical="center" wrapText="1"/>
    </xf>
    <xf numFmtId="2" fontId="3" fillId="0" borderId="10" xfId="0" applyNumberFormat="1" applyFont="1" applyBorder="1" applyAlignment="1">
      <alignment vertical="center" wrapText="1"/>
    </xf>
    <xf numFmtId="2" fontId="3" fillId="0" borderId="10" xfId="0" applyNumberFormat="1" applyFont="1" applyFill="1" applyBorder="1" applyAlignment="1" quotePrefix="1">
      <alignment horizontal="center" vertical="center" wrapText="1"/>
    </xf>
    <xf numFmtId="2" fontId="3" fillId="0" borderId="10" xfId="0" applyNumberFormat="1" applyFont="1" applyFill="1" applyBorder="1" applyAlignment="1">
      <alignment vertical="center" wrapText="1"/>
    </xf>
    <xf numFmtId="0" fontId="2" fillId="0" borderId="10" xfId="0" applyFont="1" applyBorder="1" applyAlignment="1" quotePrefix="1">
      <alignment horizontal="center" vertical="center" wrapText="1"/>
    </xf>
    <xf numFmtId="0" fontId="2" fillId="0" borderId="10" xfId="0" applyFont="1" applyBorder="1" applyAlignment="1">
      <alignment horizontal="center" vertical="center" wrapText="1"/>
    </xf>
    <xf numFmtId="2" fontId="2" fillId="24" borderId="10" xfId="0" applyNumberFormat="1" applyFont="1" applyFill="1" applyBorder="1" applyAlignment="1" quotePrefix="1">
      <alignment vertical="center" wrapText="1"/>
    </xf>
    <xf numFmtId="0" fontId="3" fillId="0" borderId="0" xfId="0" applyFont="1" applyBorder="1" applyAlignment="1">
      <alignment/>
    </xf>
    <xf numFmtId="0" fontId="3" fillId="0" borderId="10" xfId="0" applyFont="1" applyBorder="1" applyAlignment="1">
      <alignment horizontal="left" vertical="center" wrapText="1"/>
    </xf>
    <xf numFmtId="0" fontId="3" fillId="0" borderId="10" xfId="0" applyNumberFormat="1" applyFont="1" applyBorder="1" applyAlignment="1">
      <alignment horizontal="left" vertical="center" wrapText="1"/>
    </xf>
    <xf numFmtId="0" fontId="3" fillId="0" borderId="10" xfId="0" applyFont="1" applyFill="1" applyBorder="1" applyAlignment="1" quotePrefix="1">
      <alignment horizontal="center" vertical="center" wrapText="1"/>
    </xf>
    <xf numFmtId="0" fontId="3" fillId="0" borderId="0" xfId="0" applyFont="1" applyAlignment="1">
      <alignment/>
    </xf>
    <xf numFmtId="0" fontId="3" fillId="0" borderId="0" xfId="0" applyFont="1" applyAlignment="1">
      <alignment horizontal="right"/>
    </xf>
    <xf numFmtId="0" fontId="3" fillId="24" borderId="10" xfId="0" applyFont="1" applyFill="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10" xfId="0" applyNumberFormat="1" applyFont="1" applyBorder="1" applyAlignment="1" quotePrefix="1">
      <alignment horizontal="center" vertical="center" wrapText="1"/>
    </xf>
    <xf numFmtId="0" fontId="3" fillId="0" borderId="11" xfId="0" applyFont="1" applyBorder="1" applyAlignment="1">
      <alignment horizontal="center" vertical="center" wrapText="1"/>
    </xf>
    <xf numFmtId="0" fontId="3" fillId="0" borderId="0" xfId="0" applyFont="1" applyAlignment="1">
      <alignment vertical="center" wrapText="1"/>
    </xf>
    <xf numFmtId="0" fontId="3" fillId="0" borderId="11" xfId="0" applyFont="1" applyBorder="1" applyAlignment="1" quotePrefix="1">
      <alignment horizontal="center" vertical="center" wrapText="1"/>
    </xf>
    <xf numFmtId="2" fontId="3" fillId="0" borderId="11" xfId="0" applyNumberFormat="1" applyFont="1" applyBorder="1" applyAlignment="1" quotePrefix="1">
      <alignment horizontal="center" vertical="center" wrapText="1"/>
    </xf>
    <xf numFmtId="2" fontId="3" fillId="0" borderId="11" xfId="0" applyNumberFormat="1" applyFont="1" applyBorder="1" applyAlignment="1">
      <alignment vertical="center" wrapText="1"/>
    </xf>
    <xf numFmtId="0" fontId="3" fillId="0" borderId="12" xfId="0" applyFont="1" applyBorder="1" applyAlignment="1">
      <alignment horizontal="center" vertical="center" wrapText="1"/>
    </xf>
    <xf numFmtId="0" fontId="3" fillId="0" borderId="12" xfId="0" applyFont="1" applyBorder="1" applyAlignment="1" quotePrefix="1">
      <alignment horizontal="center" vertical="center" wrapText="1"/>
    </xf>
    <xf numFmtId="2" fontId="3" fillId="0" borderId="12" xfId="0" applyNumberFormat="1" applyFont="1" applyBorder="1" applyAlignment="1" quotePrefix="1">
      <alignment horizontal="center" vertical="center" wrapText="1"/>
    </xf>
    <xf numFmtId="2" fontId="3" fillId="0" borderId="12" xfId="0" applyNumberFormat="1" applyFont="1" applyBorder="1" applyAlignment="1">
      <alignment vertical="center" wrapText="1"/>
    </xf>
    <xf numFmtId="2" fontId="3" fillId="0" borderId="13" xfId="0" applyNumberFormat="1" applyFont="1" applyBorder="1" applyAlignment="1" quotePrefix="1">
      <alignment horizontal="center" vertical="center" wrapText="1"/>
    </xf>
    <xf numFmtId="0" fontId="3" fillId="0" borderId="10" xfId="0" applyFont="1" applyBorder="1" applyAlignment="1">
      <alignment wrapText="1"/>
    </xf>
    <xf numFmtId="0" fontId="2" fillId="24" borderId="10" xfId="0" applyFont="1" applyFill="1" applyBorder="1" applyAlignment="1">
      <alignment horizontal="center" vertical="center" wrapText="1"/>
    </xf>
    <xf numFmtId="0" fontId="2" fillId="24" borderId="10" xfId="0" applyFont="1" applyFill="1" applyBorder="1" applyAlignment="1" quotePrefix="1">
      <alignment horizontal="center" vertical="center" wrapText="1"/>
    </xf>
    <xf numFmtId="2" fontId="2" fillId="24" borderId="10" xfId="0" applyNumberFormat="1" applyFont="1" applyFill="1" applyBorder="1" applyAlignment="1">
      <alignment horizontal="center" vertical="center" wrapText="1"/>
    </xf>
    <xf numFmtId="2" fontId="2" fillId="24" borderId="10" xfId="0" applyNumberFormat="1" applyFont="1" applyFill="1" applyBorder="1" applyAlignment="1">
      <alignment vertical="center" wrapText="1"/>
    </xf>
    <xf numFmtId="0" fontId="2" fillId="0" borderId="0" xfId="0" applyFont="1" applyAlignment="1">
      <alignment horizontal="left"/>
    </xf>
    <xf numFmtId="4" fontId="3" fillId="0" borderId="0" xfId="0" applyNumberFormat="1" applyFont="1" applyAlignment="1">
      <alignment/>
    </xf>
    <xf numFmtId="3" fontId="3" fillId="0" borderId="0" xfId="0" applyNumberFormat="1" applyFont="1" applyBorder="1" applyAlignment="1">
      <alignment/>
    </xf>
    <xf numFmtId="0" fontId="3" fillId="0" borderId="0" xfId="0" applyFont="1" applyFill="1" applyBorder="1" applyAlignment="1">
      <alignment/>
    </xf>
    <xf numFmtId="0" fontId="3" fillId="0" borderId="10" xfId="0"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0" xfId="33" applyFont="1" applyFill="1" applyAlignment="1">
      <alignment vertical="center"/>
      <protection/>
    </xf>
    <xf numFmtId="0" fontId="3" fillId="0" borderId="10" xfId="0" applyFont="1" applyFill="1" applyBorder="1" applyAlignment="1">
      <alignment horizontal="left" vertical="center" wrapText="1"/>
    </xf>
    <xf numFmtId="4" fontId="3" fillId="0" borderId="0" xfId="33" applyNumberFormat="1" applyFont="1" applyFill="1" applyAlignment="1">
      <alignment vertical="center"/>
      <protection/>
    </xf>
    <xf numFmtId="0" fontId="3" fillId="0" borderId="0" xfId="33" applyFont="1" applyFill="1" applyAlignment="1">
      <alignment vertical="center"/>
      <protection/>
    </xf>
    <xf numFmtId="0" fontId="3" fillId="0" borderId="10" xfId="0" applyFont="1" applyFill="1" applyBorder="1" applyAlignment="1">
      <alignment vertical="center" wrapText="1"/>
    </xf>
    <xf numFmtId="0" fontId="3" fillId="0" borderId="0" xfId="0" applyFont="1" applyFill="1" applyAlignment="1">
      <alignment vertical="center"/>
    </xf>
    <xf numFmtId="4" fontId="3" fillId="0" borderId="0" xfId="0" applyNumberFormat="1" applyFont="1" applyFill="1" applyBorder="1" applyAlignment="1">
      <alignment/>
    </xf>
    <xf numFmtId="1" fontId="3" fillId="0" borderId="10" xfId="0" applyNumberFormat="1" applyFont="1" applyFill="1" applyBorder="1" applyAlignment="1" quotePrefix="1">
      <alignment horizontal="center" vertical="center" wrapText="1"/>
    </xf>
    <xf numFmtId="4" fontId="3" fillId="0" borderId="10" xfId="0" applyNumberFormat="1" applyFont="1" applyFill="1" applyBorder="1" applyAlignment="1">
      <alignment vertical="center"/>
    </xf>
    <xf numFmtId="49" fontId="2" fillId="0" borderId="14" xfId="33" applyNumberFormat="1" applyFont="1" applyFill="1" applyBorder="1" applyAlignment="1">
      <alignment horizontal="center" vertical="center" wrapText="1"/>
      <protection/>
    </xf>
    <xf numFmtId="49" fontId="3" fillId="0" borderId="14" xfId="33" applyNumberFormat="1" applyFont="1" applyFill="1" applyBorder="1" applyAlignment="1">
      <alignment horizontal="center" vertical="center" wrapText="1"/>
      <protection/>
    </xf>
    <xf numFmtId="2" fontId="3" fillId="0" borderId="14" xfId="33" applyNumberFormat="1" applyFont="1" applyFill="1" applyBorder="1" applyAlignment="1">
      <alignment vertical="center" wrapText="1"/>
      <protection/>
    </xf>
    <xf numFmtId="4" fontId="3" fillId="0" borderId="14" xfId="33" applyNumberFormat="1" applyFont="1" applyFill="1" applyBorder="1" applyAlignment="1">
      <alignment vertical="center" wrapText="1"/>
      <protection/>
    </xf>
    <xf numFmtId="2" fontId="3" fillId="0" borderId="13" xfId="0" applyNumberFormat="1" applyFont="1" applyFill="1" applyBorder="1" applyAlignment="1" quotePrefix="1">
      <alignment horizontal="center" vertical="center" wrapText="1"/>
    </xf>
    <xf numFmtId="0" fontId="3" fillId="0" borderId="10" xfId="0" applyNumberFormat="1" applyFont="1" applyFill="1" applyBorder="1" applyAlignment="1">
      <alignment horizontal="left" vertical="center" wrapText="1"/>
    </xf>
    <xf numFmtId="4" fontId="3" fillId="0" borderId="10" xfId="0" applyNumberFormat="1" applyFont="1" applyFill="1" applyBorder="1" applyAlignment="1" quotePrefix="1">
      <alignment horizontal="center" vertical="center" wrapText="1"/>
    </xf>
    <xf numFmtId="4" fontId="3" fillId="0" borderId="0" xfId="0" applyNumberFormat="1" applyFont="1" applyFill="1" applyBorder="1" applyAlignment="1">
      <alignment vertical="center"/>
    </xf>
    <xf numFmtId="0" fontId="3" fillId="0" borderId="0" xfId="0" applyFont="1" applyFill="1" applyBorder="1" applyAlignment="1">
      <alignment vertical="center"/>
    </xf>
    <xf numFmtId="49" fontId="3" fillId="0" borderId="11" xfId="0" applyNumberFormat="1" applyFont="1" applyFill="1" applyBorder="1" applyAlignment="1">
      <alignment horizontal="center" vertical="center" wrapText="1"/>
    </xf>
    <xf numFmtId="0" fontId="3" fillId="0" borderId="11" xfId="0" applyFont="1" applyFill="1" applyBorder="1" applyAlignment="1" quotePrefix="1">
      <alignment horizontal="center" vertical="center" wrapText="1"/>
    </xf>
    <xf numFmtId="2" fontId="3" fillId="0" borderId="11" xfId="0" applyNumberFormat="1" applyFont="1" applyFill="1" applyBorder="1" applyAlignment="1" quotePrefix="1">
      <alignment horizontal="center" vertical="center" wrapText="1"/>
    </xf>
    <xf numFmtId="2" fontId="3" fillId="0" borderId="11" xfId="0" applyNumberFormat="1" applyFont="1" applyFill="1" applyBorder="1" applyAlignment="1">
      <alignment vertical="center" wrapText="1"/>
    </xf>
    <xf numFmtId="4" fontId="3" fillId="0" borderId="14" xfId="33" applyNumberFormat="1" applyFont="1" applyFill="1" applyBorder="1" applyAlignment="1">
      <alignment horizontal="center" vertical="center" wrapText="1"/>
      <protection/>
    </xf>
    <xf numFmtId="4" fontId="3" fillId="0" borderId="13" xfId="0" applyNumberFormat="1" applyFont="1" applyFill="1" applyBorder="1" applyAlignment="1" quotePrefix="1">
      <alignment horizontal="center" vertical="center" wrapText="1"/>
    </xf>
    <xf numFmtId="4" fontId="3" fillId="0" borderId="10" xfId="0" applyNumberFormat="1" applyFont="1" applyFill="1" applyBorder="1" applyAlignment="1">
      <alignment horizontal="left" vertical="center" wrapText="1"/>
    </xf>
    <xf numFmtId="4" fontId="3" fillId="0" borderId="10" xfId="0" applyNumberFormat="1" applyFont="1" applyFill="1" applyBorder="1" applyAlignment="1">
      <alignment wrapText="1"/>
    </xf>
    <xf numFmtId="49" fontId="3" fillId="0" borderId="12" xfId="0" applyNumberFormat="1" applyFont="1" applyFill="1" applyBorder="1" applyAlignment="1">
      <alignment horizontal="center" vertical="center" wrapText="1"/>
    </xf>
    <xf numFmtId="0" fontId="3" fillId="0" borderId="12" xfId="0" applyFont="1" applyFill="1" applyBorder="1" applyAlignment="1" quotePrefix="1">
      <alignment horizontal="center" vertical="center" wrapText="1"/>
    </xf>
    <xf numFmtId="2" fontId="3" fillId="0" borderId="12" xfId="0" applyNumberFormat="1" applyFont="1" applyFill="1" applyBorder="1" applyAlignment="1" quotePrefix="1">
      <alignment horizontal="center" vertical="center" wrapText="1"/>
    </xf>
    <xf numFmtId="2" fontId="3" fillId="0" borderId="12" xfId="0" applyNumberFormat="1" applyFont="1" applyFill="1" applyBorder="1" applyAlignment="1">
      <alignment vertical="center" wrapText="1"/>
    </xf>
    <xf numFmtId="49" fontId="3" fillId="0" borderId="15" xfId="33" applyNumberFormat="1" applyFont="1" applyFill="1" applyBorder="1" applyAlignment="1">
      <alignment horizontal="center" vertical="center" wrapText="1"/>
      <protection/>
    </xf>
    <xf numFmtId="4" fontId="3" fillId="0" borderId="15" xfId="33" applyNumberFormat="1" applyFont="1" applyFill="1" applyBorder="1" applyAlignment="1">
      <alignment horizontal="center" vertical="center" wrapText="1"/>
      <protection/>
    </xf>
    <xf numFmtId="4" fontId="3" fillId="0" borderId="15" xfId="33" applyNumberFormat="1" applyFont="1" applyFill="1" applyBorder="1" applyAlignment="1">
      <alignment vertical="center" wrapText="1"/>
      <protection/>
    </xf>
    <xf numFmtId="4" fontId="2" fillId="24" borderId="14" xfId="33" applyNumberFormat="1" applyFont="1" applyFill="1" applyBorder="1" applyAlignment="1">
      <alignment vertical="center" wrapText="1"/>
      <protection/>
    </xf>
    <xf numFmtId="0" fontId="2" fillId="24" borderId="10" xfId="0" applyFont="1" applyFill="1" applyBorder="1" applyAlignment="1">
      <alignment horizontal="justify" vertical="center" wrapText="1"/>
    </xf>
    <xf numFmtId="2" fontId="2" fillId="24" borderId="14" xfId="33" applyNumberFormat="1" applyFont="1" applyFill="1" applyBorder="1" applyAlignment="1">
      <alignment vertical="center" wrapText="1"/>
      <protection/>
    </xf>
    <xf numFmtId="0" fontId="3" fillId="0" borderId="10" xfId="0" applyFont="1" applyFill="1" applyBorder="1" applyAlignment="1">
      <alignment wrapText="1"/>
    </xf>
    <xf numFmtId="4" fontId="3" fillId="24" borderId="10" xfId="0" applyNumberFormat="1" applyFont="1" applyFill="1" applyBorder="1" applyAlignment="1">
      <alignment vertical="center" wrapText="1"/>
    </xf>
    <xf numFmtId="4" fontId="3" fillId="0" borderId="12" xfId="0" applyNumberFormat="1" applyFont="1" applyBorder="1" applyAlignment="1">
      <alignment vertical="center" wrapText="1"/>
    </xf>
    <xf numFmtId="4" fontId="3" fillId="0" borderId="10" xfId="0" applyNumberFormat="1" applyFont="1" applyBorder="1" applyAlignment="1">
      <alignment vertical="center" wrapText="1"/>
    </xf>
    <xf numFmtId="4" fontId="3" fillId="0" borderId="11" xfId="0" applyNumberFormat="1" applyFont="1" applyBorder="1" applyAlignment="1">
      <alignment vertical="center" wrapText="1"/>
    </xf>
    <xf numFmtId="4" fontId="3" fillId="24" borderId="16" xfId="0" applyNumberFormat="1" applyFont="1" applyFill="1" applyBorder="1" applyAlignment="1">
      <alignment vertical="center" wrapText="1"/>
    </xf>
    <xf numFmtId="4" fontId="3" fillId="24" borderId="10" xfId="0" applyNumberFormat="1" applyFont="1" applyFill="1" applyBorder="1" applyAlignment="1">
      <alignment horizontal="right" vertical="center"/>
    </xf>
    <xf numFmtId="4" fontId="3" fillId="24" borderId="14" xfId="33" applyNumberFormat="1" applyFont="1" applyFill="1" applyBorder="1" applyAlignment="1">
      <alignment vertical="center" wrapText="1"/>
      <protection/>
    </xf>
    <xf numFmtId="4" fontId="3" fillId="24" borderId="11" xfId="0" applyNumberFormat="1" applyFont="1" applyFill="1" applyBorder="1" applyAlignment="1">
      <alignment vertical="center" wrapText="1"/>
    </xf>
    <xf numFmtId="4" fontId="3" fillId="0" borderId="11" xfId="0" applyNumberFormat="1" applyFont="1" applyFill="1" applyBorder="1" applyAlignment="1">
      <alignment vertical="center" wrapText="1"/>
    </xf>
    <xf numFmtId="184" fontId="3" fillId="0" borderId="11" xfId="0" applyNumberFormat="1" applyFont="1" applyFill="1" applyBorder="1" applyAlignment="1">
      <alignment vertical="center" wrapText="1"/>
    </xf>
    <xf numFmtId="184" fontId="3" fillId="24" borderId="11" xfId="0" applyNumberFormat="1" applyFont="1" applyFill="1" applyBorder="1" applyAlignment="1">
      <alignment vertical="center" wrapText="1"/>
    </xf>
    <xf numFmtId="184" fontId="3" fillId="0" borderId="10" xfId="0" applyNumberFormat="1" applyFont="1" applyFill="1" applyBorder="1" applyAlignment="1">
      <alignment vertical="center" wrapText="1"/>
    </xf>
    <xf numFmtId="184" fontId="3" fillId="24" borderId="10" xfId="0" applyNumberFormat="1" applyFont="1" applyFill="1" applyBorder="1" applyAlignment="1">
      <alignment vertical="center" wrapText="1"/>
    </xf>
    <xf numFmtId="4" fontId="3" fillId="0" borderId="10" xfId="0" applyNumberFormat="1" applyFont="1" applyFill="1" applyBorder="1" applyAlignment="1">
      <alignment horizontal="right" vertical="center"/>
    </xf>
    <xf numFmtId="49" fontId="3" fillId="0" borderId="16" xfId="0" applyNumberFormat="1" applyFont="1" applyFill="1" applyBorder="1" applyAlignment="1">
      <alignment horizontal="center" vertical="center" wrapText="1"/>
    </xf>
    <xf numFmtId="4" fontId="2" fillId="0" borderId="10" xfId="0" applyNumberFormat="1" applyFont="1" applyFill="1" applyBorder="1" applyAlignment="1">
      <alignment horizontal="right" vertical="center"/>
    </xf>
    <xf numFmtId="4" fontId="3" fillId="24" borderId="12" xfId="0" applyNumberFormat="1" applyFont="1" applyFill="1" applyBorder="1" applyAlignment="1">
      <alignment vertical="center" wrapText="1"/>
    </xf>
    <xf numFmtId="4" fontId="3" fillId="0" borderId="12" xfId="0" applyNumberFormat="1" applyFont="1" applyFill="1" applyBorder="1" applyAlignment="1">
      <alignment vertical="center" wrapText="1"/>
    </xf>
    <xf numFmtId="4" fontId="2" fillId="24" borderId="10" xfId="0" applyNumberFormat="1" applyFont="1" applyFill="1" applyBorder="1" applyAlignment="1">
      <alignment horizontal="right" vertical="center"/>
    </xf>
    <xf numFmtId="4" fontId="3" fillId="24" borderId="13" xfId="0" applyNumberFormat="1" applyFont="1" applyFill="1" applyBorder="1" applyAlignment="1">
      <alignment vertical="center" wrapText="1"/>
    </xf>
    <xf numFmtId="4" fontId="2" fillId="24" borderId="13" xfId="0" applyNumberFormat="1" applyFont="1" applyFill="1" applyBorder="1" applyAlignment="1">
      <alignment horizontal="right" vertical="center"/>
    </xf>
    <xf numFmtId="4" fontId="3" fillId="24" borderId="13" xfId="0" applyNumberFormat="1" applyFont="1" applyFill="1" applyBorder="1" applyAlignment="1">
      <alignment horizontal="right" vertical="center"/>
    </xf>
    <xf numFmtId="4" fontId="2" fillId="24" borderId="13" xfId="0" applyNumberFormat="1" applyFont="1" applyFill="1" applyBorder="1" applyAlignment="1">
      <alignment vertical="center" wrapText="1"/>
    </xf>
    <xf numFmtId="4" fontId="2" fillId="24" borderId="17" xfId="33" applyNumberFormat="1" applyFont="1" applyFill="1" applyBorder="1" applyAlignment="1">
      <alignment vertical="center" wrapText="1"/>
      <protection/>
    </xf>
    <xf numFmtId="4" fontId="3" fillId="24" borderId="17" xfId="33" applyNumberFormat="1" applyFont="1" applyFill="1" applyBorder="1" applyAlignment="1">
      <alignment vertical="center" wrapText="1"/>
      <protection/>
    </xf>
    <xf numFmtId="4" fontId="3" fillId="24" borderId="18" xfId="0" applyNumberFormat="1" applyFont="1" applyFill="1" applyBorder="1" applyAlignment="1">
      <alignment vertical="center" wrapText="1"/>
    </xf>
    <xf numFmtId="4" fontId="3" fillId="24" borderId="19" xfId="33" applyNumberFormat="1" applyFont="1" applyFill="1" applyBorder="1" applyAlignment="1">
      <alignment vertical="center" wrapText="1"/>
      <protection/>
    </xf>
    <xf numFmtId="0" fontId="3" fillId="0" borderId="0" xfId="0" applyFont="1" applyBorder="1" applyAlignment="1">
      <alignment vertical="center"/>
    </xf>
    <xf numFmtId="4" fontId="3" fillId="25" borderId="10" xfId="0" applyNumberFormat="1" applyFont="1" applyFill="1" applyBorder="1" applyAlignment="1">
      <alignment vertical="center" wrapText="1"/>
    </xf>
    <xf numFmtId="0" fontId="3" fillId="26" borderId="10" xfId="0" applyFont="1" applyFill="1" applyBorder="1" applyAlignment="1" quotePrefix="1">
      <alignment horizontal="center" vertical="center" wrapText="1"/>
    </xf>
    <xf numFmtId="4" fontId="3" fillId="0" borderId="10" xfId="0" applyNumberFormat="1" applyFont="1" applyFill="1" applyBorder="1" applyAlignment="1">
      <alignment horizontal="center" vertical="center" wrapText="1"/>
    </xf>
    <xf numFmtId="0" fontId="3" fillId="22" borderId="0" xfId="0" applyFont="1" applyFill="1" applyBorder="1" applyAlignment="1">
      <alignment/>
    </xf>
    <xf numFmtId="4" fontId="4" fillId="0" borderId="10" xfId="0" applyNumberFormat="1" applyFont="1" applyFill="1" applyBorder="1" applyAlignment="1">
      <alignment horizontal="right" vertical="center"/>
    </xf>
    <xf numFmtId="0" fontId="3" fillId="24" borderId="0" xfId="0" applyFont="1" applyFill="1" applyBorder="1" applyAlignment="1">
      <alignment/>
    </xf>
    <xf numFmtId="0" fontId="3" fillId="0" borderId="0" xfId="0" applyFont="1" applyAlignment="1">
      <alignment wrapText="1"/>
    </xf>
    <xf numFmtId="4" fontId="4" fillId="24" borderId="10" xfId="0" applyNumberFormat="1" applyFont="1" applyFill="1" applyBorder="1" applyAlignment="1">
      <alignment vertical="center" wrapText="1"/>
    </xf>
    <xf numFmtId="4" fontId="4" fillId="0" borderId="10" xfId="0" applyNumberFormat="1" applyFont="1" applyBorder="1" applyAlignment="1">
      <alignment vertical="center" wrapText="1"/>
    </xf>
    <xf numFmtId="49" fontId="2" fillId="24" borderId="10" xfId="0" applyNumberFormat="1" applyFont="1" applyFill="1" applyBorder="1" applyAlignment="1">
      <alignment horizontal="center" vertical="center" wrapText="1"/>
    </xf>
    <xf numFmtId="0" fontId="3" fillId="24" borderId="0" xfId="0" applyFont="1" applyFill="1" applyAlignment="1">
      <alignment vertical="center"/>
    </xf>
    <xf numFmtId="0" fontId="4" fillId="0" borderId="0" xfId="0" applyFont="1" applyBorder="1" applyAlignment="1">
      <alignment/>
    </xf>
    <xf numFmtId="0" fontId="4" fillId="0" borderId="10" xfId="0" applyFont="1" applyBorder="1" applyAlignment="1">
      <alignment horizontal="center" vertical="center" wrapText="1"/>
    </xf>
    <xf numFmtId="2" fontId="4" fillId="0" borderId="10" xfId="0" applyNumberFormat="1" applyFont="1" applyBorder="1" applyAlignment="1">
      <alignment vertical="center" wrapText="1"/>
    </xf>
    <xf numFmtId="49" fontId="4" fillId="0" borderId="10" xfId="0" applyNumberFormat="1" applyFont="1" applyBorder="1" applyAlignment="1">
      <alignment horizontal="center" vertical="center" wrapText="1"/>
    </xf>
    <xf numFmtId="49" fontId="4" fillId="0" borderId="10" xfId="0" applyNumberFormat="1" applyFont="1" applyFill="1" applyBorder="1" applyAlignment="1">
      <alignment horizontal="center" vertical="center" wrapText="1"/>
    </xf>
    <xf numFmtId="0" fontId="7" fillId="24" borderId="10" xfId="0" applyFont="1" applyFill="1" applyBorder="1" applyAlignment="1">
      <alignment horizontal="center" vertical="center" wrapText="1"/>
    </xf>
    <xf numFmtId="2" fontId="7" fillId="24" borderId="10" xfId="0" applyNumberFormat="1" applyFont="1" applyFill="1" applyBorder="1" applyAlignment="1">
      <alignment horizontal="center" vertical="center" wrapText="1"/>
    </xf>
    <xf numFmtId="0" fontId="4" fillId="24" borderId="0" xfId="0" applyFont="1" applyFill="1" applyBorder="1" applyAlignment="1">
      <alignment/>
    </xf>
    <xf numFmtId="2" fontId="2" fillId="24" borderId="10" xfId="0" applyNumberFormat="1" applyFont="1" applyFill="1" applyBorder="1" applyAlignment="1" quotePrefix="1">
      <alignment horizontal="center" vertical="center" wrapText="1"/>
    </xf>
    <xf numFmtId="49" fontId="2" fillId="24" borderId="14" xfId="33" applyNumberFormat="1" applyFont="1" applyFill="1" applyBorder="1" applyAlignment="1">
      <alignment horizontal="center" vertical="center" wrapText="1"/>
      <protection/>
    </xf>
    <xf numFmtId="4" fontId="2" fillId="24" borderId="14" xfId="33" applyNumberFormat="1" applyFont="1" applyFill="1" applyBorder="1" applyAlignment="1">
      <alignment horizontal="center" vertical="center" wrapText="1"/>
      <protection/>
    </xf>
    <xf numFmtId="49" fontId="2" fillId="24" borderId="20" xfId="0" applyNumberFormat="1" applyFont="1" applyFill="1" applyBorder="1" applyAlignment="1">
      <alignment horizontal="center" vertical="center" wrapText="1"/>
    </xf>
    <xf numFmtId="2" fontId="2" fillId="24" borderId="13" xfId="0" applyNumberFormat="1" applyFont="1" applyFill="1" applyBorder="1" applyAlignment="1">
      <alignment horizontal="center" vertical="center" wrapText="1"/>
    </xf>
    <xf numFmtId="4" fontId="2" fillId="24" borderId="10" xfId="0" applyNumberFormat="1" applyFont="1" applyFill="1" applyBorder="1" applyAlignment="1">
      <alignment/>
    </xf>
    <xf numFmtId="4" fontId="2" fillId="0" borderId="10" xfId="0" applyNumberFormat="1" applyFont="1" applyFill="1" applyBorder="1" applyAlignment="1">
      <alignment vertical="center" wrapText="1"/>
    </xf>
    <xf numFmtId="0" fontId="2" fillId="0" borderId="0" xfId="0" applyFont="1" applyAlignment="1">
      <alignment/>
    </xf>
    <xf numFmtId="4" fontId="3" fillId="0" borderId="10" xfId="0" applyNumberFormat="1" applyFont="1" applyBorder="1" applyAlignment="1">
      <alignment horizontal="center" vertical="center" wrapText="1"/>
    </xf>
    <xf numFmtId="0" fontId="2" fillId="26" borderId="10" xfId="0" applyFont="1" applyFill="1" applyBorder="1" applyAlignment="1">
      <alignment vertical="center" textRotation="90" wrapText="1"/>
    </xf>
    <xf numFmtId="187" fontId="3" fillId="0" borderId="0" xfId="0" applyNumberFormat="1" applyFont="1" applyBorder="1" applyAlignment="1">
      <alignment/>
    </xf>
    <xf numFmtId="0" fontId="3" fillId="0" borderId="0" xfId="0" applyFont="1" applyFill="1" applyAlignment="1">
      <alignment/>
    </xf>
    <xf numFmtId="0" fontId="3" fillId="24"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xf>
    <xf numFmtId="0" fontId="3" fillId="0" borderId="0" xfId="0" applyFont="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542"/>
  <sheetViews>
    <sheetView tabSelected="1" view="pageBreakPreview" zoomScale="75" zoomScaleNormal="75" zoomScaleSheetLayoutView="75" zoomScalePageLayoutView="0" workbookViewId="0" topLeftCell="A1">
      <pane xSplit="5" ySplit="13" topLeftCell="F527" activePane="bottomRight" state="frozen"/>
      <selection pane="topLeft" activeCell="A1" sqref="A1"/>
      <selection pane="topRight" activeCell="F1" sqref="F1"/>
      <selection pane="bottomLeft" activeCell="A14" sqref="A14"/>
      <selection pane="bottomRight" activeCell="K547" sqref="K547"/>
    </sheetView>
  </sheetViews>
  <sheetFormatPr defaultColWidth="15.8515625" defaultRowHeight="15"/>
  <cols>
    <col min="1" max="1" width="8.140625" style="16" customWidth="1"/>
    <col min="2" max="2" width="11.421875" style="16" customWidth="1"/>
    <col min="3" max="3" width="10.7109375" style="16" customWidth="1"/>
    <col min="4" max="4" width="45.421875" style="16" customWidth="1"/>
    <col min="5" max="5" width="18.140625" style="16" customWidth="1"/>
    <col min="6" max="7" width="16.8515625" style="16" customWidth="1"/>
    <col min="8" max="8" width="16.00390625" style="16" customWidth="1"/>
    <col min="9" max="9" width="14.00390625" style="16" customWidth="1"/>
    <col min="10" max="10" width="16.421875" style="16" customWidth="1"/>
    <col min="11" max="11" width="16.57421875" style="16" bestFit="1" customWidth="1"/>
    <col min="12" max="12" width="15.00390625" style="16" customWidth="1"/>
    <col min="13" max="13" width="16.28125" style="16" bestFit="1" customWidth="1"/>
    <col min="14" max="14" width="17.7109375" style="16" customWidth="1"/>
    <col min="15" max="15" width="16.8515625" style="16" bestFit="1" customWidth="1"/>
    <col min="16" max="16" width="17.421875" style="16" customWidth="1"/>
    <col min="17" max="16384" width="15.8515625" style="12" customWidth="1"/>
  </cols>
  <sheetData>
    <row r="1" ht="15">
      <c r="M1" s="16" t="s">
        <v>328</v>
      </c>
    </row>
    <row r="2" spans="4:13" ht="15">
      <c r="D2" s="37"/>
      <c r="M2" s="16" t="s">
        <v>333</v>
      </c>
    </row>
    <row r="3" spans="4:13" ht="15">
      <c r="D3" s="37"/>
      <c r="E3" s="37"/>
      <c r="M3" s="139" t="s">
        <v>382</v>
      </c>
    </row>
    <row r="4" spans="4:16" ht="15">
      <c r="D4" s="37"/>
      <c r="E4" s="37"/>
      <c r="M4" s="16" t="s">
        <v>334</v>
      </c>
      <c r="P4" s="37"/>
    </row>
    <row r="5" spans="4:13" ht="15">
      <c r="D5" s="37"/>
      <c r="M5" s="16" t="s">
        <v>335</v>
      </c>
    </row>
    <row r="6" spans="1:16" ht="15">
      <c r="A6" s="142" t="s">
        <v>0</v>
      </c>
      <c r="B6" s="143"/>
      <c r="C6" s="143"/>
      <c r="D6" s="143"/>
      <c r="E6" s="143"/>
      <c r="F6" s="143"/>
      <c r="G6" s="143"/>
      <c r="H6" s="143"/>
      <c r="I6" s="143"/>
      <c r="J6" s="143"/>
      <c r="K6" s="143"/>
      <c r="L6" s="143"/>
      <c r="M6" s="143"/>
      <c r="N6" s="143"/>
      <c r="O6" s="143"/>
      <c r="P6" s="143"/>
    </row>
    <row r="7" spans="1:16" ht="15">
      <c r="A7" s="142" t="s">
        <v>329</v>
      </c>
      <c r="B7" s="143"/>
      <c r="C7" s="143"/>
      <c r="D7" s="143"/>
      <c r="E7" s="143"/>
      <c r="F7" s="143"/>
      <c r="G7" s="143"/>
      <c r="H7" s="143"/>
      <c r="I7" s="143"/>
      <c r="J7" s="143"/>
      <c r="K7" s="143"/>
      <c r="L7" s="143"/>
      <c r="M7" s="143"/>
      <c r="N7" s="143"/>
      <c r="O7" s="143"/>
      <c r="P7" s="143"/>
    </row>
    <row r="8" spans="13:16" ht="15">
      <c r="M8" s="139"/>
      <c r="P8" s="17" t="s">
        <v>1</v>
      </c>
    </row>
    <row r="9" spans="1:16" ht="15" customHeight="1">
      <c r="A9" s="141" t="s">
        <v>2</v>
      </c>
      <c r="B9" s="141" t="s">
        <v>3</v>
      </c>
      <c r="C9" s="141" t="s">
        <v>4</v>
      </c>
      <c r="D9" s="141" t="s">
        <v>5</v>
      </c>
      <c r="E9" s="141" t="s">
        <v>6</v>
      </c>
      <c r="F9" s="141"/>
      <c r="G9" s="141"/>
      <c r="H9" s="141"/>
      <c r="I9" s="141"/>
      <c r="J9" s="141" t="s">
        <v>13</v>
      </c>
      <c r="K9" s="141"/>
      <c r="L9" s="141"/>
      <c r="M9" s="141"/>
      <c r="N9" s="141"/>
      <c r="O9" s="141"/>
      <c r="P9" s="140" t="s">
        <v>15</v>
      </c>
    </row>
    <row r="10" spans="1:16" ht="15">
      <c r="A10" s="141"/>
      <c r="B10" s="141"/>
      <c r="C10" s="141"/>
      <c r="D10" s="141"/>
      <c r="E10" s="140" t="s">
        <v>7</v>
      </c>
      <c r="F10" s="141" t="s">
        <v>8</v>
      </c>
      <c r="G10" s="141" t="s">
        <v>9</v>
      </c>
      <c r="H10" s="141"/>
      <c r="I10" s="141" t="s">
        <v>12</v>
      </c>
      <c r="J10" s="140" t="s">
        <v>7</v>
      </c>
      <c r="K10" s="141" t="s">
        <v>8</v>
      </c>
      <c r="L10" s="141" t="s">
        <v>9</v>
      </c>
      <c r="M10" s="141"/>
      <c r="N10" s="141" t="s">
        <v>12</v>
      </c>
      <c r="O10" s="3" t="s">
        <v>9</v>
      </c>
      <c r="P10" s="141"/>
    </row>
    <row r="11" spans="1:16" ht="15">
      <c r="A11" s="141"/>
      <c r="B11" s="141"/>
      <c r="C11" s="141"/>
      <c r="D11" s="141"/>
      <c r="E11" s="141"/>
      <c r="F11" s="141"/>
      <c r="G11" s="141" t="s">
        <v>10</v>
      </c>
      <c r="H11" s="141" t="s">
        <v>11</v>
      </c>
      <c r="I11" s="141"/>
      <c r="J11" s="141"/>
      <c r="K11" s="141"/>
      <c r="L11" s="141" t="s">
        <v>10</v>
      </c>
      <c r="M11" s="141" t="s">
        <v>11</v>
      </c>
      <c r="N11" s="141"/>
      <c r="O11" s="141" t="s">
        <v>14</v>
      </c>
      <c r="P11" s="141"/>
    </row>
    <row r="12" spans="1:16" ht="44.25" customHeight="1">
      <c r="A12" s="141"/>
      <c r="B12" s="141"/>
      <c r="C12" s="141"/>
      <c r="D12" s="141"/>
      <c r="E12" s="141"/>
      <c r="F12" s="141"/>
      <c r="G12" s="141"/>
      <c r="H12" s="141"/>
      <c r="I12" s="141"/>
      <c r="J12" s="141"/>
      <c r="K12" s="141"/>
      <c r="L12" s="141"/>
      <c r="M12" s="141"/>
      <c r="N12" s="141"/>
      <c r="O12" s="141"/>
      <c r="P12" s="141"/>
    </row>
    <row r="13" spans="1:16" ht="15">
      <c r="A13" s="3">
        <v>1</v>
      </c>
      <c r="B13" s="3">
        <v>2</v>
      </c>
      <c r="C13" s="3">
        <v>3</v>
      </c>
      <c r="D13" s="3">
        <v>4</v>
      </c>
      <c r="E13" s="18">
        <v>5</v>
      </c>
      <c r="F13" s="3">
        <v>6</v>
      </c>
      <c r="G13" s="3">
        <v>7</v>
      </c>
      <c r="H13" s="3">
        <v>8</v>
      </c>
      <c r="I13" s="3">
        <v>9</v>
      </c>
      <c r="J13" s="18">
        <v>10</v>
      </c>
      <c r="K13" s="3">
        <v>11</v>
      </c>
      <c r="L13" s="3">
        <v>12</v>
      </c>
      <c r="M13" s="3">
        <v>13</v>
      </c>
      <c r="N13" s="3">
        <v>14</v>
      </c>
      <c r="O13" s="3">
        <v>15</v>
      </c>
      <c r="P13" s="18">
        <v>16</v>
      </c>
    </row>
    <row r="14" spans="1:16" ht="15">
      <c r="A14" s="33" t="s">
        <v>16</v>
      </c>
      <c r="B14" s="32"/>
      <c r="C14" s="34"/>
      <c r="D14" s="35" t="s">
        <v>352</v>
      </c>
      <c r="E14" s="1">
        <f>F14+I14</f>
        <v>12879492</v>
      </c>
      <c r="F14" s="99">
        <f>SUM(F15:F20)</f>
        <v>12879492</v>
      </c>
      <c r="G14" s="99">
        <f>SUM(G15:G20)</f>
        <v>6637832</v>
      </c>
      <c r="H14" s="99">
        <f>SUM(H15:H20)</f>
        <v>1123873</v>
      </c>
      <c r="I14" s="99">
        <f>SUM(I15:I20)</f>
        <v>0</v>
      </c>
      <c r="J14" s="1">
        <f>K14+N14</f>
        <v>1646400</v>
      </c>
      <c r="K14" s="99">
        <f>SUM(K15:K20)</f>
        <v>0</v>
      </c>
      <c r="L14" s="99">
        <f>SUM(L15:L20)</f>
        <v>0</v>
      </c>
      <c r="M14" s="99">
        <f>SUM(M15:M20)</f>
        <v>0</v>
      </c>
      <c r="N14" s="99">
        <f>SUM(N15:N20)</f>
        <v>1646400</v>
      </c>
      <c r="O14" s="99">
        <f>SUM(O15:O20)</f>
        <v>1646400</v>
      </c>
      <c r="P14" s="1">
        <f>E14+J14</f>
        <v>14525892</v>
      </c>
    </row>
    <row r="15" spans="1:16" ht="15">
      <c r="A15" s="3"/>
      <c r="B15" s="4" t="s">
        <v>18</v>
      </c>
      <c r="C15" s="5" t="s">
        <v>17</v>
      </c>
      <c r="D15" s="6" t="s">
        <v>19</v>
      </c>
      <c r="E15" s="81">
        <f>F15+I15</f>
        <v>12206355</v>
      </c>
      <c r="F15" s="83">
        <f>11752143-782495+1384944+15000+56763-220000</f>
        <v>12206355</v>
      </c>
      <c r="G15" s="83">
        <f>5502632+1135200</f>
        <v>6637832</v>
      </c>
      <c r="H15" s="83">
        <f>1074873+49000</f>
        <v>1123873</v>
      </c>
      <c r="I15" s="83"/>
      <c r="J15" s="81">
        <f>K15+N15</f>
        <v>1370000</v>
      </c>
      <c r="K15" s="83"/>
      <c r="L15" s="83"/>
      <c r="M15" s="83"/>
      <c r="N15" s="83">
        <f>1370000</f>
        <v>1370000</v>
      </c>
      <c r="O15" s="83">
        <f>1370000</f>
        <v>1370000</v>
      </c>
      <c r="P15" s="100">
        <f>E15+J15</f>
        <v>13576355</v>
      </c>
    </row>
    <row r="16" spans="1:16" ht="14.25" customHeight="1">
      <c r="A16" s="3"/>
      <c r="B16" s="4" t="s">
        <v>21</v>
      </c>
      <c r="C16" s="5" t="s">
        <v>20</v>
      </c>
      <c r="D16" s="6" t="s">
        <v>22</v>
      </c>
      <c r="E16" s="81">
        <f aca="true" t="shared" si="0" ref="E16:E22">F16+I16</f>
        <v>450000</v>
      </c>
      <c r="F16" s="83">
        <f>350000+100000</f>
        <v>450000</v>
      </c>
      <c r="G16" s="83"/>
      <c r="H16" s="83"/>
      <c r="I16" s="83"/>
      <c r="J16" s="81">
        <f aca="true" t="shared" si="1" ref="J16:J22">K16+N16</f>
        <v>0</v>
      </c>
      <c r="K16" s="83"/>
      <c r="L16" s="83"/>
      <c r="M16" s="83"/>
      <c r="N16" s="83"/>
      <c r="O16" s="83"/>
      <c r="P16" s="100">
        <f aca="true" t="shared" si="2" ref="P16:P22">E16+J16</f>
        <v>450000</v>
      </c>
    </row>
    <row r="17" spans="1:16" ht="18" customHeight="1">
      <c r="A17" s="3"/>
      <c r="B17" s="4">
        <v>120100</v>
      </c>
      <c r="C17" s="5" t="s">
        <v>20</v>
      </c>
      <c r="D17" s="16" t="s">
        <v>288</v>
      </c>
      <c r="E17" s="81">
        <f t="shared" si="0"/>
        <v>0</v>
      </c>
      <c r="F17" s="83"/>
      <c r="G17" s="83"/>
      <c r="H17" s="83"/>
      <c r="I17" s="83"/>
      <c r="J17" s="81">
        <f t="shared" si="1"/>
        <v>276400</v>
      </c>
      <c r="K17" s="83"/>
      <c r="L17" s="83"/>
      <c r="M17" s="83"/>
      <c r="N17" s="83">
        <f>250000+35000-8600</f>
        <v>276400</v>
      </c>
      <c r="O17" s="83">
        <f>250000+35000-8600</f>
        <v>276400</v>
      </c>
      <c r="P17" s="100">
        <f t="shared" si="2"/>
        <v>276400</v>
      </c>
    </row>
    <row r="18" spans="1:16" ht="20.25" customHeight="1">
      <c r="A18" s="3"/>
      <c r="B18" s="4">
        <v>250404</v>
      </c>
      <c r="C18" s="20" t="s">
        <v>185</v>
      </c>
      <c r="D18" s="6" t="s">
        <v>56</v>
      </c>
      <c r="E18" s="81">
        <f t="shared" si="0"/>
        <v>223137</v>
      </c>
      <c r="F18" s="2">
        <f>139900+140000-56763</f>
        <v>223137</v>
      </c>
      <c r="G18" s="83"/>
      <c r="H18" s="83"/>
      <c r="I18" s="83"/>
      <c r="J18" s="81">
        <f t="shared" si="1"/>
        <v>0</v>
      </c>
      <c r="K18" s="83"/>
      <c r="L18" s="83"/>
      <c r="M18" s="83"/>
      <c r="N18" s="83"/>
      <c r="O18" s="83"/>
      <c r="P18" s="100">
        <f t="shared" si="2"/>
        <v>223137</v>
      </c>
    </row>
    <row r="19" spans="1:16" ht="0.75" customHeight="1" hidden="1">
      <c r="A19" s="3"/>
      <c r="B19" s="4">
        <v>250380</v>
      </c>
      <c r="C19" s="19" t="s">
        <v>46</v>
      </c>
      <c r="D19" s="6" t="s">
        <v>246</v>
      </c>
      <c r="E19" s="81">
        <f t="shared" si="0"/>
        <v>0</v>
      </c>
      <c r="F19" s="2">
        <v>0</v>
      </c>
      <c r="G19" s="2">
        <f>SUM(G20)</f>
        <v>0</v>
      </c>
      <c r="H19" s="2">
        <f>SUM(H20)</f>
        <v>0</v>
      </c>
      <c r="I19" s="2">
        <f>SUM(I20)</f>
        <v>0</v>
      </c>
      <c r="J19" s="81">
        <f t="shared" si="1"/>
        <v>0</v>
      </c>
      <c r="K19" s="2">
        <f>SUM(K20)</f>
        <v>0</v>
      </c>
      <c r="L19" s="2">
        <f>SUM(L20)</f>
        <v>0</v>
      </c>
      <c r="M19" s="2">
        <f>SUM(M20)</f>
        <v>0</v>
      </c>
      <c r="N19" s="2">
        <f>SUM(N20)</f>
        <v>0</v>
      </c>
      <c r="O19" s="2">
        <f>SUM(O20)</f>
        <v>0</v>
      </c>
      <c r="P19" s="100">
        <f t="shared" si="2"/>
        <v>0</v>
      </c>
    </row>
    <row r="20" spans="1:16" ht="12.75" customHeight="1" hidden="1">
      <c r="A20" s="3"/>
      <c r="B20" s="4"/>
      <c r="C20" s="5"/>
      <c r="D20" s="6" t="s">
        <v>270</v>
      </c>
      <c r="E20" s="81">
        <f t="shared" si="0"/>
        <v>0</v>
      </c>
      <c r="F20" s="2">
        <v>0</v>
      </c>
      <c r="G20" s="83"/>
      <c r="H20" s="83"/>
      <c r="I20" s="83"/>
      <c r="J20" s="81">
        <f t="shared" si="1"/>
        <v>0</v>
      </c>
      <c r="K20" s="83"/>
      <c r="L20" s="83"/>
      <c r="M20" s="83"/>
      <c r="N20" s="83"/>
      <c r="O20" s="83"/>
      <c r="P20" s="100">
        <f t="shared" si="2"/>
        <v>0</v>
      </c>
    </row>
    <row r="21" spans="1:16" ht="28.5" customHeight="1" hidden="1">
      <c r="A21" s="3"/>
      <c r="B21" s="4">
        <v>250203</v>
      </c>
      <c r="C21" s="19" t="s">
        <v>293</v>
      </c>
      <c r="D21" s="6" t="s">
        <v>291</v>
      </c>
      <c r="E21" s="81">
        <f t="shared" si="0"/>
        <v>0</v>
      </c>
      <c r="F21" s="2"/>
      <c r="G21" s="83"/>
      <c r="H21" s="83"/>
      <c r="I21" s="83"/>
      <c r="J21" s="81">
        <f t="shared" si="1"/>
        <v>0</v>
      </c>
      <c r="K21" s="83"/>
      <c r="L21" s="83"/>
      <c r="M21" s="83"/>
      <c r="N21" s="83"/>
      <c r="O21" s="83"/>
      <c r="P21" s="100">
        <f t="shared" si="2"/>
        <v>0</v>
      </c>
    </row>
    <row r="22" spans="1:16" ht="57" customHeight="1" hidden="1">
      <c r="A22" s="3"/>
      <c r="B22" s="4">
        <v>250388</v>
      </c>
      <c r="C22" s="19" t="s">
        <v>46</v>
      </c>
      <c r="D22" s="6" t="s">
        <v>292</v>
      </c>
      <c r="E22" s="81">
        <f t="shared" si="0"/>
        <v>0</v>
      </c>
      <c r="F22" s="2"/>
      <c r="G22" s="83"/>
      <c r="H22" s="83"/>
      <c r="I22" s="83"/>
      <c r="J22" s="81">
        <f t="shared" si="1"/>
        <v>0</v>
      </c>
      <c r="K22" s="83"/>
      <c r="L22" s="83"/>
      <c r="M22" s="83"/>
      <c r="N22" s="83"/>
      <c r="O22" s="83"/>
      <c r="P22" s="100">
        <f t="shared" si="2"/>
        <v>0</v>
      </c>
    </row>
    <row r="23" spans="1:16" s="44" customFormat="1" ht="15">
      <c r="A23" s="118" t="s">
        <v>297</v>
      </c>
      <c r="B23" s="32"/>
      <c r="C23" s="32"/>
      <c r="D23" s="78" t="s">
        <v>345</v>
      </c>
      <c r="E23" s="99">
        <f>SUM(F23,I23)</f>
        <v>6413213</v>
      </c>
      <c r="F23" s="99">
        <f>SUM(F24:F29)</f>
        <v>6413213</v>
      </c>
      <c r="G23" s="99">
        <f>SUM(G24:G29)</f>
        <v>2580405</v>
      </c>
      <c r="H23" s="99">
        <f>SUM(H24:H29)</f>
        <v>466785</v>
      </c>
      <c r="I23" s="99">
        <f>SUM(I24:I29)</f>
        <v>0</v>
      </c>
      <c r="J23" s="99">
        <f aca="true" t="shared" si="3" ref="J23:J29">SUM(K23,N23)</f>
        <v>619628</v>
      </c>
      <c r="K23" s="99">
        <f>SUM(K24:K29)</f>
        <v>0</v>
      </c>
      <c r="L23" s="99">
        <f>SUM(L24:L29)</f>
        <v>0</v>
      </c>
      <c r="M23" s="99">
        <f>SUM(M24:M29)</f>
        <v>0</v>
      </c>
      <c r="N23" s="99">
        <f>SUM(N24:N29)</f>
        <v>619628</v>
      </c>
      <c r="O23" s="99">
        <f>SUM(O24:O29)</f>
        <v>619628</v>
      </c>
      <c r="P23" s="101">
        <f aca="true" t="shared" si="4" ref="P23:P29">SUM(E23,J23)</f>
        <v>7032841</v>
      </c>
    </row>
    <row r="24" spans="1:16" s="47" customFormat="1" ht="15">
      <c r="A24" s="42"/>
      <c r="B24" s="42" t="s">
        <v>18</v>
      </c>
      <c r="C24" s="42" t="s">
        <v>17</v>
      </c>
      <c r="D24" s="45" t="s">
        <v>19</v>
      </c>
      <c r="E24" s="86">
        <f aca="true" t="shared" si="5" ref="E24:E29">SUM(F24,I24)</f>
        <v>4733993</v>
      </c>
      <c r="F24" s="94">
        <f>5381101-481110+32700-479622+50000+33000+188252+9672</f>
        <v>4733993</v>
      </c>
      <c r="G24" s="94">
        <f>2861676-393133+87272</f>
        <v>2555815</v>
      </c>
      <c r="H24" s="94">
        <v>466785</v>
      </c>
      <c r="I24" s="96"/>
      <c r="J24" s="86">
        <f t="shared" si="3"/>
        <v>619628</v>
      </c>
      <c r="K24" s="96"/>
      <c r="L24" s="96"/>
      <c r="M24" s="96"/>
      <c r="N24" s="96">
        <f>217300+500000-33000-64672</f>
        <v>619628</v>
      </c>
      <c r="O24" s="96">
        <f>217300+500000-33000-64672</f>
        <v>619628</v>
      </c>
      <c r="P24" s="102">
        <f t="shared" si="4"/>
        <v>5353621</v>
      </c>
    </row>
    <row r="25" spans="1:16" s="47" customFormat="1" ht="15">
      <c r="A25" s="42"/>
      <c r="B25" s="42" t="s">
        <v>336</v>
      </c>
      <c r="C25" s="42" t="s">
        <v>337</v>
      </c>
      <c r="D25" s="45" t="s">
        <v>338</v>
      </c>
      <c r="E25" s="86">
        <f t="shared" si="5"/>
        <v>30000</v>
      </c>
      <c r="F25" s="94">
        <v>30000</v>
      </c>
      <c r="G25" s="94">
        <v>24590</v>
      </c>
      <c r="H25" s="94"/>
      <c r="I25" s="96"/>
      <c r="J25" s="86">
        <f t="shared" si="3"/>
        <v>0</v>
      </c>
      <c r="K25" s="96"/>
      <c r="L25" s="96"/>
      <c r="M25" s="96"/>
      <c r="N25" s="96"/>
      <c r="O25" s="96"/>
      <c r="P25" s="102">
        <f t="shared" si="4"/>
        <v>30000</v>
      </c>
    </row>
    <row r="26" spans="1:16" s="47" customFormat="1" ht="30">
      <c r="A26" s="42"/>
      <c r="B26" s="15" t="s">
        <v>53</v>
      </c>
      <c r="C26" s="51">
        <v>1040</v>
      </c>
      <c r="D26" s="8" t="s">
        <v>54</v>
      </c>
      <c r="E26" s="86">
        <f t="shared" si="5"/>
        <v>0</v>
      </c>
      <c r="F26" s="94">
        <f>3000-3000</f>
        <v>0</v>
      </c>
      <c r="G26" s="94"/>
      <c r="H26" s="94"/>
      <c r="I26" s="96"/>
      <c r="J26" s="86">
        <f t="shared" si="3"/>
        <v>0</v>
      </c>
      <c r="K26" s="96"/>
      <c r="L26" s="96"/>
      <c r="M26" s="96"/>
      <c r="N26" s="96"/>
      <c r="O26" s="96"/>
      <c r="P26" s="102">
        <f t="shared" si="4"/>
        <v>0</v>
      </c>
    </row>
    <row r="27" spans="1:16" s="47" customFormat="1" ht="15">
      <c r="A27" s="42"/>
      <c r="B27" s="40">
        <v>100203</v>
      </c>
      <c r="C27" s="7" t="s">
        <v>191</v>
      </c>
      <c r="D27" s="48" t="s">
        <v>193</v>
      </c>
      <c r="E27" s="86">
        <f t="shared" si="5"/>
        <v>1649220</v>
      </c>
      <c r="F27" s="94">
        <f>1000000-30000+500000+195000-70780+55000</f>
        <v>1649220</v>
      </c>
      <c r="G27" s="94"/>
      <c r="H27" s="94"/>
      <c r="I27" s="94"/>
      <c r="J27" s="86">
        <f t="shared" si="3"/>
        <v>0</v>
      </c>
      <c r="K27" s="94"/>
      <c r="L27" s="94"/>
      <c r="M27" s="94"/>
      <c r="N27" s="113"/>
      <c r="O27" s="113"/>
      <c r="P27" s="102">
        <f t="shared" si="4"/>
        <v>1649220</v>
      </c>
    </row>
    <row r="28" spans="1:16" s="47" customFormat="1" ht="30" hidden="1">
      <c r="A28" s="42"/>
      <c r="B28" s="40">
        <v>110103</v>
      </c>
      <c r="C28" s="40">
        <v>822</v>
      </c>
      <c r="D28" s="48" t="s">
        <v>165</v>
      </c>
      <c r="E28" s="86">
        <f t="shared" si="5"/>
        <v>0</v>
      </c>
      <c r="F28" s="94"/>
      <c r="G28" s="94"/>
      <c r="H28" s="94"/>
      <c r="I28" s="94"/>
      <c r="J28" s="86">
        <f t="shared" si="3"/>
        <v>0</v>
      </c>
      <c r="K28" s="94"/>
      <c r="L28" s="94"/>
      <c r="M28" s="94"/>
      <c r="N28" s="94"/>
      <c r="O28" s="94"/>
      <c r="P28" s="102">
        <f t="shared" si="4"/>
        <v>0</v>
      </c>
    </row>
    <row r="29" spans="1:16" s="47" customFormat="1" ht="14.25" customHeight="1" hidden="1">
      <c r="A29" s="42"/>
      <c r="B29" s="40">
        <v>250203</v>
      </c>
      <c r="C29" s="42" t="s">
        <v>293</v>
      </c>
      <c r="D29" s="48" t="s">
        <v>298</v>
      </c>
      <c r="E29" s="86">
        <f t="shared" si="5"/>
        <v>0</v>
      </c>
      <c r="F29" s="94"/>
      <c r="G29" s="94"/>
      <c r="H29" s="94"/>
      <c r="I29" s="94"/>
      <c r="J29" s="86">
        <f t="shared" si="3"/>
        <v>0</v>
      </c>
      <c r="K29" s="94"/>
      <c r="L29" s="94"/>
      <c r="M29" s="94"/>
      <c r="N29" s="94"/>
      <c r="O29" s="94"/>
      <c r="P29" s="102">
        <f t="shared" si="4"/>
        <v>0</v>
      </c>
    </row>
    <row r="30" spans="1:16" s="49" customFormat="1" ht="15">
      <c r="A30" s="118" t="s">
        <v>299</v>
      </c>
      <c r="B30" s="32"/>
      <c r="C30" s="34"/>
      <c r="D30" s="35" t="s">
        <v>300</v>
      </c>
      <c r="E30" s="1">
        <f>F30+I30</f>
        <v>6671993</v>
      </c>
      <c r="F30" s="99">
        <f>SUM(F31:F34)</f>
        <v>6671993</v>
      </c>
      <c r="G30" s="99">
        <f>SUM(G31:G34)</f>
        <v>2512137</v>
      </c>
      <c r="H30" s="99">
        <f>SUM(H31:H34)</f>
        <v>1141600</v>
      </c>
      <c r="I30" s="99">
        <f>SUM(I31:I34)</f>
        <v>0</v>
      </c>
      <c r="J30" s="1">
        <f aca="true" t="shared" si="6" ref="J30:J44">K30+N30</f>
        <v>1534212</v>
      </c>
      <c r="K30" s="99">
        <f>SUM(K31:K34)</f>
        <v>425600</v>
      </c>
      <c r="L30" s="99">
        <f>SUM(L31:L34)</f>
        <v>0</v>
      </c>
      <c r="M30" s="99">
        <f>SUM(M31:M34)</f>
        <v>320000</v>
      </c>
      <c r="N30" s="99">
        <f>SUM(N31:N34)</f>
        <v>1108612</v>
      </c>
      <c r="O30" s="99">
        <f>SUM(O31:O34)</f>
        <v>1108612</v>
      </c>
      <c r="P30" s="103">
        <f>E30+J30</f>
        <v>8206205</v>
      </c>
    </row>
    <row r="31" spans="1:16" s="49" customFormat="1" ht="15">
      <c r="A31" s="42"/>
      <c r="B31" s="15" t="s">
        <v>18</v>
      </c>
      <c r="C31" s="7" t="s">
        <v>17</v>
      </c>
      <c r="D31" s="8" t="s">
        <v>19</v>
      </c>
      <c r="E31" s="81">
        <f aca="true" t="shared" si="7" ref="E31:E37">F31+I31</f>
        <v>5211808</v>
      </c>
      <c r="F31" s="2">
        <f>4978654-471833+282700-551521+99870+873938</f>
        <v>5211808</v>
      </c>
      <c r="G31" s="2">
        <f>2875102-452066+60933</f>
        <v>2483969</v>
      </c>
      <c r="H31" s="2">
        <f>350000+791600</f>
        <v>1141600</v>
      </c>
      <c r="I31" s="2"/>
      <c r="J31" s="81">
        <f t="shared" si="6"/>
        <v>1442900</v>
      </c>
      <c r="K31" s="2">
        <v>425600</v>
      </c>
      <c r="L31" s="2"/>
      <c r="M31" s="2">
        <v>320000</v>
      </c>
      <c r="N31" s="2">
        <f>217300+800000</f>
        <v>1017300</v>
      </c>
      <c r="O31" s="2">
        <f>217300+800000</f>
        <v>1017300</v>
      </c>
      <c r="P31" s="100">
        <f>E31+J31</f>
        <v>6654708</v>
      </c>
    </row>
    <row r="32" spans="1:16" s="47" customFormat="1" ht="15">
      <c r="A32" s="42"/>
      <c r="B32" s="42" t="s">
        <v>336</v>
      </c>
      <c r="C32" s="42" t="s">
        <v>337</v>
      </c>
      <c r="D32" s="45" t="s">
        <v>338</v>
      </c>
      <c r="E32" s="86">
        <f>SUM(F32,I32)</f>
        <v>34365</v>
      </c>
      <c r="F32" s="94">
        <v>34365</v>
      </c>
      <c r="G32" s="94">
        <v>28168</v>
      </c>
      <c r="H32" s="94"/>
      <c r="I32" s="96"/>
      <c r="J32" s="86">
        <f>SUM(K32,N32)</f>
        <v>0</v>
      </c>
      <c r="K32" s="96"/>
      <c r="L32" s="96"/>
      <c r="M32" s="96"/>
      <c r="N32" s="96"/>
      <c r="O32" s="96"/>
      <c r="P32" s="102">
        <f>SUM(E32,J32)</f>
        <v>34365</v>
      </c>
    </row>
    <row r="33" spans="1:16" s="49" customFormat="1" ht="15">
      <c r="A33" s="42"/>
      <c r="B33" s="15">
        <v>100203</v>
      </c>
      <c r="C33" s="7" t="s">
        <v>191</v>
      </c>
      <c r="D33" s="8" t="s">
        <v>193</v>
      </c>
      <c r="E33" s="81">
        <f t="shared" si="7"/>
        <v>1423000</v>
      </c>
      <c r="F33" s="2">
        <f>1000000-45688+500000-91312+60000</f>
        <v>1423000</v>
      </c>
      <c r="G33" s="2"/>
      <c r="H33" s="2"/>
      <c r="I33" s="2"/>
      <c r="J33" s="81">
        <f t="shared" si="6"/>
        <v>91312</v>
      </c>
      <c r="K33" s="2"/>
      <c r="L33" s="2"/>
      <c r="M33" s="2"/>
      <c r="N33" s="2">
        <v>91312</v>
      </c>
      <c r="O33" s="2">
        <v>91312</v>
      </c>
      <c r="P33" s="100">
        <f aca="true" t="shared" si="8" ref="P33:P38">E33+J33</f>
        <v>1514312</v>
      </c>
    </row>
    <row r="34" spans="1:16" s="49" customFormat="1" ht="30">
      <c r="A34" s="42"/>
      <c r="B34" s="15" t="s">
        <v>53</v>
      </c>
      <c r="C34" s="51">
        <v>1040</v>
      </c>
      <c r="D34" s="8" t="s">
        <v>54</v>
      </c>
      <c r="E34" s="81">
        <f t="shared" si="7"/>
        <v>2820</v>
      </c>
      <c r="F34" s="2">
        <v>2820</v>
      </c>
      <c r="G34" s="2"/>
      <c r="H34" s="2"/>
      <c r="I34" s="2"/>
      <c r="J34" s="81">
        <f t="shared" si="6"/>
        <v>0</v>
      </c>
      <c r="K34" s="2"/>
      <c r="L34" s="2"/>
      <c r="M34" s="2"/>
      <c r="N34" s="2"/>
      <c r="O34" s="2"/>
      <c r="P34" s="100">
        <f t="shared" si="8"/>
        <v>2820</v>
      </c>
    </row>
    <row r="35" spans="1:16" s="49" customFormat="1" ht="30" hidden="1">
      <c r="A35" s="42"/>
      <c r="B35" s="15">
        <v>130106</v>
      </c>
      <c r="C35" s="7" t="s">
        <v>43</v>
      </c>
      <c r="D35" s="8" t="s">
        <v>66</v>
      </c>
      <c r="E35" s="81">
        <f t="shared" si="7"/>
        <v>0</v>
      </c>
      <c r="F35" s="2">
        <v>0</v>
      </c>
      <c r="G35" s="2"/>
      <c r="H35" s="2"/>
      <c r="I35" s="2"/>
      <c r="J35" s="81">
        <f t="shared" si="6"/>
        <v>0</v>
      </c>
      <c r="K35" s="2"/>
      <c r="L35" s="2"/>
      <c r="M35" s="2"/>
      <c r="N35" s="2"/>
      <c r="O35" s="2"/>
      <c r="P35" s="100">
        <f t="shared" si="8"/>
        <v>0</v>
      </c>
    </row>
    <row r="36" spans="1:16" s="49" customFormat="1" ht="30" hidden="1">
      <c r="A36" s="42"/>
      <c r="B36" s="15">
        <v>250203</v>
      </c>
      <c r="C36" s="7" t="s">
        <v>293</v>
      </c>
      <c r="D36" s="8" t="s">
        <v>301</v>
      </c>
      <c r="E36" s="81">
        <f t="shared" si="7"/>
        <v>0</v>
      </c>
      <c r="F36" s="2"/>
      <c r="G36" s="2"/>
      <c r="H36" s="2"/>
      <c r="I36" s="2"/>
      <c r="J36" s="81">
        <f t="shared" si="6"/>
        <v>0</v>
      </c>
      <c r="K36" s="2"/>
      <c r="L36" s="52"/>
      <c r="M36" s="2"/>
      <c r="N36" s="2"/>
      <c r="O36" s="2"/>
      <c r="P36" s="100">
        <f t="shared" si="8"/>
        <v>0</v>
      </c>
    </row>
    <row r="37" spans="1:16" s="47" customFormat="1" ht="15">
      <c r="A37" s="129" t="s">
        <v>302</v>
      </c>
      <c r="B37" s="129"/>
      <c r="C37" s="129"/>
      <c r="D37" s="79" t="s">
        <v>303</v>
      </c>
      <c r="E37" s="77">
        <f t="shared" si="7"/>
        <v>5935197</v>
      </c>
      <c r="F37" s="99">
        <f>SUM(F38:F41)</f>
        <v>5935197</v>
      </c>
      <c r="G37" s="99">
        <f>SUM(G38:G41)</f>
        <v>2549948</v>
      </c>
      <c r="H37" s="99">
        <f>SUM(H38:H41)</f>
        <v>492204</v>
      </c>
      <c r="I37" s="99">
        <f>SUM(I38:I41)</f>
        <v>0</v>
      </c>
      <c r="J37" s="77">
        <f t="shared" si="6"/>
        <v>150316</v>
      </c>
      <c r="K37" s="99">
        <f>SUM(K38:K41)</f>
        <v>0</v>
      </c>
      <c r="L37" s="99">
        <f>SUM(L38:L41)</f>
        <v>0</v>
      </c>
      <c r="M37" s="99">
        <f>SUM(M38:M41)</f>
        <v>0</v>
      </c>
      <c r="N37" s="99">
        <f>SUM(N38:N41)</f>
        <v>150316</v>
      </c>
      <c r="O37" s="99">
        <f>SUM(O38:O41)</f>
        <v>150316</v>
      </c>
      <c r="P37" s="104">
        <f t="shared" si="8"/>
        <v>6085513</v>
      </c>
    </row>
    <row r="38" spans="1:16" s="47" customFormat="1" ht="15">
      <c r="A38" s="54"/>
      <c r="B38" s="54" t="s">
        <v>18</v>
      </c>
      <c r="C38" s="54" t="s">
        <v>17</v>
      </c>
      <c r="D38" s="55" t="s">
        <v>19</v>
      </c>
      <c r="E38" s="87">
        <f aca="true" t="shared" si="9" ref="E38:E44">F38+I38</f>
        <v>4293897</v>
      </c>
      <c r="F38" s="56">
        <f>4923255-443537+32700-476139+4300+131334+55000+66984</f>
        <v>4293897</v>
      </c>
      <c r="G38" s="56">
        <f>2818193-390278+97443</f>
        <v>2525358</v>
      </c>
      <c r="H38" s="56">
        <f>440194+2010+25000+25000</f>
        <v>492204</v>
      </c>
      <c r="I38" s="56"/>
      <c r="J38" s="87">
        <f t="shared" si="6"/>
        <v>150316</v>
      </c>
      <c r="K38" s="56"/>
      <c r="L38" s="56"/>
      <c r="M38" s="56"/>
      <c r="N38" s="56">
        <f>217300-66984</f>
        <v>150316</v>
      </c>
      <c r="O38" s="56">
        <f>217300-66984</f>
        <v>150316</v>
      </c>
      <c r="P38" s="105">
        <f t="shared" si="8"/>
        <v>4444213</v>
      </c>
    </row>
    <row r="39" spans="1:16" s="47" customFormat="1" ht="15">
      <c r="A39" s="42"/>
      <c r="B39" s="42" t="s">
        <v>336</v>
      </c>
      <c r="C39" s="42" t="s">
        <v>337</v>
      </c>
      <c r="D39" s="45" t="s">
        <v>338</v>
      </c>
      <c r="E39" s="86">
        <f>SUM(F39,I39)</f>
        <v>30000</v>
      </c>
      <c r="F39" s="94">
        <v>30000</v>
      </c>
      <c r="G39" s="94">
        <v>24590</v>
      </c>
      <c r="H39" s="94"/>
      <c r="I39" s="96"/>
      <c r="J39" s="86">
        <f>SUM(K39,N39)</f>
        <v>0</v>
      </c>
      <c r="K39" s="96"/>
      <c r="L39" s="96"/>
      <c r="M39" s="96"/>
      <c r="N39" s="96"/>
      <c r="O39" s="96"/>
      <c r="P39" s="102">
        <f>SUM(E39,J39)</f>
        <v>30000</v>
      </c>
    </row>
    <row r="40" spans="1:16" s="47" customFormat="1" ht="15">
      <c r="A40" s="54"/>
      <c r="B40" s="54">
        <v>100203</v>
      </c>
      <c r="C40" s="54" t="s">
        <v>191</v>
      </c>
      <c r="D40" s="55" t="s">
        <v>193</v>
      </c>
      <c r="E40" s="87">
        <f t="shared" si="9"/>
        <v>1610000</v>
      </c>
      <c r="F40" s="56">
        <f>1000000-30000+500000+195000-55000</f>
        <v>1610000</v>
      </c>
      <c r="G40" s="56"/>
      <c r="H40" s="56"/>
      <c r="I40" s="56"/>
      <c r="J40" s="87">
        <f t="shared" si="6"/>
        <v>0</v>
      </c>
      <c r="K40" s="56"/>
      <c r="L40" s="56"/>
      <c r="M40" s="56"/>
      <c r="N40" s="56"/>
      <c r="O40" s="56"/>
      <c r="P40" s="105">
        <f>E40+J40</f>
        <v>1610000</v>
      </c>
    </row>
    <row r="41" spans="1:16" s="47" customFormat="1" ht="30">
      <c r="A41" s="53"/>
      <c r="B41" s="15" t="s">
        <v>53</v>
      </c>
      <c r="C41" s="51">
        <v>1040</v>
      </c>
      <c r="D41" s="8" t="s">
        <v>54</v>
      </c>
      <c r="E41" s="87">
        <f t="shared" si="9"/>
        <v>1300</v>
      </c>
      <c r="F41" s="56">
        <f>5600-4300</f>
        <v>1300</v>
      </c>
      <c r="G41" s="56"/>
      <c r="H41" s="56"/>
      <c r="I41" s="56"/>
      <c r="J41" s="87">
        <f t="shared" si="6"/>
        <v>0</v>
      </c>
      <c r="K41" s="56"/>
      <c r="L41" s="56"/>
      <c r="M41" s="56"/>
      <c r="N41" s="56"/>
      <c r="O41" s="56"/>
      <c r="P41" s="105">
        <f>E41+J41</f>
        <v>1300</v>
      </c>
    </row>
    <row r="42" spans="1:16" s="47" customFormat="1" ht="30" hidden="1">
      <c r="A42" s="53"/>
      <c r="B42" s="54" t="s">
        <v>304</v>
      </c>
      <c r="C42" s="54" t="s">
        <v>293</v>
      </c>
      <c r="D42" s="55" t="s">
        <v>291</v>
      </c>
      <c r="E42" s="87">
        <f t="shared" si="9"/>
        <v>0</v>
      </c>
      <c r="F42" s="56"/>
      <c r="G42" s="56"/>
      <c r="H42" s="56"/>
      <c r="I42" s="56"/>
      <c r="J42" s="87">
        <f t="shared" si="6"/>
        <v>0</v>
      </c>
      <c r="K42" s="56"/>
      <c r="L42" s="56"/>
      <c r="M42" s="56"/>
      <c r="N42" s="56"/>
      <c r="O42" s="56"/>
      <c r="P42" s="87">
        <f>E42+J42</f>
        <v>0</v>
      </c>
    </row>
    <row r="43" spans="1:16" ht="21.75" customHeight="1">
      <c r="A43" s="33" t="s">
        <v>23</v>
      </c>
      <c r="B43" s="32"/>
      <c r="C43" s="34"/>
      <c r="D43" s="35" t="s">
        <v>353</v>
      </c>
      <c r="E43" s="1">
        <f>F43+I43</f>
        <v>468360778.71000004</v>
      </c>
      <c r="F43" s="1">
        <f>F44+F45+F49+F55+F57+F60+F61+F63+F64+F65+F66+F67+F68+F69+F58+F71+F62</f>
        <v>468360778.71000004</v>
      </c>
      <c r="G43" s="1">
        <f>G44+G45+G49+G55+G57+G60+G61+G63+G64+G65+G66+G67+G68+G69+G58+G71+G62</f>
        <v>259267696</v>
      </c>
      <c r="H43" s="1">
        <f>H44+H45+H49+H55+H57+H60+H61+H63+H64+H65+H66+H67+H68+H69+H58+H71+H62</f>
        <v>84225091</v>
      </c>
      <c r="I43" s="1">
        <f>I44+I45+I49+I55+I57+I60+I61+I63+I64+I65+I66+I67+I68+I69+I58+I71+I62</f>
        <v>0</v>
      </c>
      <c r="J43" s="1">
        <f t="shared" si="6"/>
        <v>43023334.97</v>
      </c>
      <c r="K43" s="1">
        <f>K44+K45+K49+K55+K57+K60+K61+K63+K64+K65+K66+K67+K68+K69+K58+K71+K62</f>
        <v>28060995</v>
      </c>
      <c r="L43" s="1">
        <f>L44+L45+L49+L55+L57+L60+L61+L63+L64+L65+L66+L67+L68+L69+L58+L71+L62</f>
        <v>185760</v>
      </c>
      <c r="M43" s="1">
        <f>M44+M45+M49+M55+M57+M60+M61+M63+M64+M65+M66+M67+M68+M69+M58+M71+M62</f>
        <v>192500</v>
      </c>
      <c r="N43" s="1">
        <f>N44+N45+N49+N55+N57+N60+N61+N63+N64+N65+N66+N67+N68+N69+N58+N71+N62</f>
        <v>14962339.97</v>
      </c>
      <c r="O43" s="1">
        <f>O44+O45+O49+O55+O57+O60+O61+O63+O64+O65+O66+O67+O68+O69+O58+O71+O62</f>
        <v>14854789.97</v>
      </c>
      <c r="P43" s="1">
        <f>E43+J43</f>
        <v>511384113.68000007</v>
      </c>
    </row>
    <row r="44" spans="1:16" ht="15">
      <c r="A44" s="3"/>
      <c r="B44" s="4" t="s">
        <v>18</v>
      </c>
      <c r="C44" s="20" t="s">
        <v>17</v>
      </c>
      <c r="D44" s="6" t="s">
        <v>19</v>
      </c>
      <c r="E44" s="81">
        <f t="shared" si="9"/>
        <v>985475</v>
      </c>
      <c r="F44" s="83">
        <f>324666-32065+52040+602534+51500-13200</f>
        <v>985475</v>
      </c>
      <c r="G44" s="83">
        <f>224233+42656+370482</f>
        <v>637371</v>
      </c>
      <c r="H44" s="83">
        <v>34275</v>
      </c>
      <c r="I44" s="83"/>
      <c r="J44" s="81">
        <f t="shared" si="6"/>
        <v>18445</v>
      </c>
      <c r="K44" s="83">
        <v>7295</v>
      </c>
      <c r="L44" s="83"/>
      <c r="M44" s="83"/>
      <c r="N44" s="83">
        <f>1150+10000</f>
        <v>11150</v>
      </c>
      <c r="O44" s="83">
        <v>10000</v>
      </c>
      <c r="P44" s="81">
        <f>E44+J44</f>
        <v>1003920</v>
      </c>
    </row>
    <row r="45" spans="1:16" ht="27.75" customHeight="1">
      <c r="A45" s="3"/>
      <c r="B45" s="4" t="s">
        <v>25</v>
      </c>
      <c r="C45" s="5" t="s">
        <v>24</v>
      </c>
      <c r="D45" s="6" t="s">
        <v>26</v>
      </c>
      <c r="E45" s="81">
        <f aca="true" t="shared" si="10" ref="E45:E71">F45+I45</f>
        <v>137914661.57999998</v>
      </c>
      <c r="F45" s="83">
        <f>147931300-10837300+400000-43500+15000+28000+99000+120000+93672+40187+33170+9400+25000+140000+113270.44-400000+700+120000+56000+69000+25000+35000+8300+14050-1500-35500+38014-19140+14675.14+11663+37000-868500-39600+132000+29100+36000+900+63000+3400+18300+23000+406600-30000</f>
        <v>137914661.57999998</v>
      </c>
      <c r="G45" s="83">
        <f>75786000-868500+132000</f>
        <v>75049500</v>
      </c>
      <c r="H45" s="83">
        <f>27251300+63000+3400+18300+23000</f>
        <v>27359000</v>
      </c>
      <c r="I45" s="83"/>
      <c r="J45" s="81">
        <f aca="true" t="shared" si="11" ref="J45:J185">K45+N45</f>
        <v>16042286</v>
      </c>
      <c r="K45" s="83">
        <v>12900000</v>
      </c>
      <c r="L45" s="83"/>
      <c r="M45" s="83"/>
      <c r="N45" s="83">
        <f>800000+43500+91000+9400+41328-33170-9400+7000+400000+1354730+276600+15000+30000+115000+100000+3798+30000-132500</f>
        <v>3142286</v>
      </c>
      <c r="O45" s="83">
        <f>800000+43500+91000+9400+41328-33170-9400+7000+400000+1354730+276600+15000+30000+115000+100000+3798+30000-132500</f>
        <v>3142286</v>
      </c>
      <c r="P45" s="81">
        <f aca="true" t="shared" si="12" ref="P45:P71">E45+J45</f>
        <v>153956947.57999998</v>
      </c>
    </row>
    <row r="46" spans="1:16" ht="57" customHeight="1">
      <c r="A46" s="3"/>
      <c r="B46" s="4"/>
      <c r="C46" s="5"/>
      <c r="D46" s="6" t="s">
        <v>295</v>
      </c>
      <c r="E46" s="81">
        <f t="shared" si="10"/>
        <v>0</v>
      </c>
      <c r="F46" s="83"/>
      <c r="G46" s="83"/>
      <c r="H46" s="83"/>
      <c r="I46" s="83"/>
      <c r="J46" s="81">
        <f t="shared" si="11"/>
        <v>276600</v>
      </c>
      <c r="K46" s="83"/>
      <c r="L46" s="83"/>
      <c r="M46" s="83"/>
      <c r="N46" s="83">
        <v>276600</v>
      </c>
      <c r="O46" s="83">
        <v>276600</v>
      </c>
      <c r="P46" s="81">
        <f t="shared" si="12"/>
        <v>276600</v>
      </c>
    </row>
    <row r="47" spans="1:16" ht="20.25" customHeight="1">
      <c r="A47" s="3"/>
      <c r="B47" s="4"/>
      <c r="C47" s="5"/>
      <c r="D47" s="6" t="s">
        <v>377</v>
      </c>
      <c r="E47" s="81">
        <f t="shared" si="10"/>
        <v>0</v>
      </c>
      <c r="F47" s="83"/>
      <c r="G47" s="83"/>
      <c r="H47" s="83"/>
      <c r="I47" s="83"/>
      <c r="J47" s="81">
        <f t="shared" si="11"/>
        <v>115000</v>
      </c>
      <c r="K47" s="83"/>
      <c r="L47" s="83"/>
      <c r="M47" s="83"/>
      <c r="N47" s="83">
        <v>115000</v>
      </c>
      <c r="O47" s="83">
        <v>115000</v>
      </c>
      <c r="P47" s="81">
        <f t="shared" si="12"/>
        <v>115000</v>
      </c>
    </row>
    <row r="48" spans="1:16" ht="35.25" customHeight="1">
      <c r="A48" s="3"/>
      <c r="B48" s="4"/>
      <c r="C48" s="5"/>
      <c r="D48" s="6" t="s">
        <v>381</v>
      </c>
      <c r="E48" s="81">
        <f t="shared" si="10"/>
        <v>14165.14</v>
      </c>
      <c r="F48" s="83">
        <v>14165.14</v>
      </c>
      <c r="G48" s="83"/>
      <c r="H48" s="83"/>
      <c r="I48" s="83"/>
      <c r="J48" s="81">
        <f t="shared" si="11"/>
        <v>0</v>
      </c>
      <c r="K48" s="83"/>
      <c r="L48" s="83"/>
      <c r="M48" s="83"/>
      <c r="N48" s="83"/>
      <c r="O48" s="83"/>
      <c r="P48" s="81">
        <f t="shared" si="12"/>
        <v>14165.14</v>
      </c>
    </row>
    <row r="49" spans="1:16" ht="27.75" customHeight="1">
      <c r="A49" s="3"/>
      <c r="B49" s="4" t="s">
        <v>28</v>
      </c>
      <c r="C49" s="5" t="s">
        <v>27</v>
      </c>
      <c r="D49" s="6" t="s">
        <v>29</v>
      </c>
      <c r="E49" s="81">
        <f t="shared" si="10"/>
        <v>233756096.13000003</v>
      </c>
      <c r="F49" s="83">
        <f>250303900-14511700-4567300+1274700-53000-143300+150000+380000+19000+54900+21000+5000+252370.77+146127.78+51607+96160+305800+16400+442600+230000+498155+556200+107359+101275+1030000+194000+60000+50000+50500+154838.76+60000+9550+32743+101962.31+144000+47117.68+61587.5+152684+53650-4255256+5000+66464.33+675600+268700-132000-29100-36000-900-63000-3400-18300-23000-691600+53000</f>
        <v>233756096.13000003</v>
      </c>
      <c r="G49" s="83">
        <f>133419500+455900+675600-132000</f>
        <v>134419000</v>
      </c>
      <c r="H49" s="83">
        <f>48174900-4255256-63000-3400-18300-23000</f>
        <v>43811944</v>
      </c>
      <c r="I49" s="83"/>
      <c r="J49" s="81">
        <f t="shared" si="11"/>
        <v>23704453</v>
      </c>
      <c r="K49" s="83">
        <v>13918700</v>
      </c>
      <c r="L49" s="83">
        <v>86800</v>
      </c>
      <c r="M49" s="83">
        <v>95100</v>
      </c>
      <c r="N49" s="83">
        <f>11300+5900000+53000+143300-53105-146895+65399-96160+169000+128680-305800+747400+442630+146895-17+147900-113419-102881+2181020+247553+240000-10247+10000+7200+26000-53000</f>
        <v>9785753</v>
      </c>
      <c r="O49" s="83">
        <f>5900000+53000+143300-53105-146895+65399-96160+169000+128680-305800+747400+442630+146895-17+147900-113419-102881+2181020+247553+240000-10247+10000+7200+26000-53000</f>
        <v>9774453</v>
      </c>
      <c r="P49" s="81">
        <f t="shared" si="12"/>
        <v>257460549.13000003</v>
      </c>
    </row>
    <row r="50" spans="1:16" ht="27.75" customHeight="1">
      <c r="A50" s="3"/>
      <c r="B50" s="4"/>
      <c r="C50" s="5"/>
      <c r="D50" s="6" t="s">
        <v>260</v>
      </c>
      <c r="E50" s="81">
        <f t="shared" si="10"/>
        <v>176734600</v>
      </c>
      <c r="F50" s="83">
        <f>201997200-14511700-6734800-5264000+691700+556200</f>
        <v>176734600</v>
      </c>
      <c r="G50" s="83">
        <f>133419500+455900</f>
        <v>133875400</v>
      </c>
      <c r="H50" s="83">
        <f>20146400-6734800</f>
        <v>13411600</v>
      </c>
      <c r="I50" s="83"/>
      <c r="J50" s="81">
        <f t="shared" si="11"/>
        <v>1870000</v>
      </c>
      <c r="K50" s="83"/>
      <c r="L50" s="83"/>
      <c r="M50" s="83"/>
      <c r="N50" s="83">
        <v>1870000</v>
      </c>
      <c r="O50" s="83">
        <v>1870000</v>
      </c>
      <c r="P50" s="81">
        <f t="shared" si="12"/>
        <v>178604600</v>
      </c>
    </row>
    <row r="51" spans="1:16" ht="63" customHeight="1">
      <c r="A51" s="3"/>
      <c r="B51" s="4"/>
      <c r="C51" s="5"/>
      <c r="D51" s="6" t="s">
        <v>295</v>
      </c>
      <c r="E51" s="81"/>
      <c r="F51" s="83"/>
      <c r="G51" s="83"/>
      <c r="H51" s="83"/>
      <c r="I51" s="83"/>
      <c r="J51" s="81">
        <f t="shared" si="11"/>
        <v>240000</v>
      </c>
      <c r="K51" s="83"/>
      <c r="L51" s="83"/>
      <c r="M51" s="83"/>
      <c r="N51" s="83">
        <v>240000</v>
      </c>
      <c r="O51" s="83">
        <v>240000</v>
      </c>
      <c r="P51" s="81">
        <f t="shared" si="12"/>
        <v>240000</v>
      </c>
    </row>
    <row r="52" spans="1:16" ht="81.75" customHeight="1">
      <c r="A52" s="3"/>
      <c r="B52" s="4"/>
      <c r="C52" s="5"/>
      <c r="D52" s="6" t="s">
        <v>348</v>
      </c>
      <c r="E52" s="81">
        <f t="shared" si="10"/>
        <v>0</v>
      </c>
      <c r="F52" s="83"/>
      <c r="G52" s="83"/>
      <c r="H52" s="83"/>
      <c r="I52" s="83"/>
      <c r="J52" s="81">
        <f t="shared" si="11"/>
        <v>442630</v>
      </c>
      <c r="K52" s="83"/>
      <c r="L52" s="83"/>
      <c r="M52" s="83"/>
      <c r="N52" s="83">
        <v>442630</v>
      </c>
      <c r="O52" s="83">
        <v>442630</v>
      </c>
      <c r="P52" s="81">
        <f t="shared" si="12"/>
        <v>442630</v>
      </c>
    </row>
    <row r="53" spans="1:16" ht="36" customHeight="1">
      <c r="A53" s="3"/>
      <c r="B53" s="4"/>
      <c r="C53" s="5"/>
      <c r="D53" s="6" t="s">
        <v>381</v>
      </c>
      <c r="E53" s="81">
        <f t="shared" si="10"/>
        <v>178582.01</v>
      </c>
      <c r="F53" s="83">
        <f>5000+60000+47117.68+66464.33</f>
        <v>178582.01</v>
      </c>
      <c r="G53" s="83"/>
      <c r="H53" s="83"/>
      <c r="I53" s="83"/>
      <c r="J53" s="81">
        <f t="shared" si="11"/>
        <v>0</v>
      </c>
      <c r="K53" s="83"/>
      <c r="L53" s="83"/>
      <c r="M53" s="83"/>
      <c r="N53" s="83"/>
      <c r="O53" s="83"/>
      <c r="P53" s="81">
        <f t="shared" si="12"/>
        <v>178582.01</v>
      </c>
    </row>
    <row r="54" spans="1:16" ht="0.75" customHeight="1" hidden="1">
      <c r="A54" s="3"/>
      <c r="B54" s="4"/>
      <c r="C54" s="5"/>
      <c r="D54" s="6" t="s">
        <v>296</v>
      </c>
      <c r="E54" s="81">
        <f t="shared" si="10"/>
        <v>0</v>
      </c>
      <c r="F54" s="83"/>
      <c r="G54" s="83"/>
      <c r="H54" s="83"/>
      <c r="I54" s="83"/>
      <c r="J54" s="81">
        <f t="shared" si="11"/>
        <v>0</v>
      </c>
      <c r="K54" s="83"/>
      <c r="L54" s="83"/>
      <c r="M54" s="83"/>
      <c r="N54" s="83"/>
      <c r="O54" s="83"/>
      <c r="P54" s="81">
        <f t="shared" si="12"/>
        <v>0</v>
      </c>
    </row>
    <row r="55" spans="1:16" ht="51" customHeight="1">
      <c r="A55" s="3"/>
      <c r="B55" s="4" t="s">
        <v>31</v>
      </c>
      <c r="C55" s="5" t="s">
        <v>30</v>
      </c>
      <c r="D55" s="6" t="s">
        <v>32</v>
      </c>
      <c r="E55" s="81">
        <f t="shared" si="10"/>
        <v>20988548</v>
      </c>
      <c r="F55" s="83">
        <f>22558400-1441800-570000+12200+18462+43200+906+1500-36620+98500+18800+285000</f>
        <v>20988548</v>
      </c>
      <c r="G55" s="83">
        <f>10082800+35400-10000+98500</f>
        <v>10206700</v>
      </c>
      <c r="H55" s="83">
        <v>3061100</v>
      </c>
      <c r="I55" s="83"/>
      <c r="J55" s="81">
        <f t="shared" si="11"/>
        <v>109480</v>
      </c>
      <c r="K55" s="83">
        <v>6000</v>
      </c>
      <c r="L55" s="83"/>
      <c r="M55" s="83"/>
      <c r="N55" s="83">
        <f>70000-12200+3000+6060+36620</f>
        <v>103480</v>
      </c>
      <c r="O55" s="83">
        <f>70000-12200+3000+6060+36620</f>
        <v>103480</v>
      </c>
      <c r="P55" s="81">
        <f t="shared" si="12"/>
        <v>21098028</v>
      </c>
    </row>
    <row r="56" spans="1:16" ht="30">
      <c r="A56" s="3"/>
      <c r="B56" s="4"/>
      <c r="C56" s="5"/>
      <c r="D56" s="6" t="s">
        <v>260</v>
      </c>
      <c r="E56" s="81">
        <f t="shared" si="10"/>
        <v>12356500</v>
      </c>
      <c r="F56" s="83">
        <f>13742900-1441800+12200+43200</f>
        <v>12356500</v>
      </c>
      <c r="G56" s="83">
        <f>10082800+35400-10000</f>
        <v>10108200</v>
      </c>
      <c r="H56" s="83"/>
      <c r="I56" s="83"/>
      <c r="J56" s="81">
        <f t="shared" si="11"/>
        <v>57800</v>
      </c>
      <c r="K56" s="83"/>
      <c r="L56" s="83"/>
      <c r="M56" s="83"/>
      <c r="N56" s="83">
        <f>70000-12200</f>
        <v>57800</v>
      </c>
      <c r="O56" s="83">
        <f>70000-12200</f>
        <v>57800</v>
      </c>
      <c r="P56" s="81">
        <f t="shared" si="12"/>
        <v>12414300</v>
      </c>
    </row>
    <row r="57" spans="1:16" ht="51" customHeight="1">
      <c r="A57" s="3"/>
      <c r="B57" s="20" t="s">
        <v>34</v>
      </c>
      <c r="C57" s="5" t="s">
        <v>33</v>
      </c>
      <c r="D57" s="6" t="s">
        <v>35</v>
      </c>
      <c r="E57" s="81">
        <f t="shared" si="10"/>
        <v>14717510</v>
      </c>
      <c r="F57" s="83">
        <f>16209400-1420700-14700+8000+3000+12000+15000+30000+8510+10000+10500-116200-37300</f>
        <v>14717510</v>
      </c>
      <c r="G57" s="83">
        <f>9977300-116200</f>
        <v>9861100</v>
      </c>
      <c r="H57" s="83">
        <v>2455600</v>
      </c>
      <c r="I57" s="83"/>
      <c r="J57" s="81">
        <f t="shared" si="11"/>
        <v>111190</v>
      </c>
      <c r="K57" s="83">
        <v>59000</v>
      </c>
      <c r="L57" s="83"/>
      <c r="M57" s="83">
        <v>2000</v>
      </c>
      <c r="N57" s="83">
        <f>6000+14700-8510+40000</f>
        <v>52190</v>
      </c>
      <c r="O57" s="83">
        <f>14700-8510+40000</f>
        <v>46190</v>
      </c>
      <c r="P57" s="81">
        <f t="shared" si="12"/>
        <v>14828700</v>
      </c>
    </row>
    <row r="58" spans="1:16" ht="40.5" customHeight="1">
      <c r="A58" s="3"/>
      <c r="B58" s="19" t="s">
        <v>332</v>
      </c>
      <c r="C58" s="19" t="s">
        <v>375</v>
      </c>
      <c r="D58" s="6" t="s">
        <v>331</v>
      </c>
      <c r="E58" s="81">
        <f t="shared" si="10"/>
        <v>39917901</v>
      </c>
      <c r="F58" s="83">
        <f>14756858-2131800+9158500+3219700+15341+8937000+7046+6276796-321540</f>
        <v>39917901</v>
      </c>
      <c r="G58" s="83">
        <f>5636408+3645152+2032700+4560200+3167468</f>
        <v>19041928</v>
      </c>
      <c r="H58" s="83">
        <f>3999100-2112250+717813+529700+1509000+238865+41547+172426+19168</f>
        <v>5115369</v>
      </c>
      <c r="I58" s="83"/>
      <c r="J58" s="81">
        <f t="shared" si="11"/>
        <v>581850</v>
      </c>
      <c r="K58" s="83">
        <v>471700</v>
      </c>
      <c r="L58" s="83">
        <v>95360</v>
      </c>
      <c r="M58" s="83">
        <v>43100</v>
      </c>
      <c r="N58" s="83">
        <f>7100+94450+8600</f>
        <v>110150</v>
      </c>
      <c r="O58" s="83">
        <f>94450+8600</f>
        <v>103050</v>
      </c>
      <c r="P58" s="81">
        <f t="shared" si="12"/>
        <v>40499751</v>
      </c>
    </row>
    <row r="59" spans="1:16" ht="29.25" customHeight="1">
      <c r="A59" s="3"/>
      <c r="B59" s="19"/>
      <c r="C59" s="5"/>
      <c r="D59" s="6" t="s">
        <v>340</v>
      </c>
      <c r="E59" s="81">
        <f t="shared" si="10"/>
        <v>9158500</v>
      </c>
      <c r="F59" s="83">
        <v>9158500</v>
      </c>
      <c r="G59" s="83">
        <v>3645152</v>
      </c>
      <c r="H59" s="83">
        <v>717813</v>
      </c>
      <c r="I59" s="83"/>
      <c r="J59" s="81"/>
      <c r="K59" s="83"/>
      <c r="L59" s="83"/>
      <c r="M59" s="83"/>
      <c r="N59" s="83"/>
      <c r="O59" s="83"/>
      <c r="P59" s="81"/>
    </row>
    <row r="60" spans="1:16" ht="32.25" customHeight="1">
      <c r="A60" s="3"/>
      <c r="B60" s="4" t="s">
        <v>37</v>
      </c>
      <c r="C60" s="5" t="s">
        <v>36</v>
      </c>
      <c r="D60" s="6" t="s">
        <v>38</v>
      </c>
      <c r="E60" s="81">
        <f t="shared" si="10"/>
        <v>4913700</v>
      </c>
      <c r="F60" s="83">
        <f>5830500-402100-54900-462800+3000</f>
        <v>4913700</v>
      </c>
      <c r="G60" s="83">
        <f>2812300-45000-362100</f>
        <v>2405200</v>
      </c>
      <c r="H60" s="83">
        <v>531600</v>
      </c>
      <c r="I60" s="83"/>
      <c r="J60" s="81">
        <f t="shared" si="11"/>
        <v>157000</v>
      </c>
      <c r="K60" s="83">
        <v>112000</v>
      </c>
      <c r="L60" s="83">
        <v>3600</v>
      </c>
      <c r="M60" s="83">
        <v>12000</v>
      </c>
      <c r="N60" s="83">
        <v>45000</v>
      </c>
      <c r="O60" s="83"/>
      <c r="P60" s="81">
        <f t="shared" si="12"/>
        <v>5070700</v>
      </c>
    </row>
    <row r="61" spans="1:16" ht="41.25" customHeight="1">
      <c r="A61" s="3"/>
      <c r="B61" s="4" t="s">
        <v>39</v>
      </c>
      <c r="C61" s="5" t="s">
        <v>36</v>
      </c>
      <c r="D61" s="6" t="s">
        <v>40</v>
      </c>
      <c r="E61" s="81">
        <f t="shared" si="10"/>
        <v>1369827</v>
      </c>
      <c r="F61" s="83">
        <f>1287100-133200+215927</f>
        <v>1369827</v>
      </c>
      <c r="G61" s="83">
        <f>889800-3500+94927</f>
        <v>981227</v>
      </c>
      <c r="H61" s="83">
        <f>17924</f>
        <v>17924</v>
      </c>
      <c r="I61" s="83"/>
      <c r="J61" s="81">
        <f t="shared" si="11"/>
        <v>0</v>
      </c>
      <c r="K61" s="83"/>
      <c r="L61" s="83"/>
      <c r="M61" s="83"/>
      <c r="N61" s="83"/>
      <c r="O61" s="83"/>
      <c r="P61" s="81">
        <f t="shared" si="12"/>
        <v>1369827</v>
      </c>
    </row>
    <row r="62" spans="1:16" ht="41.25" customHeight="1">
      <c r="A62" s="3"/>
      <c r="B62" s="19" t="s">
        <v>349</v>
      </c>
      <c r="C62" s="19" t="s">
        <v>36</v>
      </c>
      <c r="D62" s="6" t="s">
        <v>350</v>
      </c>
      <c r="E62" s="81">
        <f t="shared" si="10"/>
        <v>476000</v>
      </c>
      <c r="F62" s="83">
        <f>462800+13200</f>
        <v>476000</v>
      </c>
      <c r="G62" s="83">
        <v>362100</v>
      </c>
      <c r="H62" s="83"/>
      <c r="I62" s="83"/>
      <c r="J62" s="81">
        <f t="shared" si="11"/>
        <v>0</v>
      </c>
      <c r="K62" s="83"/>
      <c r="L62" s="83"/>
      <c r="M62" s="83"/>
      <c r="N62" s="83"/>
      <c r="O62" s="83"/>
      <c r="P62" s="81">
        <f t="shared" si="12"/>
        <v>476000</v>
      </c>
    </row>
    <row r="63" spans="1:16" ht="51" customHeight="1">
      <c r="A63" s="3"/>
      <c r="B63" s="4" t="s">
        <v>41</v>
      </c>
      <c r="C63" s="5" t="s">
        <v>36</v>
      </c>
      <c r="D63" s="6" t="s">
        <v>42</v>
      </c>
      <c r="E63" s="81">
        <f t="shared" si="10"/>
        <v>126700</v>
      </c>
      <c r="F63" s="83">
        <v>126700</v>
      </c>
      <c r="G63" s="83"/>
      <c r="H63" s="83"/>
      <c r="I63" s="83"/>
      <c r="J63" s="81">
        <f t="shared" si="11"/>
        <v>0</v>
      </c>
      <c r="K63" s="83"/>
      <c r="L63" s="83"/>
      <c r="M63" s="83"/>
      <c r="N63" s="83"/>
      <c r="O63" s="83"/>
      <c r="P63" s="81">
        <f t="shared" si="12"/>
        <v>126700</v>
      </c>
    </row>
    <row r="64" spans="1:16" ht="35.25" customHeight="1">
      <c r="A64" s="3"/>
      <c r="B64" s="4" t="s">
        <v>44</v>
      </c>
      <c r="C64" s="5" t="s">
        <v>43</v>
      </c>
      <c r="D64" s="6" t="s">
        <v>45</v>
      </c>
      <c r="E64" s="81">
        <f>F64+I64</f>
        <v>10352974</v>
      </c>
      <c r="F64" s="83">
        <f>11279833-888300-198800+3000+18493+30000+16400+86348+6000</f>
        <v>10352974</v>
      </c>
      <c r="G64" s="83">
        <f>6232793+70777</f>
        <v>6303570</v>
      </c>
      <c r="H64" s="83">
        <v>1838279</v>
      </c>
      <c r="I64" s="83"/>
      <c r="J64" s="81">
        <f t="shared" si="11"/>
        <v>868907</v>
      </c>
      <c r="K64" s="83">
        <v>128000</v>
      </c>
      <c r="L64" s="83"/>
      <c r="M64" s="83">
        <v>40300</v>
      </c>
      <c r="N64" s="83">
        <f>37000+198800-18493+50000+473600</f>
        <v>740907</v>
      </c>
      <c r="O64" s="83">
        <f>198800-18493+50000+473600</f>
        <v>703907</v>
      </c>
      <c r="P64" s="81">
        <f t="shared" si="12"/>
        <v>11221881</v>
      </c>
    </row>
    <row r="65" spans="1:16" ht="75">
      <c r="A65" s="3"/>
      <c r="B65" s="19" t="s">
        <v>236</v>
      </c>
      <c r="C65" s="20">
        <v>1040</v>
      </c>
      <c r="D65" s="8" t="s">
        <v>237</v>
      </c>
      <c r="E65" s="81">
        <f t="shared" si="10"/>
        <v>2841386</v>
      </c>
      <c r="F65" s="83">
        <f>2842400-1014</f>
        <v>2841386</v>
      </c>
      <c r="G65" s="83"/>
      <c r="H65" s="83"/>
      <c r="I65" s="83"/>
      <c r="J65" s="81">
        <f t="shared" si="11"/>
        <v>400000</v>
      </c>
      <c r="K65" s="83">
        <v>400000</v>
      </c>
      <c r="L65" s="83"/>
      <c r="M65" s="83"/>
      <c r="N65" s="83"/>
      <c r="O65" s="83"/>
      <c r="P65" s="81">
        <f t="shared" si="12"/>
        <v>3241386</v>
      </c>
    </row>
    <row r="66" spans="1:16" ht="60.75" customHeight="1">
      <c r="A66" s="3"/>
      <c r="B66" s="19" t="s">
        <v>274</v>
      </c>
      <c r="C66" s="19" t="s">
        <v>27</v>
      </c>
      <c r="D66" s="6" t="s">
        <v>244</v>
      </c>
      <c r="E66" s="81">
        <f t="shared" si="10"/>
        <v>0</v>
      </c>
      <c r="F66" s="83"/>
      <c r="G66" s="83"/>
      <c r="H66" s="83"/>
      <c r="I66" s="83"/>
      <c r="J66" s="81">
        <f t="shared" si="11"/>
        <v>397465</v>
      </c>
      <c r="K66" s="83"/>
      <c r="L66" s="83"/>
      <c r="M66" s="83"/>
      <c r="N66" s="83">
        <f>150000-150000+146895+222256-146895+10247+140000+16400+8562</f>
        <v>397465</v>
      </c>
      <c r="O66" s="83">
        <f>150000-150000+146895+222256-146895+10247+140000+16400+8562</f>
        <v>397465</v>
      </c>
      <c r="P66" s="81">
        <f t="shared" si="12"/>
        <v>397465</v>
      </c>
    </row>
    <row r="67" spans="1:16" ht="57.75" customHeight="1">
      <c r="A67" s="3"/>
      <c r="B67" s="19" t="s">
        <v>275</v>
      </c>
      <c r="C67" s="19" t="s">
        <v>33</v>
      </c>
      <c r="D67" s="6" t="s">
        <v>259</v>
      </c>
      <c r="E67" s="81">
        <f t="shared" si="10"/>
        <v>0</v>
      </c>
      <c r="F67" s="83"/>
      <c r="G67" s="83"/>
      <c r="H67" s="83"/>
      <c r="I67" s="83"/>
      <c r="J67" s="81">
        <f t="shared" si="11"/>
        <v>573958.97</v>
      </c>
      <c r="K67" s="83"/>
      <c r="L67" s="83"/>
      <c r="M67" s="83"/>
      <c r="N67" s="83">
        <f>222256+53105-222256-1060+1077+175000+200000+126696.97+19140</f>
        <v>573958.97</v>
      </c>
      <c r="O67" s="83">
        <f>222256+53105-222256-1060+1077+175000+200000+126696.97+19140</f>
        <v>573958.97</v>
      </c>
      <c r="P67" s="81">
        <f t="shared" si="12"/>
        <v>573958.97</v>
      </c>
    </row>
    <row r="68" spans="1:16" ht="15">
      <c r="A68" s="3"/>
      <c r="B68" s="4">
        <v>200700</v>
      </c>
      <c r="C68" s="5" t="s">
        <v>214</v>
      </c>
      <c r="D68" s="6" t="s">
        <v>284</v>
      </c>
      <c r="E68" s="81">
        <f t="shared" si="10"/>
        <v>0</v>
      </c>
      <c r="F68" s="83">
        <f>23800-23800</f>
        <v>0</v>
      </c>
      <c r="G68" s="83"/>
      <c r="H68" s="83"/>
      <c r="I68" s="83"/>
      <c r="J68" s="81">
        <f t="shared" si="11"/>
        <v>0</v>
      </c>
      <c r="K68" s="83"/>
      <c r="L68" s="83"/>
      <c r="M68" s="83"/>
      <c r="N68" s="83"/>
      <c r="O68" s="83"/>
      <c r="P68" s="81">
        <f t="shared" si="12"/>
        <v>0</v>
      </c>
    </row>
    <row r="69" spans="1:16" ht="25.5" customHeight="1">
      <c r="A69" s="3"/>
      <c r="B69" s="4">
        <v>240601</v>
      </c>
      <c r="C69" s="5" t="s">
        <v>205</v>
      </c>
      <c r="D69" s="6" t="s">
        <v>207</v>
      </c>
      <c r="E69" s="81">
        <f>F69+I69</f>
        <v>0</v>
      </c>
      <c r="F69" s="83"/>
      <c r="G69" s="83"/>
      <c r="H69" s="83"/>
      <c r="I69" s="83"/>
      <c r="J69" s="81">
        <f>K69+N69</f>
        <v>58300</v>
      </c>
      <c r="K69" s="83">
        <f>34500+23800</f>
        <v>58300</v>
      </c>
      <c r="L69" s="83"/>
      <c r="M69" s="83"/>
      <c r="N69" s="83"/>
      <c r="O69" s="83"/>
      <c r="P69" s="81">
        <f>E69+J69</f>
        <v>58300</v>
      </c>
    </row>
    <row r="70" spans="1:16" ht="15" customHeight="1" hidden="1">
      <c r="A70" s="3"/>
      <c r="B70" s="4">
        <v>250324</v>
      </c>
      <c r="C70" s="5" t="s">
        <v>46</v>
      </c>
      <c r="D70" s="6" t="s">
        <v>287</v>
      </c>
      <c r="E70" s="81">
        <f t="shared" si="10"/>
        <v>0</v>
      </c>
      <c r="F70" s="83"/>
      <c r="G70" s="83"/>
      <c r="H70" s="83"/>
      <c r="I70" s="83"/>
      <c r="J70" s="81">
        <f t="shared" si="11"/>
        <v>0</v>
      </c>
      <c r="K70" s="83"/>
      <c r="L70" s="83"/>
      <c r="M70" s="83"/>
      <c r="N70" s="83"/>
      <c r="O70" s="83"/>
      <c r="P70" s="81">
        <f t="shared" si="12"/>
        <v>0</v>
      </c>
    </row>
    <row r="71" spans="1:16" ht="16.5" customHeight="1">
      <c r="A71" s="3"/>
      <c r="B71" s="4">
        <v>250380</v>
      </c>
      <c r="C71" s="5">
        <v>180</v>
      </c>
      <c r="D71" s="6" t="s">
        <v>246</v>
      </c>
      <c r="E71" s="81">
        <f t="shared" si="10"/>
        <v>0</v>
      </c>
      <c r="F71" s="83"/>
      <c r="G71" s="83"/>
      <c r="H71" s="83"/>
      <c r="I71" s="83"/>
      <c r="J71" s="81">
        <f t="shared" si="11"/>
        <v>0</v>
      </c>
      <c r="K71" s="83"/>
      <c r="L71" s="83"/>
      <c r="M71" s="83"/>
      <c r="N71" s="83">
        <f>1200000-1200000</f>
        <v>0</v>
      </c>
      <c r="O71" s="83">
        <f>1200000-1200000</f>
        <v>0</v>
      </c>
      <c r="P71" s="81">
        <f t="shared" si="12"/>
        <v>0</v>
      </c>
    </row>
    <row r="72" spans="1:16" s="127" customFormat="1" ht="30">
      <c r="A72" s="33" t="s">
        <v>355</v>
      </c>
      <c r="B72" s="32"/>
      <c r="C72" s="34"/>
      <c r="D72" s="11" t="s">
        <v>353</v>
      </c>
      <c r="E72" s="1">
        <f>F72+I72</f>
        <v>5812485</v>
      </c>
      <c r="F72" s="1">
        <f>SUM(F73:F84)</f>
        <v>5812485</v>
      </c>
      <c r="G72" s="1">
        <f>SUM(G73:G84)</f>
        <v>644918</v>
      </c>
      <c r="H72" s="1">
        <f>SUM(H73:H84)</f>
        <v>61779</v>
      </c>
      <c r="I72" s="1">
        <f>SUM(I73:I84)</f>
        <v>0</v>
      </c>
      <c r="J72" s="1">
        <f>K72+N72</f>
        <v>1167451</v>
      </c>
      <c r="K72" s="1">
        <f>SUM(K73:K84)</f>
        <v>0</v>
      </c>
      <c r="L72" s="1">
        <f>SUM(L73:L84)</f>
        <v>0</v>
      </c>
      <c r="M72" s="1">
        <f>SUM(M73:M84)</f>
        <v>0</v>
      </c>
      <c r="N72" s="1">
        <f>SUM(N73:N84)</f>
        <v>1167451</v>
      </c>
      <c r="O72" s="1">
        <f>SUM(O73:O84)</f>
        <v>1167451</v>
      </c>
      <c r="P72" s="1">
        <f>E72+J72</f>
        <v>6979936</v>
      </c>
    </row>
    <row r="73" spans="1:16" s="120" customFormat="1" ht="30">
      <c r="A73" s="9"/>
      <c r="B73" s="4" t="s">
        <v>53</v>
      </c>
      <c r="C73" s="5" t="s">
        <v>48</v>
      </c>
      <c r="D73" s="6" t="s">
        <v>54</v>
      </c>
      <c r="E73" s="81">
        <f>F73+I73</f>
        <v>38847</v>
      </c>
      <c r="F73" s="83">
        <v>38847</v>
      </c>
      <c r="G73" s="83">
        <v>15350</v>
      </c>
      <c r="H73" s="83"/>
      <c r="I73" s="83"/>
      <c r="J73" s="81">
        <f aca="true" t="shared" si="13" ref="J73:J97">K73+N73</f>
        <v>0</v>
      </c>
      <c r="K73" s="83"/>
      <c r="L73" s="83"/>
      <c r="M73" s="83"/>
      <c r="N73" s="83"/>
      <c r="O73" s="83"/>
      <c r="P73" s="81">
        <f>E73+J73</f>
        <v>38847</v>
      </c>
    </row>
    <row r="74" spans="1:16" s="120" customFormat="1" ht="17.25" customHeight="1">
      <c r="A74" s="10"/>
      <c r="B74" s="4" t="s">
        <v>55</v>
      </c>
      <c r="C74" s="5" t="s">
        <v>48</v>
      </c>
      <c r="D74" s="6" t="s">
        <v>56</v>
      </c>
      <c r="E74" s="81">
        <f>F74+I74</f>
        <v>182654</v>
      </c>
      <c r="F74" s="83">
        <f>82654+100000</f>
        <v>182654</v>
      </c>
      <c r="G74" s="83"/>
      <c r="H74" s="83"/>
      <c r="I74" s="83"/>
      <c r="J74" s="81">
        <f t="shared" si="13"/>
        <v>0</v>
      </c>
      <c r="K74" s="83"/>
      <c r="L74" s="83"/>
      <c r="M74" s="83"/>
      <c r="N74" s="83"/>
      <c r="O74" s="83"/>
      <c r="P74" s="81">
        <f>E74+J74</f>
        <v>182654</v>
      </c>
    </row>
    <row r="75" spans="1:16" s="120" customFormat="1" ht="30">
      <c r="A75" s="137"/>
      <c r="B75" s="4" t="s">
        <v>59</v>
      </c>
      <c r="C75" s="5" t="s">
        <v>43</v>
      </c>
      <c r="D75" s="6" t="s">
        <v>60</v>
      </c>
      <c r="E75" s="81">
        <f aca="true" t="shared" si="14" ref="E75:E84">F75+I75</f>
        <v>143953</v>
      </c>
      <c r="F75" s="83">
        <v>143953</v>
      </c>
      <c r="G75" s="83"/>
      <c r="H75" s="83"/>
      <c r="I75" s="83"/>
      <c r="J75" s="81">
        <f t="shared" si="13"/>
        <v>0</v>
      </c>
      <c r="K75" s="83"/>
      <c r="L75" s="83"/>
      <c r="M75" s="83"/>
      <c r="N75" s="83"/>
      <c r="O75" s="83"/>
      <c r="P75" s="81">
        <f aca="true" t="shared" si="15" ref="P75:P84">E75+J75</f>
        <v>143953</v>
      </c>
    </row>
    <row r="76" spans="1:16" s="120" customFormat="1" ht="30">
      <c r="A76" s="137"/>
      <c r="B76" s="4" t="s">
        <v>61</v>
      </c>
      <c r="C76" s="5" t="s">
        <v>43</v>
      </c>
      <c r="D76" s="6" t="s">
        <v>62</v>
      </c>
      <c r="E76" s="81">
        <f t="shared" si="14"/>
        <v>183633</v>
      </c>
      <c r="F76" s="83">
        <f>30000+152133+1500</f>
        <v>183633</v>
      </c>
      <c r="G76" s="83">
        <v>114598</v>
      </c>
      <c r="H76" s="83">
        <v>6013</v>
      </c>
      <c r="I76" s="83"/>
      <c r="J76" s="81">
        <f t="shared" si="13"/>
        <v>0</v>
      </c>
      <c r="K76" s="83"/>
      <c r="L76" s="83"/>
      <c r="M76" s="83"/>
      <c r="N76" s="83"/>
      <c r="O76" s="83"/>
      <c r="P76" s="81">
        <f t="shared" si="15"/>
        <v>183633</v>
      </c>
    </row>
    <row r="77" spans="1:16" s="120" customFormat="1" ht="30">
      <c r="A77" s="137"/>
      <c r="B77" s="4" t="s">
        <v>63</v>
      </c>
      <c r="C77" s="5" t="s">
        <v>43</v>
      </c>
      <c r="D77" s="6" t="s">
        <v>64</v>
      </c>
      <c r="E77" s="81">
        <f t="shared" si="14"/>
        <v>10580</v>
      </c>
      <c r="F77" s="83">
        <v>10580</v>
      </c>
      <c r="G77" s="83"/>
      <c r="H77" s="83"/>
      <c r="I77" s="83"/>
      <c r="J77" s="81">
        <f t="shared" si="13"/>
        <v>0</v>
      </c>
      <c r="K77" s="83"/>
      <c r="L77" s="83"/>
      <c r="M77" s="83"/>
      <c r="N77" s="83"/>
      <c r="O77" s="83"/>
      <c r="P77" s="81">
        <f t="shared" si="15"/>
        <v>10580</v>
      </c>
    </row>
    <row r="78" spans="1:16" s="120" customFormat="1" ht="30">
      <c r="A78" s="137"/>
      <c r="B78" s="4">
        <v>130106</v>
      </c>
      <c r="C78" s="5" t="s">
        <v>43</v>
      </c>
      <c r="D78" s="6" t="s">
        <v>66</v>
      </c>
      <c r="E78" s="81">
        <f t="shared" si="14"/>
        <v>56483</v>
      </c>
      <c r="F78" s="83">
        <v>56483</v>
      </c>
      <c r="G78" s="83"/>
      <c r="H78" s="83"/>
      <c r="I78" s="83"/>
      <c r="J78" s="81">
        <f t="shared" si="13"/>
        <v>0</v>
      </c>
      <c r="K78" s="83"/>
      <c r="L78" s="83"/>
      <c r="M78" s="83"/>
      <c r="N78" s="83"/>
      <c r="O78" s="83"/>
      <c r="P78" s="81">
        <f t="shared" si="15"/>
        <v>56483</v>
      </c>
    </row>
    <row r="79" spans="1:16" s="120" customFormat="1" ht="30">
      <c r="A79" s="137"/>
      <c r="B79" s="4" t="s">
        <v>44</v>
      </c>
      <c r="C79" s="5" t="s">
        <v>43</v>
      </c>
      <c r="D79" s="6" t="s">
        <v>45</v>
      </c>
      <c r="E79" s="81">
        <f t="shared" si="14"/>
        <v>559500</v>
      </c>
      <c r="F79" s="83">
        <f>558000+1500</f>
        <v>559500</v>
      </c>
      <c r="G79" s="83">
        <v>331830</v>
      </c>
      <c r="H79" s="83">
        <v>47282</v>
      </c>
      <c r="I79" s="83"/>
      <c r="J79" s="81">
        <f t="shared" si="13"/>
        <v>0</v>
      </c>
      <c r="K79" s="83"/>
      <c r="L79" s="83"/>
      <c r="M79" s="83"/>
      <c r="N79" s="83">
        <f>30000-30000</f>
        <v>0</v>
      </c>
      <c r="O79" s="83">
        <f>30000-30000</f>
        <v>0</v>
      </c>
      <c r="P79" s="81">
        <f t="shared" si="15"/>
        <v>559500</v>
      </c>
    </row>
    <row r="80" spans="1:16" s="120" customFormat="1" ht="15">
      <c r="A80" s="137"/>
      <c r="B80" s="4" t="s">
        <v>67</v>
      </c>
      <c r="C80" s="5" t="s">
        <v>43</v>
      </c>
      <c r="D80" s="6" t="s">
        <v>68</v>
      </c>
      <c r="E80" s="81">
        <f t="shared" si="14"/>
        <v>2775827</v>
      </c>
      <c r="F80" s="83">
        <f>2862175-86348</f>
        <v>2775827</v>
      </c>
      <c r="G80" s="83"/>
      <c r="H80" s="83"/>
      <c r="I80" s="83"/>
      <c r="J80" s="81">
        <f t="shared" si="13"/>
        <v>1117231</v>
      </c>
      <c r="K80" s="83"/>
      <c r="L80" s="83"/>
      <c r="M80" s="83"/>
      <c r="N80" s="83">
        <f>740000+377231</f>
        <v>1117231</v>
      </c>
      <c r="O80" s="83">
        <f>740000+377231</f>
        <v>1117231</v>
      </c>
      <c r="P80" s="81">
        <f t="shared" si="15"/>
        <v>3893058</v>
      </c>
    </row>
    <row r="81" spans="1:16" s="120" customFormat="1" ht="23.25" customHeight="1">
      <c r="A81" s="137"/>
      <c r="B81" s="4" t="s">
        <v>69</v>
      </c>
      <c r="C81" s="5" t="s">
        <v>43</v>
      </c>
      <c r="D81" s="6" t="s">
        <v>56</v>
      </c>
      <c r="E81" s="81">
        <f t="shared" si="14"/>
        <v>289846</v>
      </c>
      <c r="F81" s="83">
        <v>289846</v>
      </c>
      <c r="G81" s="83"/>
      <c r="H81" s="83"/>
      <c r="I81" s="83"/>
      <c r="J81" s="81">
        <f t="shared" si="13"/>
        <v>0</v>
      </c>
      <c r="K81" s="83"/>
      <c r="L81" s="83"/>
      <c r="M81" s="83"/>
      <c r="N81" s="83"/>
      <c r="O81" s="83"/>
      <c r="P81" s="81">
        <f t="shared" si="15"/>
        <v>289846</v>
      </c>
    </row>
    <row r="82" spans="1:16" s="120" customFormat="1" ht="30">
      <c r="A82" s="137"/>
      <c r="B82" s="4" t="s">
        <v>70</v>
      </c>
      <c r="C82" s="5" t="s">
        <v>43</v>
      </c>
      <c r="D82" s="6" t="s">
        <v>71</v>
      </c>
      <c r="E82" s="81">
        <f t="shared" si="14"/>
        <v>666222</v>
      </c>
      <c r="F82" s="83">
        <f>664722+1500</f>
        <v>666222</v>
      </c>
      <c r="G82" s="83">
        <f>183140</f>
        <v>183140</v>
      </c>
      <c r="H82" s="83">
        <v>8484</v>
      </c>
      <c r="I82" s="83"/>
      <c r="J82" s="81">
        <f t="shared" si="13"/>
        <v>50220</v>
      </c>
      <c r="K82" s="83"/>
      <c r="L82" s="83"/>
      <c r="M82" s="83"/>
      <c r="N82" s="83">
        <v>50220</v>
      </c>
      <c r="O82" s="83">
        <v>50220</v>
      </c>
      <c r="P82" s="81">
        <f t="shared" si="15"/>
        <v>716442</v>
      </c>
    </row>
    <row r="83" spans="1:16" s="120" customFormat="1" ht="60">
      <c r="A83" s="137"/>
      <c r="B83" s="4" t="s">
        <v>272</v>
      </c>
      <c r="C83" s="4" t="s">
        <v>43</v>
      </c>
      <c r="D83" s="22" t="s">
        <v>273</v>
      </c>
      <c r="E83" s="81">
        <f t="shared" si="14"/>
        <v>855506</v>
      </c>
      <c r="F83" s="84">
        <v>855506</v>
      </c>
      <c r="G83" s="84"/>
      <c r="H83" s="84"/>
      <c r="I83" s="84"/>
      <c r="J83" s="81">
        <f t="shared" si="13"/>
        <v>0</v>
      </c>
      <c r="K83" s="84"/>
      <c r="L83" s="84"/>
      <c r="M83" s="84"/>
      <c r="N83" s="84"/>
      <c r="O83" s="84"/>
      <c r="P83" s="81">
        <f t="shared" si="15"/>
        <v>855506</v>
      </c>
    </row>
    <row r="84" spans="1:16" s="120" customFormat="1" ht="32.25" customHeight="1">
      <c r="A84" s="137"/>
      <c r="B84" s="23" t="s">
        <v>72</v>
      </c>
      <c r="C84" s="24" t="s">
        <v>43</v>
      </c>
      <c r="D84" s="25" t="s">
        <v>73</v>
      </c>
      <c r="E84" s="81">
        <f t="shared" si="14"/>
        <v>49434</v>
      </c>
      <c r="F84" s="84">
        <v>49434</v>
      </c>
      <c r="G84" s="84"/>
      <c r="H84" s="84"/>
      <c r="I84" s="84"/>
      <c r="J84" s="81">
        <f t="shared" si="13"/>
        <v>0</v>
      </c>
      <c r="K84" s="84"/>
      <c r="L84" s="84"/>
      <c r="M84" s="84"/>
      <c r="N84" s="84"/>
      <c r="O84" s="84"/>
      <c r="P84" s="81">
        <f t="shared" si="15"/>
        <v>49434</v>
      </c>
    </row>
    <row r="85" spans="1:16" s="127" customFormat="1" ht="30">
      <c r="A85" s="33" t="s">
        <v>358</v>
      </c>
      <c r="B85" s="32"/>
      <c r="C85" s="34"/>
      <c r="D85" s="11" t="s">
        <v>353</v>
      </c>
      <c r="E85" s="1">
        <f>F85+I85</f>
        <v>18843876</v>
      </c>
      <c r="F85" s="1">
        <f>SUM(F86:F94)</f>
        <v>18843876</v>
      </c>
      <c r="G85" s="1">
        <f>SUM(G86:G94)</f>
        <v>6429952</v>
      </c>
      <c r="H85" s="1">
        <f>SUM(H86:H94)</f>
        <v>1879464</v>
      </c>
      <c r="I85" s="1">
        <f>SUM(I86:I94)</f>
        <v>0</v>
      </c>
      <c r="J85" s="1">
        <f t="shared" si="13"/>
        <v>548000</v>
      </c>
      <c r="K85" s="1">
        <f>SUM(K86:K94)</f>
        <v>0</v>
      </c>
      <c r="L85" s="1">
        <f>SUM(L86:L94)</f>
        <v>0</v>
      </c>
      <c r="M85" s="1">
        <f>SUM(M86:M94)</f>
        <v>0</v>
      </c>
      <c r="N85" s="1">
        <f>SUM(N86:N94)</f>
        <v>548000</v>
      </c>
      <c r="O85" s="1">
        <f>SUM(O86:O94)</f>
        <v>548000</v>
      </c>
      <c r="P85" s="1">
        <f>P86+P87+P88+P89+P90+P91+P92+P93+P94</f>
        <v>19391876</v>
      </c>
    </row>
    <row r="86" spans="1:16" s="120" customFormat="1" ht="15">
      <c r="A86" s="121"/>
      <c r="B86" s="4" t="s">
        <v>161</v>
      </c>
      <c r="C86" s="5" t="s">
        <v>160</v>
      </c>
      <c r="D86" s="6" t="s">
        <v>162</v>
      </c>
      <c r="E86" s="81">
        <f aca="true" t="shared" si="16" ref="E86:E94">F86+I86</f>
        <v>7183288</v>
      </c>
      <c r="F86" s="83">
        <v>7183288</v>
      </c>
      <c r="G86" s="83"/>
      <c r="H86" s="83"/>
      <c r="I86" s="117"/>
      <c r="J86" s="81">
        <f t="shared" si="13"/>
        <v>0</v>
      </c>
      <c r="K86" s="83"/>
      <c r="L86" s="83"/>
      <c r="M86" s="83"/>
      <c r="N86" s="83"/>
      <c r="O86" s="83"/>
      <c r="P86" s="81">
        <f aca="true" t="shared" si="17" ref="P86:P94">E86+J86</f>
        <v>7183288</v>
      </c>
    </row>
    <row r="87" spans="1:16" s="120" customFormat="1" ht="30">
      <c r="A87" s="121"/>
      <c r="B87" s="4" t="s">
        <v>164</v>
      </c>
      <c r="C87" s="5" t="s">
        <v>163</v>
      </c>
      <c r="D87" s="6" t="s">
        <v>165</v>
      </c>
      <c r="E87" s="81">
        <f t="shared" si="16"/>
        <v>582888</v>
      </c>
      <c r="F87" s="83">
        <f>382888+200000</f>
        <v>582888</v>
      </c>
      <c r="G87" s="83"/>
      <c r="H87" s="83"/>
      <c r="I87" s="117"/>
      <c r="J87" s="81">
        <f t="shared" si="13"/>
        <v>0</v>
      </c>
      <c r="K87" s="83"/>
      <c r="L87" s="83"/>
      <c r="M87" s="83"/>
      <c r="N87" s="83"/>
      <c r="O87" s="83"/>
      <c r="P87" s="81">
        <f t="shared" si="17"/>
        <v>582888</v>
      </c>
    </row>
    <row r="88" spans="1:16" s="120" customFormat="1" ht="15">
      <c r="A88" s="121"/>
      <c r="B88" s="4" t="s">
        <v>167</v>
      </c>
      <c r="C88" s="5" t="s">
        <v>166</v>
      </c>
      <c r="D88" s="6" t="s">
        <v>168</v>
      </c>
      <c r="E88" s="81">
        <f t="shared" si="16"/>
        <v>2471683</v>
      </c>
      <c r="F88" s="83">
        <f>2420183+50000+1500</f>
        <v>2471683</v>
      </c>
      <c r="G88" s="83">
        <v>1476237</v>
      </c>
      <c r="H88" s="83">
        <v>307828</v>
      </c>
      <c r="I88" s="117"/>
      <c r="J88" s="81">
        <f t="shared" si="13"/>
        <v>0</v>
      </c>
      <c r="K88" s="83"/>
      <c r="L88" s="83"/>
      <c r="M88" s="83"/>
      <c r="N88" s="83"/>
      <c r="O88" s="83"/>
      <c r="P88" s="81">
        <f t="shared" si="17"/>
        <v>2471683</v>
      </c>
    </row>
    <row r="89" spans="1:16" s="120" customFormat="1" ht="15">
      <c r="A89" s="121"/>
      <c r="B89" s="4" t="s">
        <v>169</v>
      </c>
      <c r="C89" s="5" t="s">
        <v>166</v>
      </c>
      <c r="D89" s="6" t="s">
        <v>170</v>
      </c>
      <c r="E89" s="81">
        <f t="shared" si="16"/>
        <v>1564177</v>
      </c>
      <c r="F89" s="83">
        <f>1562677+1500</f>
        <v>1564177</v>
      </c>
      <c r="G89" s="83">
        <v>638158</v>
      </c>
      <c r="H89" s="83">
        <v>239849</v>
      </c>
      <c r="I89" s="117"/>
      <c r="J89" s="81">
        <f t="shared" si="13"/>
        <v>0</v>
      </c>
      <c r="K89" s="83"/>
      <c r="L89" s="83"/>
      <c r="M89" s="83"/>
      <c r="N89" s="83"/>
      <c r="O89" s="83"/>
      <c r="P89" s="81">
        <f t="shared" si="17"/>
        <v>1564177</v>
      </c>
    </row>
    <row r="90" spans="1:16" s="120" customFormat="1" ht="15">
      <c r="A90" s="121"/>
      <c r="B90" s="4" t="s">
        <v>171</v>
      </c>
      <c r="C90" s="5" t="s">
        <v>33</v>
      </c>
      <c r="D90" s="6" t="s">
        <v>172</v>
      </c>
      <c r="E90" s="81">
        <f t="shared" si="16"/>
        <v>7041840</v>
      </c>
      <c r="F90" s="83">
        <f>7031340+10500</f>
        <v>7041840</v>
      </c>
      <c r="G90" s="83">
        <v>4315557</v>
      </c>
      <c r="H90" s="83">
        <v>1331787</v>
      </c>
      <c r="I90" s="117"/>
      <c r="J90" s="81">
        <f t="shared" si="13"/>
        <v>100000</v>
      </c>
      <c r="K90" s="83"/>
      <c r="L90" s="83"/>
      <c r="M90" s="83"/>
      <c r="N90" s="83">
        <v>100000</v>
      </c>
      <c r="O90" s="83">
        <v>100000</v>
      </c>
      <c r="P90" s="81">
        <f t="shared" si="17"/>
        <v>7141840</v>
      </c>
    </row>
    <row r="91" spans="1:16" s="120" customFormat="1" ht="15">
      <c r="A91" s="121"/>
      <c r="B91" s="4" t="s">
        <v>174</v>
      </c>
      <c r="C91" s="5" t="s">
        <v>173</v>
      </c>
      <c r="D91" s="6" t="s">
        <v>175</v>
      </c>
      <c r="E91" s="81">
        <f t="shared" si="16"/>
        <v>0</v>
      </c>
      <c r="F91" s="83"/>
      <c r="G91" s="83"/>
      <c r="H91" s="83"/>
      <c r="I91" s="117"/>
      <c r="J91" s="81">
        <f t="shared" si="13"/>
        <v>0</v>
      </c>
      <c r="K91" s="117"/>
      <c r="L91" s="117"/>
      <c r="M91" s="117"/>
      <c r="N91" s="117"/>
      <c r="O91" s="117"/>
      <c r="P91" s="81">
        <f t="shared" si="17"/>
        <v>0</v>
      </c>
    </row>
    <row r="92" spans="1:16" s="120" customFormat="1" ht="45" hidden="1">
      <c r="A92" s="121"/>
      <c r="B92" s="124" t="s">
        <v>275</v>
      </c>
      <c r="C92" s="123" t="s">
        <v>33</v>
      </c>
      <c r="D92" s="122" t="s">
        <v>259</v>
      </c>
      <c r="E92" s="116">
        <f t="shared" si="16"/>
        <v>0</v>
      </c>
      <c r="F92" s="117"/>
      <c r="G92" s="117"/>
      <c r="H92" s="117"/>
      <c r="I92" s="117"/>
      <c r="J92" s="116">
        <f t="shared" si="13"/>
        <v>0</v>
      </c>
      <c r="K92" s="117"/>
      <c r="L92" s="117"/>
      <c r="M92" s="117"/>
      <c r="N92" s="117"/>
      <c r="O92" s="117"/>
      <c r="P92" s="116">
        <f t="shared" si="17"/>
        <v>0</v>
      </c>
    </row>
    <row r="93" spans="1:16" ht="55.5" customHeight="1">
      <c r="A93" s="136"/>
      <c r="B93" s="4">
        <v>180409</v>
      </c>
      <c r="C93" s="5" t="s">
        <v>242</v>
      </c>
      <c r="D93" s="6" t="s">
        <v>245</v>
      </c>
      <c r="E93" s="81">
        <f t="shared" si="16"/>
        <v>0</v>
      </c>
      <c r="F93" s="83"/>
      <c r="G93" s="83"/>
      <c r="H93" s="83"/>
      <c r="I93" s="83"/>
      <c r="J93" s="81">
        <f t="shared" si="13"/>
        <v>448000</v>
      </c>
      <c r="K93" s="83"/>
      <c r="L93" s="83"/>
      <c r="M93" s="83"/>
      <c r="N93" s="83">
        <f>0+335000+73000+5000+5000+10000+20000</f>
        <v>448000</v>
      </c>
      <c r="O93" s="83">
        <f>0+335000+73000+5000+5000+10000+20000</f>
        <v>448000</v>
      </c>
      <c r="P93" s="81">
        <f t="shared" si="17"/>
        <v>448000</v>
      </c>
    </row>
    <row r="94" spans="1:16" ht="19.5" customHeight="1" hidden="1">
      <c r="A94" s="136"/>
      <c r="B94" s="4">
        <v>200700</v>
      </c>
      <c r="C94" s="5" t="s">
        <v>214</v>
      </c>
      <c r="D94" s="6" t="s">
        <v>284</v>
      </c>
      <c r="E94" s="81">
        <f t="shared" si="16"/>
        <v>0</v>
      </c>
      <c r="F94" s="2"/>
      <c r="G94" s="83"/>
      <c r="H94" s="83"/>
      <c r="I94" s="83"/>
      <c r="J94" s="81">
        <f t="shared" si="13"/>
        <v>0</v>
      </c>
      <c r="K94" s="83"/>
      <c r="L94" s="83"/>
      <c r="M94" s="83"/>
      <c r="N94" s="83"/>
      <c r="O94" s="83"/>
      <c r="P94" s="81">
        <f t="shared" si="17"/>
        <v>0</v>
      </c>
    </row>
    <row r="95" spans="1:16" s="127" customFormat="1" ht="18.75" customHeight="1">
      <c r="A95" s="33" t="s">
        <v>47</v>
      </c>
      <c r="B95" s="125"/>
      <c r="C95" s="126"/>
      <c r="D95" s="35" t="s">
        <v>370</v>
      </c>
      <c r="E95" s="1">
        <f>E96+E97</f>
        <v>98349</v>
      </c>
      <c r="F95" s="1">
        <f>SUM(F96:F97)</f>
        <v>98349</v>
      </c>
      <c r="G95" s="1">
        <f>SUM(G96:G97)</f>
        <v>900</v>
      </c>
      <c r="H95" s="1">
        <f>SUM(H96:H97)</f>
        <v>0</v>
      </c>
      <c r="I95" s="1">
        <f>SUM(I96:I97)</f>
        <v>0</v>
      </c>
      <c r="J95" s="1">
        <f>J96+J97</f>
        <v>0</v>
      </c>
      <c r="K95" s="1">
        <f>SUM(K96:K97)</f>
        <v>0</v>
      </c>
      <c r="L95" s="1">
        <f>SUM(L96:L97)</f>
        <v>0</v>
      </c>
      <c r="M95" s="1">
        <f>SUM(M96:M97)</f>
        <v>0</v>
      </c>
      <c r="N95" s="1">
        <f>SUM(N96:N97)</f>
        <v>0</v>
      </c>
      <c r="O95" s="1">
        <f>SUM(O96:O97)</f>
        <v>0</v>
      </c>
      <c r="P95" s="1">
        <f aca="true" t="shared" si="18" ref="P95:P103">E95+J95</f>
        <v>98349</v>
      </c>
    </row>
    <row r="96" spans="1:16" s="120" customFormat="1" ht="30">
      <c r="A96" s="9"/>
      <c r="B96" s="4" t="s">
        <v>53</v>
      </c>
      <c r="C96" s="5" t="s">
        <v>48</v>
      </c>
      <c r="D96" s="6" t="s">
        <v>54</v>
      </c>
      <c r="E96" s="81">
        <f aca="true" t="shared" si="19" ref="E96:E103">F96+I96</f>
        <v>15703</v>
      </c>
      <c r="F96" s="2">
        <f>54550-38847</f>
        <v>15703</v>
      </c>
      <c r="G96" s="2">
        <f>16250-15350</f>
        <v>900</v>
      </c>
      <c r="H96" s="134"/>
      <c r="I96" s="134"/>
      <c r="J96" s="81">
        <f t="shared" si="13"/>
        <v>0</v>
      </c>
      <c r="K96" s="134"/>
      <c r="L96" s="134"/>
      <c r="M96" s="134"/>
      <c r="N96" s="134"/>
      <c r="O96" s="134"/>
      <c r="P96" s="81">
        <f t="shared" si="18"/>
        <v>15703</v>
      </c>
    </row>
    <row r="97" spans="1:16" s="120" customFormat="1" ht="17.25" customHeight="1">
      <c r="A97" s="9"/>
      <c r="B97" s="4" t="s">
        <v>55</v>
      </c>
      <c r="C97" s="5" t="s">
        <v>48</v>
      </c>
      <c r="D97" s="6" t="s">
        <v>56</v>
      </c>
      <c r="E97" s="81">
        <f t="shared" si="19"/>
        <v>82646</v>
      </c>
      <c r="F97" s="2">
        <f>165300-82654</f>
        <v>82646</v>
      </c>
      <c r="G97" s="2"/>
      <c r="H97" s="134"/>
      <c r="I97" s="134"/>
      <c r="J97" s="81">
        <f t="shared" si="13"/>
        <v>0</v>
      </c>
      <c r="K97" s="134"/>
      <c r="L97" s="134"/>
      <c r="M97" s="134"/>
      <c r="N97" s="134"/>
      <c r="O97" s="134"/>
      <c r="P97" s="81">
        <f t="shared" si="18"/>
        <v>82646</v>
      </c>
    </row>
    <row r="98" spans="1:16" s="127" customFormat="1" ht="31.5" customHeight="1">
      <c r="A98" s="33">
        <v>1101</v>
      </c>
      <c r="B98" s="33"/>
      <c r="C98" s="128"/>
      <c r="D98" s="35" t="s">
        <v>371</v>
      </c>
      <c r="E98" s="1">
        <f t="shared" si="19"/>
        <v>3098091.95</v>
      </c>
      <c r="F98" s="1">
        <f>SUM(F99:F103)</f>
        <v>3098091.95</v>
      </c>
      <c r="G98" s="1">
        <f>SUM(G99:G103)</f>
        <v>1563184.96</v>
      </c>
      <c r="H98" s="1">
        <f>SUM(H99:H103)</f>
        <v>82576.61</v>
      </c>
      <c r="I98" s="1">
        <f>SUM(I99:I103)</f>
        <v>0</v>
      </c>
      <c r="J98" s="1">
        <f aca="true" t="shared" si="20" ref="J98:J103">K98+N98</f>
        <v>0</v>
      </c>
      <c r="K98" s="1">
        <f>SUM(K99:K103)</f>
        <v>0</v>
      </c>
      <c r="L98" s="1">
        <f>SUM(L99:L103)</f>
        <v>0</v>
      </c>
      <c r="M98" s="1">
        <f>SUM(M99:M103)</f>
        <v>0</v>
      </c>
      <c r="N98" s="1">
        <f>SUM(N99:N103)</f>
        <v>0</v>
      </c>
      <c r="O98" s="1">
        <f>SUM(O99:O103)</f>
        <v>0</v>
      </c>
      <c r="P98" s="1">
        <f>E98+J98</f>
        <v>3098091.95</v>
      </c>
    </row>
    <row r="99" spans="1:16" s="120" customFormat="1" ht="30" customHeight="1">
      <c r="A99" s="4"/>
      <c r="B99" s="4" t="s">
        <v>49</v>
      </c>
      <c r="C99" s="5" t="s">
        <v>48</v>
      </c>
      <c r="D99" s="6" t="s">
        <v>50</v>
      </c>
      <c r="E99" s="81">
        <f t="shared" si="19"/>
        <v>1841000</v>
      </c>
      <c r="F99" s="83">
        <f>2042500-201500</f>
        <v>1841000</v>
      </c>
      <c r="G99" s="83">
        <v>1409350</v>
      </c>
      <c r="H99" s="83">
        <v>81570</v>
      </c>
      <c r="I99" s="2"/>
      <c r="J99" s="81">
        <f t="shared" si="20"/>
        <v>0</v>
      </c>
      <c r="K99" s="2"/>
      <c r="L99" s="2"/>
      <c r="M99" s="2"/>
      <c r="N99" s="2"/>
      <c r="O99" s="2"/>
      <c r="P99" s="81">
        <f t="shared" si="18"/>
        <v>1841000</v>
      </c>
    </row>
    <row r="100" spans="1:16" s="120" customFormat="1" ht="30">
      <c r="A100" s="4"/>
      <c r="B100" s="4" t="s">
        <v>51</v>
      </c>
      <c r="C100" s="5" t="s">
        <v>48</v>
      </c>
      <c r="D100" s="6" t="s">
        <v>52</v>
      </c>
      <c r="E100" s="81">
        <f t="shared" si="19"/>
        <v>18150</v>
      </c>
      <c r="F100" s="83">
        <v>18150</v>
      </c>
      <c r="G100" s="83">
        <f>17500-8838-8662</f>
        <v>0</v>
      </c>
      <c r="H100" s="83"/>
      <c r="I100" s="2"/>
      <c r="J100" s="81">
        <f t="shared" si="20"/>
        <v>0</v>
      </c>
      <c r="K100" s="2"/>
      <c r="L100" s="2"/>
      <c r="M100" s="2"/>
      <c r="N100" s="2"/>
      <c r="O100" s="2"/>
      <c r="P100" s="81">
        <f t="shared" si="18"/>
        <v>18150</v>
      </c>
    </row>
    <row r="101" spans="1:16" s="120" customFormat="1" ht="15">
      <c r="A101" s="3"/>
      <c r="B101" s="19" t="s">
        <v>55</v>
      </c>
      <c r="C101" s="5" t="s">
        <v>48</v>
      </c>
      <c r="D101" s="6" t="s">
        <v>56</v>
      </c>
      <c r="E101" s="81">
        <f t="shared" si="19"/>
        <v>189201.95</v>
      </c>
      <c r="F101" s="83">
        <f>275750-86548.05</f>
        <v>189201.95</v>
      </c>
      <c r="G101" s="83">
        <f>208320-54485.04</f>
        <v>153834.96</v>
      </c>
      <c r="H101" s="83">
        <f>12450-11443.39</f>
        <v>1006.6100000000006</v>
      </c>
      <c r="I101" s="83"/>
      <c r="J101" s="81">
        <f t="shared" si="20"/>
        <v>0</v>
      </c>
      <c r="K101" s="83"/>
      <c r="L101" s="83"/>
      <c r="M101" s="83"/>
      <c r="N101" s="83"/>
      <c r="O101" s="83"/>
      <c r="P101" s="81">
        <f t="shared" si="18"/>
        <v>189201.95</v>
      </c>
    </row>
    <row r="102" spans="1:16" s="120" customFormat="1" ht="30">
      <c r="A102" s="3"/>
      <c r="B102" s="4" t="s">
        <v>57</v>
      </c>
      <c r="C102" s="5" t="s">
        <v>48</v>
      </c>
      <c r="D102" s="6" t="s">
        <v>58</v>
      </c>
      <c r="E102" s="81">
        <f t="shared" si="19"/>
        <v>149740</v>
      </c>
      <c r="F102" s="83">
        <v>149740</v>
      </c>
      <c r="G102" s="83"/>
      <c r="H102" s="83"/>
      <c r="I102" s="83"/>
      <c r="J102" s="81">
        <f t="shared" si="20"/>
        <v>0</v>
      </c>
      <c r="K102" s="83"/>
      <c r="L102" s="83"/>
      <c r="M102" s="83"/>
      <c r="N102" s="83"/>
      <c r="O102" s="83"/>
      <c r="P102" s="81">
        <f t="shared" si="18"/>
        <v>149740</v>
      </c>
    </row>
    <row r="103" spans="1:16" s="120" customFormat="1" ht="75">
      <c r="A103" s="3"/>
      <c r="B103" s="19" t="s">
        <v>236</v>
      </c>
      <c r="C103" s="20">
        <v>1040</v>
      </c>
      <c r="D103" s="8" t="s">
        <v>237</v>
      </c>
      <c r="E103" s="81">
        <f t="shared" si="19"/>
        <v>900000</v>
      </c>
      <c r="F103" s="83">
        <v>900000</v>
      </c>
      <c r="G103" s="83"/>
      <c r="H103" s="83"/>
      <c r="I103" s="83"/>
      <c r="J103" s="81">
        <f t="shared" si="20"/>
        <v>0</v>
      </c>
      <c r="K103" s="83"/>
      <c r="L103" s="83"/>
      <c r="M103" s="83"/>
      <c r="N103" s="83"/>
      <c r="O103" s="83"/>
      <c r="P103" s="81">
        <f t="shared" si="18"/>
        <v>900000</v>
      </c>
    </row>
    <row r="104" spans="1:16" ht="15">
      <c r="A104" s="33" t="s">
        <v>47</v>
      </c>
      <c r="B104" s="32"/>
      <c r="C104" s="34"/>
      <c r="D104" s="11" t="s">
        <v>354</v>
      </c>
      <c r="E104" s="1">
        <f>F104+I104</f>
        <v>5617848</v>
      </c>
      <c r="F104" s="1">
        <f>SUM(F105:F121)</f>
        <v>5617848</v>
      </c>
      <c r="G104" s="1">
        <f>SUM(G105:G121)</f>
        <v>838487</v>
      </c>
      <c r="H104" s="1">
        <f>SUM(H105:H121)</f>
        <v>56805</v>
      </c>
      <c r="I104" s="1">
        <f>SUM(I105:I121)</f>
        <v>0</v>
      </c>
      <c r="J104" s="1">
        <f t="shared" si="11"/>
        <v>147555</v>
      </c>
      <c r="K104" s="1">
        <f>SUM(K105:K121)</f>
        <v>705</v>
      </c>
      <c r="L104" s="1">
        <f>SUM(L105:L121)</f>
        <v>0</v>
      </c>
      <c r="M104" s="1">
        <f>SUM(M105:M121)</f>
        <v>0</v>
      </c>
      <c r="N104" s="1">
        <f>SUM(N105:N121)</f>
        <v>146850</v>
      </c>
      <c r="O104" s="1">
        <f>SUM(O105:O121)</f>
        <v>140000</v>
      </c>
      <c r="P104" s="1">
        <f>E104+J104</f>
        <v>5765403</v>
      </c>
    </row>
    <row r="105" spans="1:16" ht="15">
      <c r="A105" s="3"/>
      <c r="B105" s="4" t="s">
        <v>18</v>
      </c>
      <c r="C105" s="5" t="s">
        <v>17</v>
      </c>
      <c r="D105" s="6" t="s">
        <v>19</v>
      </c>
      <c r="E105" s="81">
        <f>F105+I105</f>
        <v>419593</v>
      </c>
      <c r="F105" s="83">
        <f>1072874-88349-125544-439388</f>
        <v>419593</v>
      </c>
      <c r="G105" s="83">
        <f>674525-102905-252072</f>
        <v>319548</v>
      </c>
      <c r="H105" s="83">
        <f>34835-24672</f>
        <v>10163</v>
      </c>
      <c r="I105" s="83"/>
      <c r="J105" s="81">
        <f t="shared" si="11"/>
        <v>7555</v>
      </c>
      <c r="K105" s="83">
        <f>8000-7295</f>
        <v>705</v>
      </c>
      <c r="L105" s="83"/>
      <c r="M105" s="83"/>
      <c r="N105" s="83">
        <f>8000+10000-10000-1150</f>
        <v>6850</v>
      </c>
      <c r="O105" s="83">
        <f>10000-10000</f>
        <v>0</v>
      </c>
      <c r="P105" s="81">
        <f>E105+J105</f>
        <v>427148</v>
      </c>
    </row>
    <row r="106" spans="1:16" ht="35.25" customHeight="1" hidden="1">
      <c r="A106" s="3"/>
      <c r="B106" s="4" t="s">
        <v>49</v>
      </c>
      <c r="C106" s="5" t="s">
        <v>48</v>
      </c>
      <c r="D106" s="6" t="s">
        <v>50</v>
      </c>
      <c r="E106" s="81">
        <f aca="true" t="shared" si="21" ref="E106:E121">F106+I106</f>
        <v>0</v>
      </c>
      <c r="F106" s="83"/>
      <c r="G106" s="83"/>
      <c r="H106" s="83"/>
      <c r="I106" s="83"/>
      <c r="J106" s="81">
        <f t="shared" si="11"/>
        <v>0</v>
      </c>
      <c r="K106" s="83"/>
      <c r="L106" s="83"/>
      <c r="M106" s="83"/>
      <c r="N106" s="83"/>
      <c r="O106" s="83"/>
      <c r="P106" s="81">
        <f aca="true" t="shared" si="22" ref="P106:P121">E106+J106</f>
        <v>0</v>
      </c>
    </row>
    <row r="107" spans="1:16" ht="30" customHeight="1" hidden="1">
      <c r="A107" s="3"/>
      <c r="B107" s="4" t="s">
        <v>51</v>
      </c>
      <c r="C107" s="5" t="s">
        <v>48</v>
      </c>
      <c r="D107" s="6" t="s">
        <v>52</v>
      </c>
      <c r="E107" s="81">
        <f t="shared" si="21"/>
        <v>0</v>
      </c>
      <c r="F107" s="83"/>
      <c r="G107" s="83"/>
      <c r="H107" s="83"/>
      <c r="I107" s="83"/>
      <c r="J107" s="81">
        <f t="shared" si="11"/>
        <v>0</v>
      </c>
      <c r="K107" s="83"/>
      <c r="L107" s="83"/>
      <c r="M107" s="83"/>
      <c r="N107" s="83"/>
      <c r="O107" s="83"/>
      <c r="P107" s="81">
        <f t="shared" si="22"/>
        <v>0</v>
      </c>
    </row>
    <row r="108" spans="1:16" ht="30" customHeight="1" hidden="1">
      <c r="A108" s="3"/>
      <c r="B108" s="4" t="s">
        <v>53</v>
      </c>
      <c r="C108" s="5" t="s">
        <v>48</v>
      </c>
      <c r="D108" s="6" t="s">
        <v>54</v>
      </c>
      <c r="E108" s="81">
        <f t="shared" si="21"/>
        <v>0</v>
      </c>
      <c r="F108" s="83"/>
      <c r="G108" s="83"/>
      <c r="H108" s="83"/>
      <c r="I108" s="83"/>
      <c r="J108" s="81">
        <f t="shared" si="11"/>
        <v>0</v>
      </c>
      <c r="K108" s="83"/>
      <c r="L108" s="83"/>
      <c r="M108" s="83"/>
      <c r="N108" s="83"/>
      <c r="O108" s="83"/>
      <c r="P108" s="81">
        <f t="shared" si="22"/>
        <v>0</v>
      </c>
    </row>
    <row r="109" spans="1:16" ht="15" customHeight="1" hidden="1">
      <c r="A109" s="3"/>
      <c r="B109" s="4" t="s">
        <v>55</v>
      </c>
      <c r="C109" s="5" t="s">
        <v>48</v>
      </c>
      <c r="D109" s="6" t="s">
        <v>56</v>
      </c>
      <c r="E109" s="81">
        <f t="shared" si="21"/>
        <v>0</v>
      </c>
      <c r="F109" s="83"/>
      <c r="G109" s="83"/>
      <c r="H109" s="83"/>
      <c r="I109" s="83"/>
      <c r="J109" s="81">
        <f t="shared" si="11"/>
        <v>0</v>
      </c>
      <c r="K109" s="83"/>
      <c r="L109" s="83"/>
      <c r="M109" s="83"/>
      <c r="N109" s="83"/>
      <c r="O109" s="83"/>
      <c r="P109" s="81">
        <f t="shared" si="22"/>
        <v>0</v>
      </c>
    </row>
    <row r="110" spans="1:16" ht="30" customHeight="1" hidden="1">
      <c r="A110" s="3"/>
      <c r="B110" s="4" t="s">
        <v>57</v>
      </c>
      <c r="C110" s="5" t="s">
        <v>48</v>
      </c>
      <c r="D110" s="6" t="s">
        <v>58</v>
      </c>
      <c r="E110" s="81">
        <f t="shared" si="21"/>
        <v>0</v>
      </c>
      <c r="F110" s="83"/>
      <c r="G110" s="83"/>
      <c r="H110" s="83"/>
      <c r="I110" s="83"/>
      <c r="J110" s="81">
        <f t="shared" si="11"/>
        <v>0</v>
      </c>
      <c r="K110" s="83"/>
      <c r="L110" s="83"/>
      <c r="M110" s="83"/>
      <c r="N110" s="83"/>
      <c r="O110" s="83"/>
      <c r="P110" s="81">
        <f t="shared" si="22"/>
        <v>0</v>
      </c>
    </row>
    <row r="111" spans="1:16" ht="75" customHeight="1" hidden="1">
      <c r="A111" s="3"/>
      <c r="B111" s="19" t="s">
        <v>236</v>
      </c>
      <c r="C111" s="20">
        <v>1040</v>
      </c>
      <c r="D111" s="8" t="s">
        <v>237</v>
      </c>
      <c r="E111" s="81">
        <f t="shared" si="21"/>
        <v>0</v>
      </c>
      <c r="F111" s="83"/>
      <c r="G111" s="83"/>
      <c r="H111" s="83"/>
      <c r="I111" s="83"/>
      <c r="J111" s="81">
        <f t="shared" si="11"/>
        <v>0</v>
      </c>
      <c r="K111" s="83"/>
      <c r="L111" s="83"/>
      <c r="M111" s="83"/>
      <c r="N111" s="83"/>
      <c r="O111" s="83"/>
      <c r="P111" s="81">
        <f t="shared" si="22"/>
        <v>0</v>
      </c>
    </row>
    <row r="112" spans="1:16" ht="30">
      <c r="A112" s="3"/>
      <c r="B112" s="4" t="s">
        <v>59</v>
      </c>
      <c r="C112" s="5" t="s">
        <v>43</v>
      </c>
      <c r="D112" s="6" t="s">
        <v>60</v>
      </c>
      <c r="E112" s="81">
        <f t="shared" si="21"/>
        <v>107222</v>
      </c>
      <c r="F112" s="83">
        <f>111175+140000-143953</f>
        <v>107222</v>
      </c>
      <c r="G112" s="83"/>
      <c r="H112" s="83"/>
      <c r="I112" s="83"/>
      <c r="J112" s="81">
        <f t="shared" si="11"/>
        <v>0</v>
      </c>
      <c r="K112" s="83"/>
      <c r="L112" s="83"/>
      <c r="M112" s="83"/>
      <c r="N112" s="83"/>
      <c r="O112" s="83"/>
      <c r="P112" s="81">
        <f t="shared" si="22"/>
        <v>107222</v>
      </c>
    </row>
    <row r="113" spans="1:16" ht="30">
      <c r="A113" s="3"/>
      <c r="B113" s="4" t="s">
        <v>61</v>
      </c>
      <c r="C113" s="5" t="s">
        <v>43</v>
      </c>
      <c r="D113" s="6" t="s">
        <v>62</v>
      </c>
      <c r="E113" s="81">
        <f t="shared" si="21"/>
        <v>134567</v>
      </c>
      <c r="F113" s="83">
        <f>318837-32137-152133</f>
        <v>134567</v>
      </c>
      <c r="G113" s="83">
        <f>221705-114598</f>
        <v>107107</v>
      </c>
      <c r="H113" s="83">
        <f>8210-6013</f>
        <v>2197</v>
      </c>
      <c r="I113" s="83"/>
      <c r="J113" s="81">
        <f t="shared" si="11"/>
        <v>0</v>
      </c>
      <c r="K113" s="83"/>
      <c r="L113" s="83"/>
      <c r="M113" s="83"/>
      <c r="N113" s="83"/>
      <c r="O113" s="83"/>
      <c r="P113" s="81">
        <f t="shared" si="22"/>
        <v>134567</v>
      </c>
    </row>
    <row r="114" spans="1:16" ht="30">
      <c r="A114" s="3"/>
      <c r="B114" s="4" t="s">
        <v>63</v>
      </c>
      <c r="C114" s="5" t="s">
        <v>43</v>
      </c>
      <c r="D114" s="6" t="s">
        <v>64</v>
      </c>
      <c r="E114" s="81">
        <f t="shared" si="21"/>
        <v>20420</v>
      </c>
      <c r="F114" s="83">
        <f>11000+20000-10580</f>
        <v>20420</v>
      </c>
      <c r="G114" s="83"/>
      <c r="H114" s="83"/>
      <c r="I114" s="83"/>
      <c r="J114" s="81">
        <f t="shared" si="11"/>
        <v>0</v>
      </c>
      <c r="K114" s="83"/>
      <c r="L114" s="83"/>
      <c r="M114" s="83"/>
      <c r="N114" s="83"/>
      <c r="O114" s="83"/>
      <c r="P114" s="81">
        <f t="shared" si="22"/>
        <v>20420</v>
      </c>
    </row>
    <row r="115" spans="1:16" ht="30">
      <c r="A115" s="3"/>
      <c r="B115" s="4" t="s">
        <v>65</v>
      </c>
      <c r="C115" s="5" t="s">
        <v>43</v>
      </c>
      <c r="D115" s="6" t="s">
        <v>66</v>
      </c>
      <c r="E115" s="81">
        <f t="shared" si="21"/>
        <v>43517</v>
      </c>
      <c r="F115" s="83">
        <f>40000+60000-56483</f>
        <v>43517</v>
      </c>
      <c r="G115" s="83"/>
      <c r="H115" s="83"/>
      <c r="I115" s="83"/>
      <c r="J115" s="81">
        <f>K115+N115</f>
        <v>0</v>
      </c>
      <c r="K115" s="83"/>
      <c r="L115" s="83"/>
      <c r="M115" s="83"/>
      <c r="N115" s="83"/>
      <c r="O115" s="83"/>
      <c r="P115" s="81">
        <f t="shared" si="22"/>
        <v>43517</v>
      </c>
    </row>
    <row r="116" spans="1:16" ht="30">
      <c r="A116" s="3"/>
      <c r="B116" s="4" t="s">
        <v>44</v>
      </c>
      <c r="C116" s="5" t="s">
        <v>43</v>
      </c>
      <c r="D116" s="6" t="s">
        <v>45</v>
      </c>
      <c r="E116" s="81">
        <f t="shared" si="21"/>
        <v>467852</v>
      </c>
      <c r="F116" s="83">
        <f>1119869-94017-558000</f>
        <v>467852</v>
      </c>
      <c r="G116" s="83">
        <f>644784-331830</f>
        <v>312954</v>
      </c>
      <c r="H116" s="83">
        <f>89215-47282</f>
        <v>41933</v>
      </c>
      <c r="I116" s="83"/>
      <c r="J116" s="81">
        <f t="shared" si="11"/>
        <v>0</v>
      </c>
      <c r="K116" s="83"/>
      <c r="L116" s="83"/>
      <c r="M116" s="83"/>
      <c r="N116" s="83">
        <f>30000-30000</f>
        <v>0</v>
      </c>
      <c r="O116" s="83">
        <f>30000-30000</f>
        <v>0</v>
      </c>
      <c r="P116" s="81">
        <f t="shared" si="22"/>
        <v>467852</v>
      </c>
    </row>
    <row r="117" spans="1:16" ht="15">
      <c r="A117" s="3"/>
      <c r="B117" s="4" t="s">
        <v>67</v>
      </c>
      <c r="C117" s="5" t="s">
        <v>43</v>
      </c>
      <c r="D117" s="6" t="s">
        <v>68</v>
      </c>
      <c r="E117" s="81">
        <f t="shared" si="21"/>
        <v>2801481</v>
      </c>
      <c r="F117" s="83">
        <f>6094460-430804-2862175</f>
        <v>2801481</v>
      </c>
      <c r="G117" s="83"/>
      <c r="H117" s="83"/>
      <c r="I117" s="83"/>
      <c r="J117" s="81">
        <f t="shared" si="11"/>
        <v>0</v>
      </c>
      <c r="K117" s="83"/>
      <c r="L117" s="83"/>
      <c r="M117" s="83"/>
      <c r="N117" s="83">
        <f>740000-740000</f>
        <v>0</v>
      </c>
      <c r="O117" s="83">
        <f>740000-740000</f>
        <v>0</v>
      </c>
      <c r="P117" s="81">
        <f t="shared" si="22"/>
        <v>2801481</v>
      </c>
    </row>
    <row r="118" spans="1:16" ht="23.25" customHeight="1">
      <c r="A118" s="3"/>
      <c r="B118" s="4" t="s">
        <v>69</v>
      </c>
      <c r="C118" s="5" t="s">
        <v>43</v>
      </c>
      <c r="D118" s="6" t="s">
        <v>56</v>
      </c>
      <c r="E118" s="81">
        <f t="shared" si="21"/>
        <v>165564</v>
      </c>
      <c r="F118" s="83">
        <f>110390+221000+124020-289846</f>
        <v>165564</v>
      </c>
      <c r="G118" s="83"/>
      <c r="H118" s="83"/>
      <c r="I118" s="83"/>
      <c r="J118" s="81">
        <f t="shared" si="11"/>
        <v>0</v>
      </c>
      <c r="K118" s="83"/>
      <c r="L118" s="83"/>
      <c r="M118" s="83"/>
      <c r="N118" s="83"/>
      <c r="O118" s="83"/>
      <c r="P118" s="81">
        <f t="shared" si="22"/>
        <v>165564</v>
      </c>
    </row>
    <row r="119" spans="1:16" ht="30">
      <c r="A119" s="3"/>
      <c r="B119" s="4" t="s">
        <v>70</v>
      </c>
      <c r="C119" s="5" t="s">
        <v>43</v>
      </c>
      <c r="D119" s="6" t="s">
        <v>71</v>
      </c>
      <c r="E119" s="81">
        <f t="shared" si="21"/>
        <v>650728</v>
      </c>
      <c r="F119" s="83">
        <f>609996+10000-34546+300000+10000+15000+250000+155000-664722</f>
        <v>650728</v>
      </c>
      <c r="G119" s="83">
        <f>236618+45400-183140</f>
        <v>98878</v>
      </c>
      <c r="H119" s="83">
        <f>10996-8484</f>
        <v>2512</v>
      </c>
      <c r="I119" s="83"/>
      <c r="J119" s="81">
        <f t="shared" si="11"/>
        <v>140000</v>
      </c>
      <c r="K119" s="83"/>
      <c r="L119" s="83"/>
      <c r="M119" s="83"/>
      <c r="N119" s="83">
        <f>80000+250000+15220-155000-50220</f>
        <v>140000</v>
      </c>
      <c r="O119" s="83">
        <f>80000+250000+15220-155000-50220</f>
        <v>140000</v>
      </c>
      <c r="P119" s="81">
        <f t="shared" si="22"/>
        <v>790728</v>
      </c>
    </row>
    <row r="120" spans="1:16" ht="60">
      <c r="A120" s="21"/>
      <c r="B120" s="4" t="s">
        <v>272</v>
      </c>
      <c r="C120" s="4" t="s">
        <v>43</v>
      </c>
      <c r="D120" s="22" t="s">
        <v>273</v>
      </c>
      <c r="E120" s="81">
        <f t="shared" si="21"/>
        <v>758201</v>
      </c>
      <c r="F120" s="84">
        <f>1809130-195423-855506</f>
        <v>758201</v>
      </c>
      <c r="G120" s="84"/>
      <c r="H120" s="84"/>
      <c r="I120" s="84"/>
      <c r="J120" s="81">
        <f t="shared" si="11"/>
        <v>0</v>
      </c>
      <c r="K120" s="84"/>
      <c r="L120" s="84"/>
      <c r="M120" s="84"/>
      <c r="N120" s="84"/>
      <c r="O120" s="84"/>
      <c r="P120" s="81">
        <f t="shared" si="22"/>
        <v>758201</v>
      </c>
    </row>
    <row r="121" spans="1:16" ht="30">
      <c r="A121" s="21"/>
      <c r="B121" s="23" t="s">
        <v>72</v>
      </c>
      <c r="C121" s="24" t="s">
        <v>43</v>
      </c>
      <c r="D121" s="25" t="s">
        <v>73</v>
      </c>
      <c r="E121" s="81">
        <f t="shared" si="21"/>
        <v>48703</v>
      </c>
      <c r="F121" s="84">
        <f>110010-11873-49434</f>
        <v>48703</v>
      </c>
      <c r="G121" s="84"/>
      <c r="H121" s="84"/>
      <c r="I121" s="84"/>
      <c r="J121" s="81">
        <f t="shared" si="11"/>
        <v>0</v>
      </c>
      <c r="K121" s="84"/>
      <c r="L121" s="84"/>
      <c r="M121" s="84"/>
      <c r="N121" s="84"/>
      <c r="O121" s="84"/>
      <c r="P121" s="81">
        <f t="shared" si="22"/>
        <v>48703</v>
      </c>
    </row>
    <row r="122" spans="1:16" ht="30">
      <c r="A122" s="33" t="s">
        <v>74</v>
      </c>
      <c r="B122" s="32"/>
      <c r="C122" s="34"/>
      <c r="D122" s="11" t="s">
        <v>356</v>
      </c>
      <c r="E122" s="1">
        <f>F122+I122</f>
        <v>285645767.78</v>
      </c>
      <c r="F122" s="1">
        <f>F123+F124+F127+F129+F131+F133+F136+F138+F139+F141+F142+F143</f>
        <v>285645767.78</v>
      </c>
      <c r="G122" s="1">
        <f>G123+G124+G127+G129+G131+G133+G136+G138+G139+G141+G142+G143</f>
        <v>165354189</v>
      </c>
      <c r="H122" s="1">
        <f>H123+H124+H127+H129+H131+H133+H136+H138+H139+H141+H142+H143</f>
        <v>35271501</v>
      </c>
      <c r="I122" s="1">
        <f>I123+I124+I127+I129+I131+I133+I136+I138+I139+I141+I142+I143</f>
        <v>0</v>
      </c>
      <c r="J122" s="1">
        <f>K122+N122</f>
        <v>18718698.03</v>
      </c>
      <c r="K122" s="1">
        <f>K123+K124+K127+K129+K131+K133+K136+K138+K139+K141+K142+K143+K140</f>
        <v>9797970</v>
      </c>
      <c r="L122" s="1">
        <f>L123+L124+L127+L129+L131+L133+L136+L138+L139+L141+L142+L143+L140</f>
        <v>4194795</v>
      </c>
      <c r="M122" s="1">
        <f>M123+M124+M127+M129+M131+M133+M136+M138+M139+M141+M142+M143+M140</f>
        <v>1922698</v>
      </c>
      <c r="N122" s="1">
        <f>N123+N124+N127+N129+N131+N133+N136+N138+N139+N141+N142+N143+N140</f>
        <v>8920728.03</v>
      </c>
      <c r="O122" s="1">
        <f>O123+O124+O127+O129+O131+O133+O136+O138+O139+O141+O142+O143+O140</f>
        <v>8688598.03</v>
      </c>
      <c r="P122" s="1">
        <f>E122+J122</f>
        <v>304364465.80999994</v>
      </c>
    </row>
    <row r="123" spans="1:16" ht="15">
      <c r="A123" s="26"/>
      <c r="B123" s="27" t="s">
        <v>18</v>
      </c>
      <c r="C123" s="28" t="s">
        <v>17</v>
      </c>
      <c r="D123" s="29" t="s">
        <v>19</v>
      </c>
      <c r="E123" s="81">
        <f>F123+I123</f>
        <v>2125257</v>
      </c>
      <c r="F123" s="82">
        <f>2294807-208329-83012+102027+19764</f>
        <v>2125257</v>
      </c>
      <c r="G123" s="82">
        <f>1456847-68043+79940+16200</f>
        <v>1484944</v>
      </c>
      <c r="H123" s="82">
        <v>170404</v>
      </c>
      <c r="I123" s="82"/>
      <c r="J123" s="81">
        <f t="shared" si="11"/>
        <v>33600</v>
      </c>
      <c r="K123" s="82"/>
      <c r="L123" s="82"/>
      <c r="M123" s="82"/>
      <c r="N123" s="82">
        <v>33600</v>
      </c>
      <c r="O123" s="82">
        <v>33600</v>
      </c>
      <c r="P123" s="81">
        <f>E123+J123</f>
        <v>2158857</v>
      </c>
    </row>
    <row r="124" spans="1:16" ht="15">
      <c r="A124" s="3"/>
      <c r="B124" s="27" t="s">
        <v>253</v>
      </c>
      <c r="C124" s="5" t="s">
        <v>254</v>
      </c>
      <c r="D124" s="29" t="s">
        <v>232</v>
      </c>
      <c r="E124" s="81">
        <f aca="true" t="shared" si="23" ref="E124:E141">F124+I124</f>
        <v>156395378.77999997</v>
      </c>
      <c r="F124" s="82">
        <f>166847679-12670933+130000+9700+1570000+32970+5000-44800+26253.39+200159+206589+10500-6565+31365+10212.39-19764+8000+277766-65909+200000-75847+51420+75000+9390+58036-480843</f>
        <v>156395378.77999997</v>
      </c>
      <c r="G124" s="82">
        <f>88362650+164065-13860-16200-3000</f>
        <v>88493655</v>
      </c>
      <c r="H124" s="82">
        <f>24438664-16277-480843</f>
        <v>23941544</v>
      </c>
      <c r="I124" s="82"/>
      <c r="J124" s="81">
        <f t="shared" si="11"/>
        <v>2733530</v>
      </c>
      <c r="K124" s="82">
        <v>1749901</v>
      </c>
      <c r="L124" s="82">
        <v>252400</v>
      </c>
      <c r="M124" s="82">
        <v>715436</v>
      </c>
      <c r="N124" s="82">
        <f>65130+1500000+500000+45000+44800+49998+24500+400000+902000+6565-1302000-500000+65000+5000-822364</f>
        <v>983629</v>
      </c>
      <c r="O124" s="82">
        <f>1500000+500000+45000+44800+49998+24500+400000+902000+6565-1302000-500000+65000+5000-822364</f>
        <v>918499</v>
      </c>
      <c r="P124" s="81">
        <f aca="true" t="shared" si="24" ref="P124:P143">E124+J124</f>
        <v>159128908.77999997</v>
      </c>
    </row>
    <row r="125" spans="1:16" ht="29.25" customHeight="1">
      <c r="A125" s="3"/>
      <c r="B125" s="27"/>
      <c r="C125" s="5" t="s">
        <v>254</v>
      </c>
      <c r="D125" s="29" t="s">
        <v>261</v>
      </c>
      <c r="E125" s="81">
        <f>F125+I125</f>
        <v>90733357</v>
      </c>
      <c r="F125" s="82">
        <f>101804880-9655366-1616316+200159</f>
        <v>90733357</v>
      </c>
      <c r="G125" s="82">
        <f>67519700+164065</f>
        <v>67683765</v>
      </c>
      <c r="H125" s="82">
        <f>9775480-1616316</f>
        <v>8159164</v>
      </c>
      <c r="I125" s="82"/>
      <c r="J125" s="81">
        <f t="shared" si="11"/>
        <v>0</v>
      </c>
      <c r="K125" s="82"/>
      <c r="L125" s="82"/>
      <c r="M125" s="82"/>
      <c r="N125" s="82"/>
      <c r="O125" s="82"/>
      <c r="P125" s="81">
        <f t="shared" si="24"/>
        <v>90733357</v>
      </c>
    </row>
    <row r="126" spans="1:16" ht="30" hidden="1">
      <c r="A126" s="3"/>
      <c r="B126" s="27"/>
      <c r="C126" s="5"/>
      <c r="D126" s="29" t="s">
        <v>280</v>
      </c>
      <c r="E126" s="81">
        <f t="shared" si="23"/>
        <v>0</v>
      </c>
      <c r="F126" s="82"/>
      <c r="G126" s="82"/>
      <c r="H126" s="82"/>
      <c r="I126" s="82"/>
      <c r="J126" s="81">
        <f t="shared" si="11"/>
        <v>0</v>
      </c>
      <c r="K126" s="82"/>
      <c r="L126" s="82"/>
      <c r="M126" s="82"/>
      <c r="N126" s="82"/>
      <c r="O126" s="82"/>
      <c r="P126" s="81">
        <f t="shared" si="24"/>
        <v>0</v>
      </c>
    </row>
    <row r="127" spans="1:16" ht="93.75" customHeight="1">
      <c r="A127" s="3"/>
      <c r="B127" s="4" t="s">
        <v>250</v>
      </c>
      <c r="C127" s="5" t="s">
        <v>255</v>
      </c>
      <c r="D127" s="29" t="s">
        <v>233</v>
      </c>
      <c r="E127" s="81">
        <f t="shared" si="23"/>
        <v>27193980</v>
      </c>
      <c r="F127" s="82">
        <f>29850600-2412656+21000+39543+16240+97400+43369+31786+1500-47000-447802</f>
        <v>27193980</v>
      </c>
      <c r="G127" s="82">
        <f>16871722+35548</f>
        <v>16907270</v>
      </c>
      <c r="H127" s="82">
        <f>4439368-362102</f>
        <v>4077266</v>
      </c>
      <c r="I127" s="82"/>
      <c r="J127" s="81">
        <f>K127+N127</f>
        <v>337396</v>
      </c>
      <c r="K127" s="82">
        <v>317396</v>
      </c>
      <c r="L127" s="82">
        <v>33548</v>
      </c>
      <c r="M127" s="82">
        <v>18000</v>
      </c>
      <c r="N127" s="82">
        <f>20000</f>
        <v>20000</v>
      </c>
      <c r="O127" s="82">
        <f>20000</f>
        <v>20000</v>
      </c>
      <c r="P127" s="81">
        <f t="shared" si="24"/>
        <v>27531376</v>
      </c>
    </row>
    <row r="128" spans="1:16" ht="30">
      <c r="A128" s="3"/>
      <c r="B128" s="4"/>
      <c r="C128" s="5" t="s">
        <v>255</v>
      </c>
      <c r="D128" s="29" t="s">
        <v>261</v>
      </c>
      <c r="E128" s="81">
        <f t="shared" si="23"/>
        <v>17547434</v>
      </c>
      <c r="F128" s="82">
        <f>19347630-1843565+43369</f>
        <v>17547434</v>
      </c>
      <c r="G128" s="82">
        <f>12892020+35548</f>
        <v>12927568</v>
      </c>
      <c r="H128" s="82">
        <v>1775800</v>
      </c>
      <c r="I128" s="82"/>
      <c r="J128" s="81"/>
      <c r="K128" s="82"/>
      <c r="L128" s="82"/>
      <c r="M128" s="82"/>
      <c r="N128" s="82"/>
      <c r="O128" s="82"/>
      <c r="P128" s="81">
        <f t="shared" si="24"/>
        <v>17547434</v>
      </c>
    </row>
    <row r="129" spans="1:16" ht="45">
      <c r="A129" s="3"/>
      <c r="B129" s="4" t="s">
        <v>251</v>
      </c>
      <c r="C129" s="5" t="s">
        <v>256</v>
      </c>
      <c r="D129" s="29" t="s">
        <v>234</v>
      </c>
      <c r="E129" s="81">
        <f t="shared" si="23"/>
        <v>4651172</v>
      </c>
      <c r="F129" s="82">
        <f>5181670-433868+9587+1500+78993-186710</f>
        <v>4651172</v>
      </c>
      <c r="G129" s="82">
        <f>3034045+7858+64772</f>
        <v>3106675</v>
      </c>
      <c r="H129" s="82">
        <f>595430-186710</f>
        <v>408720</v>
      </c>
      <c r="I129" s="82"/>
      <c r="J129" s="81">
        <f t="shared" si="11"/>
        <v>421132</v>
      </c>
      <c r="K129" s="82">
        <v>421132</v>
      </c>
      <c r="L129" s="82">
        <v>218465</v>
      </c>
      <c r="M129" s="82">
        <v>35391</v>
      </c>
      <c r="N129" s="82">
        <v>0</v>
      </c>
      <c r="O129" s="82">
        <v>0</v>
      </c>
      <c r="P129" s="81">
        <f t="shared" si="24"/>
        <v>5072304</v>
      </c>
    </row>
    <row r="130" spans="1:16" ht="30">
      <c r="A130" s="3"/>
      <c r="B130" s="4"/>
      <c r="C130" s="5" t="s">
        <v>256</v>
      </c>
      <c r="D130" s="29" t="s">
        <v>261</v>
      </c>
      <c r="E130" s="81">
        <f t="shared" si="23"/>
        <v>3076311</v>
      </c>
      <c r="F130" s="82">
        <f>3398250-331526+9587</f>
        <v>3076311</v>
      </c>
      <c r="G130" s="82">
        <f>2318380+7858</f>
        <v>2326238</v>
      </c>
      <c r="H130" s="82">
        <v>238300</v>
      </c>
      <c r="I130" s="82"/>
      <c r="J130" s="81"/>
      <c r="K130" s="82"/>
      <c r="L130" s="82"/>
      <c r="M130" s="82"/>
      <c r="N130" s="82"/>
      <c r="O130" s="82"/>
      <c r="P130" s="81">
        <f t="shared" si="24"/>
        <v>3076311</v>
      </c>
    </row>
    <row r="131" spans="1:16" ht="30">
      <c r="A131" s="3"/>
      <c r="B131" s="4" t="s">
        <v>252</v>
      </c>
      <c r="C131" s="5" t="s">
        <v>257</v>
      </c>
      <c r="D131" s="29" t="s">
        <v>235</v>
      </c>
      <c r="E131" s="81">
        <f t="shared" si="23"/>
        <v>8373487</v>
      </c>
      <c r="F131" s="82">
        <f>9260210-755646+16875+1500+113984-263436</f>
        <v>8373487</v>
      </c>
      <c r="G131" s="82">
        <f>5269470+13832</f>
        <v>5283302</v>
      </c>
      <c r="H131" s="82">
        <f>909388-51376-263436</f>
        <v>594576</v>
      </c>
      <c r="I131" s="82"/>
      <c r="J131" s="81">
        <f t="shared" si="11"/>
        <v>5891883</v>
      </c>
      <c r="K131" s="82">
        <v>5620083</v>
      </c>
      <c r="L131" s="82">
        <v>3132347</v>
      </c>
      <c r="M131" s="82">
        <v>673893</v>
      </c>
      <c r="N131" s="82">
        <f>100000+151800+20000</f>
        <v>271800</v>
      </c>
      <c r="O131" s="82">
        <f>151800+20000</f>
        <v>171800</v>
      </c>
      <c r="P131" s="81">
        <f t="shared" si="24"/>
        <v>14265370</v>
      </c>
    </row>
    <row r="132" spans="1:16" ht="30">
      <c r="A132" s="3"/>
      <c r="B132" s="4"/>
      <c r="C132" s="5" t="s">
        <v>257</v>
      </c>
      <c r="D132" s="29" t="s">
        <v>261</v>
      </c>
      <c r="E132" s="81">
        <f t="shared" si="23"/>
        <v>5293097</v>
      </c>
      <c r="F132" s="83">
        <f>5852020-575798+16875</f>
        <v>5293097</v>
      </c>
      <c r="G132" s="83">
        <f>4026510+13832</f>
        <v>4040342</v>
      </c>
      <c r="H132" s="83">
        <v>363880</v>
      </c>
      <c r="I132" s="82"/>
      <c r="J132" s="81"/>
      <c r="K132" s="82"/>
      <c r="L132" s="82"/>
      <c r="M132" s="82"/>
      <c r="N132" s="82"/>
      <c r="O132" s="82"/>
      <c r="P132" s="81">
        <f t="shared" si="24"/>
        <v>5293097</v>
      </c>
    </row>
    <row r="133" spans="1:16" ht="30">
      <c r="A133" s="3"/>
      <c r="B133" s="4" t="s">
        <v>76</v>
      </c>
      <c r="C133" s="5" t="s">
        <v>75</v>
      </c>
      <c r="D133" s="6" t="s">
        <v>77</v>
      </c>
      <c r="E133" s="81">
        <f>F133+I133</f>
        <v>83094227</v>
      </c>
      <c r="F133" s="83">
        <f>90123735-6845097-100000+208716+364020-97400+69730-825580+231578+477715+4500+15601+13995+77030-263882+61607+14240+282730-719011</f>
        <v>83094227</v>
      </c>
      <c r="G133" s="83">
        <f>47615376+189818+189800</f>
        <v>47994994</v>
      </c>
      <c r="H133" s="83">
        <f>6539327+83757-719011</f>
        <v>5904073</v>
      </c>
      <c r="I133" s="83"/>
      <c r="J133" s="81">
        <f>K133+N133</f>
        <v>5466688</v>
      </c>
      <c r="K133" s="83">
        <v>1689458</v>
      </c>
      <c r="L133" s="83">
        <v>558035</v>
      </c>
      <c r="M133" s="83">
        <v>479978</v>
      </c>
      <c r="N133" s="83">
        <f>67000+2340200+390000+160000+31800+87000+68830+50000-50000+65000+20000+670176-100473-22303</f>
        <v>3777230</v>
      </c>
      <c r="O133" s="83">
        <f>2340200+390000+160000+31800+87000+68830+50000-50000+65000+20000+670176-100473-22303</f>
        <v>3710230</v>
      </c>
      <c r="P133" s="81">
        <f t="shared" si="24"/>
        <v>88560915</v>
      </c>
    </row>
    <row r="134" spans="1:16" ht="28.5" customHeight="1">
      <c r="A134" s="3"/>
      <c r="B134" s="4"/>
      <c r="C134" s="5" t="s">
        <v>75</v>
      </c>
      <c r="D134" s="29" t="s">
        <v>261</v>
      </c>
      <c r="E134" s="81">
        <f>F134+I134</f>
        <v>47236100</v>
      </c>
      <c r="F134" s="83">
        <f>52207520-5202998+231578</f>
        <v>47236100</v>
      </c>
      <c r="G134" s="83">
        <f>36383870+189818</f>
        <v>36573688</v>
      </c>
      <c r="H134" s="83">
        <v>2616200</v>
      </c>
      <c r="I134" s="83"/>
      <c r="J134" s="81"/>
      <c r="K134" s="83"/>
      <c r="L134" s="83"/>
      <c r="M134" s="83"/>
      <c r="N134" s="83"/>
      <c r="O134" s="83"/>
      <c r="P134" s="81">
        <f t="shared" si="24"/>
        <v>47236100</v>
      </c>
    </row>
    <row r="135" spans="1:16" ht="0.75" customHeight="1" hidden="1">
      <c r="A135" s="3"/>
      <c r="B135" s="4"/>
      <c r="C135" s="5"/>
      <c r="D135" s="6" t="s">
        <v>281</v>
      </c>
      <c r="E135" s="81">
        <f t="shared" si="23"/>
        <v>0</v>
      </c>
      <c r="F135" s="83"/>
      <c r="G135" s="83"/>
      <c r="H135" s="83"/>
      <c r="I135" s="83"/>
      <c r="J135" s="81">
        <f t="shared" si="11"/>
        <v>0</v>
      </c>
      <c r="K135" s="83"/>
      <c r="L135" s="83"/>
      <c r="M135" s="83"/>
      <c r="N135" s="83"/>
      <c r="O135" s="83"/>
      <c r="P135" s="81">
        <f t="shared" si="24"/>
        <v>0</v>
      </c>
    </row>
    <row r="136" spans="1:16" ht="15">
      <c r="A136" s="3"/>
      <c r="B136" s="4" t="s">
        <v>79</v>
      </c>
      <c r="C136" s="5" t="s">
        <v>78</v>
      </c>
      <c r="D136" s="6" t="s">
        <v>80</v>
      </c>
      <c r="E136" s="81">
        <f t="shared" si="23"/>
        <v>2384183</v>
      </c>
      <c r="F136" s="83">
        <f>1720307-156534+825580+5432+1500+17898-30000</f>
        <v>2384183</v>
      </c>
      <c r="G136" s="83">
        <f>1094643+4452</f>
        <v>1099095</v>
      </c>
      <c r="H136" s="83">
        <f>164241+3000-30000</f>
        <v>137241</v>
      </c>
      <c r="I136" s="83"/>
      <c r="J136" s="81">
        <f t="shared" si="11"/>
        <v>1472031</v>
      </c>
      <c r="K136" s="83"/>
      <c r="L136" s="83"/>
      <c r="M136" s="83"/>
      <c r="N136" s="83">
        <f>1352000+121600-1569</f>
        <v>1472031</v>
      </c>
      <c r="O136" s="83">
        <f>1352000+121600-1569</f>
        <v>1472031</v>
      </c>
      <c r="P136" s="81">
        <f t="shared" si="24"/>
        <v>3856214</v>
      </c>
    </row>
    <row r="137" spans="1:16" ht="30">
      <c r="A137" s="3"/>
      <c r="B137" s="4"/>
      <c r="C137" s="5" t="s">
        <v>78</v>
      </c>
      <c r="D137" s="29" t="s">
        <v>261</v>
      </c>
      <c r="E137" s="81">
        <f t="shared" si="23"/>
        <v>1091701</v>
      </c>
      <c r="F137" s="83">
        <f>1205900-119631+5432</f>
        <v>1091701</v>
      </c>
      <c r="G137" s="83">
        <f>836450+4452</f>
        <v>840902</v>
      </c>
      <c r="H137" s="83">
        <v>65800</v>
      </c>
      <c r="I137" s="83"/>
      <c r="J137" s="81"/>
      <c r="K137" s="83"/>
      <c r="L137" s="83"/>
      <c r="M137" s="83"/>
      <c r="N137" s="83"/>
      <c r="O137" s="83"/>
      <c r="P137" s="81">
        <f t="shared" si="24"/>
        <v>1091701</v>
      </c>
    </row>
    <row r="138" spans="1:16" ht="60">
      <c r="A138" s="3"/>
      <c r="B138" s="4" t="s">
        <v>81</v>
      </c>
      <c r="C138" s="5" t="s">
        <v>78</v>
      </c>
      <c r="D138" s="6" t="s">
        <v>82</v>
      </c>
      <c r="E138" s="81">
        <f t="shared" si="23"/>
        <v>1317283</v>
      </c>
      <c r="F138" s="83">
        <f>1484499-138766+13860+3050-25360-20000</f>
        <v>1317283</v>
      </c>
      <c r="G138" s="83">
        <f>970394+13860</f>
        <v>984254</v>
      </c>
      <c r="H138" s="83">
        <f>57677-20000</f>
        <v>37677</v>
      </c>
      <c r="I138" s="83"/>
      <c r="J138" s="81">
        <f t="shared" si="11"/>
        <v>0</v>
      </c>
      <c r="K138" s="83"/>
      <c r="L138" s="83"/>
      <c r="M138" s="83"/>
      <c r="N138" s="83"/>
      <c r="O138" s="83"/>
      <c r="P138" s="81">
        <f t="shared" si="24"/>
        <v>1317283</v>
      </c>
    </row>
    <row r="139" spans="1:16" ht="21.75" customHeight="1">
      <c r="A139" s="3"/>
      <c r="B139" s="4">
        <v>150101</v>
      </c>
      <c r="C139" s="19" t="s">
        <v>242</v>
      </c>
      <c r="D139" s="6" t="s">
        <v>258</v>
      </c>
      <c r="E139" s="81">
        <f t="shared" si="23"/>
        <v>0</v>
      </c>
      <c r="F139" s="83"/>
      <c r="G139" s="83"/>
      <c r="H139" s="83"/>
      <c r="I139" s="83"/>
      <c r="J139" s="81">
        <f t="shared" si="11"/>
        <v>1881580.0299999998</v>
      </c>
      <c r="K139" s="83"/>
      <c r="L139" s="83"/>
      <c r="M139" s="83"/>
      <c r="N139" s="83">
        <f>64000+590507+3383000-2853692.97+150000+465858+125000+76000+135000+160000-465858-80734+132500</f>
        <v>1881580.0299999998</v>
      </c>
      <c r="O139" s="83">
        <f>64000+590507+3383000-2853692.97+150000+465858+125000+76000+135000+160000-465858-80734+132500</f>
        <v>1881580.0299999998</v>
      </c>
      <c r="P139" s="81">
        <f t="shared" si="24"/>
        <v>1881580.0299999998</v>
      </c>
    </row>
    <row r="140" spans="1:19" s="120" customFormat="1" ht="45.75" customHeight="1">
      <c r="A140" s="121"/>
      <c r="B140" s="4">
        <v>150114</v>
      </c>
      <c r="C140" s="19" t="s">
        <v>242</v>
      </c>
      <c r="D140" s="6" t="s">
        <v>379</v>
      </c>
      <c r="E140" s="81">
        <f>F140+I140</f>
        <v>0</v>
      </c>
      <c r="F140" s="83"/>
      <c r="G140" s="83"/>
      <c r="H140" s="83"/>
      <c r="I140" s="83"/>
      <c r="J140" s="81">
        <f>K140+N140</f>
        <v>480858</v>
      </c>
      <c r="K140" s="83"/>
      <c r="L140" s="83"/>
      <c r="M140" s="83"/>
      <c r="N140" s="83">
        <f>465858+15000</f>
        <v>480858</v>
      </c>
      <c r="O140" s="83">
        <f>465858+15000</f>
        <v>480858</v>
      </c>
      <c r="P140" s="81">
        <f>E140+J140</f>
        <v>480858</v>
      </c>
      <c r="Q140" s="12"/>
      <c r="R140" s="12"/>
      <c r="S140" s="12"/>
    </row>
    <row r="141" spans="1:16" ht="15">
      <c r="A141" s="3"/>
      <c r="B141" s="4">
        <v>200700</v>
      </c>
      <c r="C141" s="5" t="s">
        <v>214</v>
      </c>
      <c r="D141" s="6" t="s">
        <v>284</v>
      </c>
      <c r="E141" s="81">
        <f t="shared" si="23"/>
        <v>0</v>
      </c>
      <c r="F141" s="83"/>
      <c r="G141" s="83"/>
      <c r="H141" s="83"/>
      <c r="I141" s="83"/>
      <c r="J141" s="81">
        <f t="shared" si="11"/>
        <v>0</v>
      </c>
      <c r="K141" s="83"/>
      <c r="L141" s="83"/>
      <c r="M141" s="83"/>
      <c r="N141" s="83"/>
      <c r="O141" s="83"/>
      <c r="P141" s="81">
        <f t="shared" si="24"/>
        <v>0</v>
      </c>
    </row>
    <row r="142" spans="1:16" ht="15">
      <c r="A142" s="3"/>
      <c r="B142" s="4">
        <v>250404</v>
      </c>
      <c r="C142" s="5" t="s">
        <v>185</v>
      </c>
      <c r="D142" s="6" t="s">
        <v>56</v>
      </c>
      <c r="E142" s="81">
        <f>F142</f>
        <v>10800</v>
      </c>
      <c r="F142" s="83">
        <v>10800</v>
      </c>
      <c r="G142" s="83"/>
      <c r="H142" s="83"/>
      <c r="I142" s="83"/>
      <c r="J142" s="81">
        <f t="shared" si="11"/>
        <v>0</v>
      </c>
      <c r="K142" s="83"/>
      <c r="L142" s="83"/>
      <c r="M142" s="83"/>
      <c r="N142" s="83"/>
      <c r="O142" s="83"/>
      <c r="P142" s="81">
        <f t="shared" si="24"/>
        <v>10800</v>
      </c>
    </row>
    <row r="143" spans="1:16" ht="15">
      <c r="A143" s="3"/>
      <c r="B143" s="4">
        <v>250380</v>
      </c>
      <c r="C143" s="5">
        <v>180</v>
      </c>
      <c r="D143" s="6" t="s">
        <v>246</v>
      </c>
      <c r="E143" s="81">
        <f>F143</f>
        <v>100000</v>
      </c>
      <c r="F143" s="83">
        <v>100000</v>
      </c>
      <c r="G143" s="83"/>
      <c r="H143" s="83"/>
      <c r="I143" s="83"/>
      <c r="J143" s="81"/>
      <c r="K143" s="83"/>
      <c r="L143" s="83"/>
      <c r="M143" s="83"/>
      <c r="N143" s="83"/>
      <c r="O143" s="83"/>
      <c r="P143" s="81">
        <f t="shared" si="24"/>
        <v>100000</v>
      </c>
    </row>
    <row r="144" spans="1:16" ht="28.5" customHeight="1">
      <c r="A144" s="33" t="s">
        <v>83</v>
      </c>
      <c r="B144" s="32"/>
      <c r="C144" s="34"/>
      <c r="D144" s="11" t="s">
        <v>356</v>
      </c>
      <c r="E144" s="1">
        <f>F144+I144</f>
        <v>8354108</v>
      </c>
      <c r="F144" s="1">
        <f>F145+F147+F149+F151+F153+F156+F158+F160+F162+F164+F166+F168+F170+F172+F174+F176+F178+F180+F182+F184+F186+F188+F190+F192+F194+F196+F198+F199+F200+F201+F202+F204+F206+F208+F210</f>
        <v>8354108</v>
      </c>
      <c r="G144" s="1">
        <f>G145+G147+G149+G151+G153+G156+G158+G160+G162+G164+G166+G168+G170+G172+G174+G176+G178+G180+G182+G184+G186+G188+G190+G192+G194+G196+G198+G199+G200+G201+G202+G204+G206+G208+G210</f>
        <v>922950</v>
      </c>
      <c r="H144" s="1">
        <f>H145+H147+H149+H151+H153+H156+H158+H160+H162+H164+H166+H168+H170+H172+H174+H176+H178+H180+H182+H184+H186+H188+H190+H192+H194+H196+H198+H199+H200+H201+H202+H204+H206+H208+H210</f>
        <v>270830</v>
      </c>
      <c r="I144" s="1">
        <f>I145+I147+I149+I151+I153+I156+I158+I160+I162+I164+I166+I168+I170+I172+I174+I176+I178+I180+I182+I184+I186+I188+I190+I192+I194+I196+I198+I199+I200+I201+I202+I204+I206+I208+I210</f>
        <v>0</v>
      </c>
      <c r="J144" s="1">
        <f t="shared" si="11"/>
        <v>200000</v>
      </c>
      <c r="K144" s="1">
        <f>K145+K147+K149+K151+K153+K156+K158+K160+K162+K164+K166+K168+K170+K172+K174+K176+K178+K180+K182+K184+K186+K188+K190+K192+K194+K196+K198+K199+K200+K201+K202+K204+K206+K208+K210</f>
        <v>0</v>
      </c>
      <c r="L144" s="1">
        <f>L145+L147+L149+L151+L153+L156+L158+L160+L162+L164+L166+L168+L170+L172+L174+L176+L178+L180+L182+L184+L186+L188+L190+L192+L194+L196+L198+L199+L200+L201+L202+L204+L206+L208+L210</f>
        <v>0</v>
      </c>
      <c r="M144" s="1">
        <f>M145+M147+M149+M151+M153+M156+M158+M160+M162+M164+M166+M168+M170+M172+M174+M176+M178+M180+M182+M184+M186+M188+M190+M192+M194+M196+M198+M199+M200+M201+M202+M204+M206+M208+M210</f>
        <v>0</v>
      </c>
      <c r="N144" s="1">
        <f>N145+N147+N149+N151+N153+N156+N158+N160+N162+N164+N166+N168+N170+N172+N174+N176+N178+N180+N182+N184+N186+N188+N190+N192+N194+N196+N198+N199+N200+N201+N202+N204+N206+N208+N210</f>
        <v>200000</v>
      </c>
      <c r="O144" s="1">
        <f>O145+O147+O149+O151+O153+O156+O158+O160+O162+O164+O166+O168+O170+O172+O174+O176+O178+O180+O182+O184+O186+O188+O190+O192+O194+O196+O198+O199+O200+O201+O202+O204+O206+O208+O210</f>
        <v>200000</v>
      </c>
      <c r="P144" s="1">
        <f>E144+J144</f>
        <v>8554108</v>
      </c>
    </row>
    <row r="145" spans="1:16" ht="30" hidden="1">
      <c r="A145" s="3"/>
      <c r="B145" s="4" t="s">
        <v>84</v>
      </c>
      <c r="C145" s="30" t="s">
        <v>24</v>
      </c>
      <c r="D145" s="6" t="s">
        <v>85</v>
      </c>
      <c r="E145" s="85">
        <f>F145++I145</f>
        <v>0</v>
      </c>
      <c r="F145" s="83">
        <f>F146</f>
        <v>0</v>
      </c>
      <c r="G145" s="83"/>
      <c r="H145" s="83"/>
      <c r="I145" s="83"/>
      <c r="J145" s="81">
        <f t="shared" si="11"/>
        <v>0</v>
      </c>
      <c r="K145" s="83"/>
      <c r="L145" s="83"/>
      <c r="M145" s="83"/>
      <c r="N145" s="83"/>
      <c r="O145" s="83"/>
      <c r="P145" s="81">
        <f>E145+J145</f>
        <v>0</v>
      </c>
    </row>
    <row r="146" spans="1:16" ht="166.5" customHeight="1" hidden="1">
      <c r="A146" s="3"/>
      <c r="B146" s="4"/>
      <c r="C146" s="30"/>
      <c r="D146" s="13" t="s">
        <v>263</v>
      </c>
      <c r="E146" s="85">
        <f>F146++I146</f>
        <v>0</v>
      </c>
      <c r="F146" s="83"/>
      <c r="G146" s="83"/>
      <c r="H146" s="83"/>
      <c r="I146" s="83"/>
      <c r="J146" s="81">
        <f t="shared" si="11"/>
        <v>0</v>
      </c>
      <c r="K146" s="83"/>
      <c r="L146" s="83"/>
      <c r="M146" s="83"/>
      <c r="N146" s="83"/>
      <c r="O146" s="83"/>
      <c r="P146" s="81">
        <f aca="true" t="shared" si="25" ref="P146:P209">E146+J146</f>
        <v>0</v>
      </c>
    </row>
    <row r="147" spans="1:16" ht="280.5" customHeight="1" hidden="1">
      <c r="A147" s="3"/>
      <c r="B147" s="4" t="s">
        <v>87</v>
      </c>
      <c r="C147" s="30" t="s">
        <v>86</v>
      </c>
      <c r="D147" s="6" t="s">
        <v>88</v>
      </c>
      <c r="E147" s="85">
        <f aca="true" t="shared" si="26" ref="E147:E209">F147++I147</f>
        <v>0</v>
      </c>
      <c r="F147" s="83">
        <f>F148</f>
        <v>0</v>
      </c>
      <c r="G147" s="83"/>
      <c r="H147" s="83"/>
      <c r="I147" s="83"/>
      <c r="J147" s="81">
        <f t="shared" si="11"/>
        <v>0</v>
      </c>
      <c r="K147" s="83"/>
      <c r="L147" s="83"/>
      <c r="M147" s="83"/>
      <c r="N147" s="83"/>
      <c r="O147" s="83"/>
      <c r="P147" s="81">
        <f t="shared" si="25"/>
        <v>0</v>
      </c>
    </row>
    <row r="148" spans="1:16" ht="151.5" customHeight="1" hidden="1">
      <c r="A148" s="3"/>
      <c r="B148" s="4"/>
      <c r="C148" s="30"/>
      <c r="D148" s="13" t="s">
        <v>264</v>
      </c>
      <c r="E148" s="85">
        <f t="shared" si="26"/>
        <v>0</v>
      </c>
      <c r="F148" s="83"/>
      <c r="G148" s="83"/>
      <c r="H148" s="83"/>
      <c r="I148" s="83"/>
      <c r="J148" s="81">
        <f t="shared" si="11"/>
        <v>0</v>
      </c>
      <c r="K148" s="83"/>
      <c r="L148" s="83"/>
      <c r="M148" s="83"/>
      <c r="N148" s="83"/>
      <c r="O148" s="83"/>
      <c r="P148" s="81">
        <f t="shared" si="25"/>
        <v>0</v>
      </c>
    </row>
    <row r="149" spans="1:16" ht="243" customHeight="1" hidden="1">
      <c r="A149" s="3"/>
      <c r="B149" s="4" t="s">
        <v>89</v>
      </c>
      <c r="C149" s="30" t="s">
        <v>86</v>
      </c>
      <c r="D149" s="6" t="s">
        <v>90</v>
      </c>
      <c r="E149" s="85">
        <f t="shared" si="26"/>
        <v>0</v>
      </c>
      <c r="F149" s="83">
        <f>F150</f>
        <v>0</v>
      </c>
      <c r="G149" s="83"/>
      <c r="H149" s="83"/>
      <c r="I149" s="83"/>
      <c r="J149" s="81">
        <f t="shared" si="11"/>
        <v>0</v>
      </c>
      <c r="K149" s="83"/>
      <c r="L149" s="83"/>
      <c r="M149" s="83"/>
      <c r="N149" s="83"/>
      <c r="O149" s="83"/>
      <c r="P149" s="81">
        <f t="shared" si="25"/>
        <v>0</v>
      </c>
    </row>
    <row r="150" spans="1:16" ht="0.75" customHeight="1" hidden="1">
      <c r="A150" s="3"/>
      <c r="B150" s="4"/>
      <c r="C150" s="30"/>
      <c r="D150" s="13" t="s">
        <v>266</v>
      </c>
      <c r="E150" s="85">
        <f t="shared" si="26"/>
        <v>0</v>
      </c>
      <c r="F150" s="83"/>
      <c r="G150" s="83"/>
      <c r="H150" s="83"/>
      <c r="I150" s="83"/>
      <c r="J150" s="81">
        <f t="shared" si="11"/>
        <v>0</v>
      </c>
      <c r="K150" s="83"/>
      <c r="L150" s="83"/>
      <c r="M150" s="83"/>
      <c r="N150" s="83"/>
      <c r="O150" s="83"/>
      <c r="P150" s="81">
        <f t="shared" si="25"/>
        <v>0</v>
      </c>
    </row>
    <row r="151" spans="1:16" ht="230.25" customHeight="1">
      <c r="A151" s="3"/>
      <c r="B151" s="4" t="s">
        <v>91</v>
      </c>
      <c r="C151" s="30" t="s">
        <v>86</v>
      </c>
      <c r="D151" s="6" t="s">
        <v>92</v>
      </c>
      <c r="E151" s="85">
        <f t="shared" si="26"/>
        <v>0</v>
      </c>
      <c r="F151" s="83">
        <f>F152</f>
        <v>0</v>
      </c>
      <c r="G151" s="83"/>
      <c r="H151" s="83"/>
      <c r="I151" s="83"/>
      <c r="J151" s="81">
        <f t="shared" si="11"/>
        <v>200000</v>
      </c>
      <c r="K151" s="83"/>
      <c r="L151" s="83"/>
      <c r="M151" s="83"/>
      <c r="N151" s="83">
        <f>N152+200000</f>
        <v>200000</v>
      </c>
      <c r="O151" s="83">
        <f>O152+200000</f>
        <v>200000</v>
      </c>
      <c r="P151" s="81">
        <f t="shared" si="25"/>
        <v>200000</v>
      </c>
    </row>
    <row r="152" spans="1:16" ht="272.25" customHeight="1">
      <c r="A152" s="3"/>
      <c r="B152" s="4"/>
      <c r="C152" s="30"/>
      <c r="D152" s="14" t="s">
        <v>265</v>
      </c>
      <c r="E152" s="85">
        <f>F152</f>
        <v>0</v>
      </c>
      <c r="F152" s="83">
        <f>1114000-1114000</f>
        <v>0</v>
      </c>
      <c r="G152" s="83"/>
      <c r="H152" s="83"/>
      <c r="I152" s="83"/>
      <c r="J152" s="81">
        <f t="shared" si="11"/>
        <v>0</v>
      </c>
      <c r="K152" s="83"/>
      <c r="L152" s="83"/>
      <c r="M152" s="83"/>
      <c r="N152" s="83">
        <f>200000-200000</f>
        <v>0</v>
      </c>
      <c r="O152" s="83">
        <f>200000-200000</f>
        <v>0</v>
      </c>
      <c r="P152" s="81">
        <f t="shared" si="25"/>
        <v>0</v>
      </c>
    </row>
    <row r="153" spans="1:16" ht="409.5" customHeight="1" hidden="1">
      <c r="A153" s="3"/>
      <c r="B153" s="4" t="s">
        <v>93</v>
      </c>
      <c r="C153" s="30" t="s">
        <v>86</v>
      </c>
      <c r="D153" s="6" t="s">
        <v>267</v>
      </c>
      <c r="E153" s="85">
        <f t="shared" si="26"/>
        <v>0</v>
      </c>
      <c r="F153" s="83"/>
      <c r="G153" s="83"/>
      <c r="H153" s="83"/>
      <c r="I153" s="83"/>
      <c r="J153" s="81">
        <f t="shared" si="11"/>
        <v>0</v>
      </c>
      <c r="K153" s="83"/>
      <c r="L153" s="83"/>
      <c r="M153" s="83"/>
      <c r="N153" s="83"/>
      <c r="O153" s="83"/>
      <c r="P153" s="81">
        <f t="shared" si="25"/>
        <v>0</v>
      </c>
    </row>
    <row r="154" spans="1:16" ht="384.75" customHeight="1" hidden="1">
      <c r="A154" s="3"/>
      <c r="B154" s="4"/>
      <c r="C154" s="30"/>
      <c r="D154" s="6" t="s">
        <v>268</v>
      </c>
      <c r="E154" s="85"/>
      <c r="F154" s="83"/>
      <c r="G154" s="83"/>
      <c r="H154" s="83"/>
      <c r="I154" s="83"/>
      <c r="J154" s="81"/>
      <c r="K154" s="83"/>
      <c r="L154" s="83"/>
      <c r="M154" s="83"/>
      <c r="N154" s="83"/>
      <c r="O154" s="83"/>
      <c r="P154" s="81">
        <f t="shared" si="25"/>
        <v>0</v>
      </c>
    </row>
    <row r="155" spans="1:16" ht="149.25" customHeight="1" hidden="1">
      <c r="A155" s="3"/>
      <c r="B155" s="4"/>
      <c r="C155" s="5"/>
      <c r="D155" s="13" t="s">
        <v>264</v>
      </c>
      <c r="E155" s="81">
        <f t="shared" si="26"/>
        <v>0</v>
      </c>
      <c r="F155" s="83"/>
      <c r="G155" s="83"/>
      <c r="H155" s="83"/>
      <c r="I155" s="83"/>
      <c r="J155" s="81">
        <f t="shared" si="11"/>
        <v>0</v>
      </c>
      <c r="K155" s="83"/>
      <c r="L155" s="83"/>
      <c r="M155" s="83"/>
      <c r="N155" s="83"/>
      <c r="O155" s="83"/>
      <c r="P155" s="81">
        <f t="shared" si="25"/>
        <v>0</v>
      </c>
    </row>
    <row r="156" spans="1:16" ht="118.5" customHeight="1" hidden="1">
      <c r="A156" s="3"/>
      <c r="B156" s="4" t="s">
        <v>95</v>
      </c>
      <c r="C156" s="30" t="s">
        <v>94</v>
      </c>
      <c r="D156" s="6" t="s">
        <v>96</v>
      </c>
      <c r="E156" s="85">
        <f t="shared" si="26"/>
        <v>0</v>
      </c>
      <c r="F156" s="83">
        <f>F157</f>
        <v>0</v>
      </c>
      <c r="G156" s="83"/>
      <c r="H156" s="83"/>
      <c r="I156" s="83"/>
      <c r="J156" s="81">
        <f t="shared" si="11"/>
        <v>0</v>
      </c>
      <c r="K156" s="83"/>
      <c r="L156" s="83"/>
      <c r="M156" s="83"/>
      <c r="N156" s="83"/>
      <c r="O156" s="83"/>
      <c r="P156" s="81">
        <f t="shared" si="25"/>
        <v>0</v>
      </c>
    </row>
    <row r="157" spans="1:16" ht="146.25" customHeight="1" hidden="1">
      <c r="A157" s="3"/>
      <c r="B157" s="4"/>
      <c r="C157" s="30"/>
      <c r="D157" s="13" t="s">
        <v>264</v>
      </c>
      <c r="E157" s="85">
        <f t="shared" si="26"/>
        <v>0</v>
      </c>
      <c r="F157" s="83"/>
      <c r="G157" s="83"/>
      <c r="H157" s="83"/>
      <c r="I157" s="83"/>
      <c r="J157" s="81">
        <f t="shared" si="11"/>
        <v>0</v>
      </c>
      <c r="K157" s="83"/>
      <c r="L157" s="83"/>
      <c r="M157" s="83"/>
      <c r="N157" s="83"/>
      <c r="O157" s="83"/>
      <c r="P157" s="81">
        <f t="shared" si="25"/>
        <v>0</v>
      </c>
    </row>
    <row r="158" spans="1:16" ht="108" customHeight="1" hidden="1">
      <c r="A158" s="3"/>
      <c r="B158" s="4" t="s">
        <v>238</v>
      </c>
      <c r="C158" s="30" t="s">
        <v>94</v>
      </c>
      <c r="D158" s="31" t="s">
        <v>239</v>
      </c>
      <c r="E158" s="85">
        <f t="shared" si="26"/>
        <v>0</v>
      </c>
      <c r="F158" s="83">
        <f>F159</f>
        <v>0</v>
      </c>
      <c r="G158" s="83"/>
      <c r="H158" s="83"/>
      <c r="I158" s="83"/>
      <c r="J158" s="81">
        <f t="shared" si="11"/>
        <v>0</v>
      </c>
      <c r="K158" s="83"/>
      <c r="L158" s="83"/>
      <c r="M158" s="83"/>
      <c r="N158" s="83"/>
      <c r="O158" s="83"/>
      <c r="P158" s="81">
        <f t="shared" si="25"/>
        <v>0</v>
      </c>
    </row>
    <row r="159" spans="1:16" ht="92.25" customHeight="1" hidden="1">
      <c r="A159" s="3"/>
      <c r="B159" s="4"/>
      <c r="C159" s="30"/>
      <c r="D159" s="13" t="s">
        <v>266</v>
      </c>
      <c r="E159" s="85">
        <f t="shared" si="26"/>
        <v>0</v>
      </c>
      <c r="F159" s="83"/>
      <c r="G159" s="83"/>
      <c r="H159" s="83"/>
      <c r="I159" s="83"/>
      <c r="J159" s="81">
        <f t="shared" si="11"/>
        <v>0</v>
      </c>
      <c r="K159" s="83"/>
      <c r="L159" s="83"/>
      <c r="M159" s="83"/>
      <c r="N159" s="83"/>
      <c r="O159" s="83"/>
      <c r="P159" s="81">
        <f t="shared" si="25"/>
        <v>0</v>
      </c>
    </row>
    <row r="160" spans="1:16" ht="105.75" customHeight="1" hidden="1">
      <c r="A160" s="3"/>
      <c r="B160" s="4" t="s">
        <v>97</v>
      </c>
      <c r="C160" s="30" t="s">
        <v>94</v>
      </c>
      <c r="D160" s="6" t="s">
        <v>98</v>
      </c>
      <c r="E160" s="85">
        <f t="shared" si="26"/>
        <v>0</v>
      </c>
      <c r="F160" s="83">
        <f>F161</f>
        <v>0</v>
      </c>
      <c r="G160" s="83"/>
      <c r="H160" s="83"/>
      <c r="I160" s="83"/>
      <c r="J160" s="81">
        <f t="shared" si="11"/>
        <v>0</v>
      </c>
      <c r="K160" s="83"/>
      <c r="L160" s="83"/>
      <c r="M160" s="83"/>
      <c r="N160" s="83"/>
      <c r="O160" s="83"/>
      <c r="P160" s="81">
        <f t="shared" si="25"/>
        <v>0</v>
      </c>
    </row>
    <row r="161" spans="1:16" ht="318" customHeight="1" hidden="1">
      <c r="A161" s="3"/>
      <c r="B161" s="4"/>
      <c r="C161" s="30"/>
      <c r="D161" s="14" t="s">
        <v>265</v>
      </c>
      <c r="E161" s="85">
        <f t="shared" si="26"/>
        <v>0</v>
      </c>
      <c r="F161" s="83"/>
      <c r="G161" s="83"/>
      <c r="H161" s="83"/>
      <c r="I161" s="83"/>
      <c r="J161" s="81">
        <f t="shared" si="11"/>
        <v>0</v>
      </c>
      <c r="K161" s="83"/>
      <c r="L161" s="83"/>
      <c r="M161" s="83"/>
      <c r="N161" s="83"/>
      <c r="O161" s="83"/>
      <c r="P161" s="81">
        <f t="shared" si="25"/>
        <v>0</v>
      </c>
    </row>
    <row r="162" spans="1:16" ht="215.25" customHeight="1" hidden="1">
      <c r="A162" s="3"/>
      <c r="B162" s="4" t="s">
        <v>99</v>
      </c>
      <c r="C162" s="30" t="s">
        <v>94</v>
      </c>
      <c r="D162" s="6" t="s">
        <v>100</v>
      </c>
      <c r="E162" s="85">
        <f t="shared" si="26"/>
        <v>0</v>
      </c>
      <c r="F162" s="83">
        <f>F163</f>
        <v>0</v>
      </c>
      <c r="G162" s="83"/>
      <c r="H162" s="83"/>
      <c r="I162" s="83"/>
      <c r="J162" s="81">
        <f t="shared" si="11"/>
        <v>0</v>
      </c>
      <c r="K162" s="83"/>
      <c r="L162" s="83"/>
      <c r="M162" s="83"/>
      <c r="N162" s="83"/>
      <c r="O162" s="83"/>
      <c r="P162" s="81">
        <f t="shared" si="25"/>
        <v>0</v>
      </c>
    </row>
    <row r="163" spans="1:16" ht="145.5" customHeight="1" hidden="1">
      <c r="A163" s="3"/>
      <c r="B163" s="4"/>
      <c r="C163" s="30"/>
      <c r="D163" s="13" t="s">
        <v>264</v>
      </c>
      <c r="E163" s="85">
        <f t="shared" si="26"/>
        <v>0</v>
      </c>
      <c r="F163" s="83"/>
      <c r="G163" s="83"/>
      <c r="H163" s="83"/>
      <c r="I163" s="83"/>
      <c r="J163" s="81">
        <f t="shared" si="11"/>
        <v>0</v>
      </c>
      <c r="K163" s="83"/>
      <c r="L163" s="83"/>
      <c r="M163" s="83"/>
      <c r="N163" s="83"/>
      <c r="O163" s="83"/>
      <c r="P163" s="81">
        <f t="shared" si="25"/>
        <v>0</v>
      </c>
    </row>
    <row r="164" spans="1:16" ht="51.75" customHeight="1" hidden="1">
      <c r="A164" s="3"/>
      <c r="B164" s="4" t="s">
        <v>101</v>
      </c>
      <c r="C164" s="30" t="s">
        <v>94</v>
      </c>
      <c r="D164" s="6" t="s">
        <v>102</v>
      </c>
      <c r="E164" s="85">
        <f t="shared" si="26"/>
        <v>0</v>
      </c>
      <c r="F164" s="83">
        <f>F165</f>
        <v>0</v>
      </c>
      <c r="G164" s="83"/>
      <c r="H164" s="83"/>
      <c r="I164" s="83"/>
      <c r="J164" s="81">
        <f t="shared" si="11"/>
        <v>0</v>
      </c>
      <c r="K164" s="83"/>
      <c r="L164" s="83"/>
      <c r="M164" s="83"/>
      <c r="N164" s="83"/>
      <c r="O164" s="83"/>
      <c r="P164" s="81">
        <f t="shared" si="25"/>
        <v>0</v>
      </c>
    </row>
    <row r="165" spans="1:16" ht="319.5" customHeight="1" hidden="1">
      <c r="A165" s="3"/>
      <c r="B165" s="4"/>
      <c r="C165" s="30"/>
      <c r="D165" s="14" t="s">
        <v>265</v>
      </c>
      <c r="E165" s="85">
        <f t="shared" si="26"/>
        <v>0</v>
      </c>
      <c r="F165" s="83"/>
      <c r="G165" s="83"/>
      <c r="H165" s="83"/>
      <c r="I165" s="83"/>
      <c r="J165" s="81">
        <f t="shared" si="11"/>
        <v>0</v>
      </c>
      <c r="K165" s="83"/>
      <c r="L165" s="83"/>
      <c r="M165" s="83"/>
      <c r="N165" s="83"/>
      <c r="O165" s="83"/>
      <c r="P165" s="81">
        <f t="shared" si="25"/>
        <v>0</v>
      </c>
    </row>
    <row r="166" spans="1:16" ht="146.25" customHeight="1" hidden="1">
      <c r="A166" s="3"/>
      <c r="B166" s="4" t="s">
        <v>103</v>
      </c>
      <c r="C166" s="30" t="s">
        <v>94</v>
      </c>
      <c r="D166" s="6" t="s">
        <v>104</v>
      </c>
      <c r="E166" s="85">
        <f t="shared" si="26"/>
        <v>0</v>
      </c>
      <c r="F166" s="83">
        <f>F167</f>
        <v>0</v>
      </c>
      <c r="G166" s="83"/>
      <c r="H166" s="83"/>
      <c r="I166" s="83"/>
      <c r="J166" s="81">
        <f t="shared" si="11"/>
        <v>0</v>
      </c>
      <c r="K166" s="83"/>
      <c r="L166" s="83"/>
      <c r="M166" s="83"/>
      <c r="N166" s="83"/>
      <c r="O166" s="83"/>
      <c r="P166" s="81">
        <f t="shared" si="25"/>
        <v>0</v>
      </c>
    </row>
    <row r="167" spans="1:16" ht="148.5" customHeight="1" hidden="1">
      <c r="A167" s="3"/>
      <c r="B167" s="4"/>
      <c r="C167" s="30"/>
      <c r="D167" s="13" t="s">
        <v>264</v>
      </c>
      <c r="E167" s="85">
        <f t="shared" si="26"/>
        <v>0</v>
      </c>
      <c r="F167" s="83"/>
      <c r="G167" s="83"/>
      <c r="H167" s="83"/>
      <c r="I167" s="83"/>
      <c r="J167" s="81">
        <f t="shared" si="11"/>
        <v>0</v>
      </c>
      <c r="K167" s="83"/>
      <c r="L167" s="83"/>
      <c r="M167" s="83"/>
      <c r="N167" s="83"/>
      <c r="O167" s="83"/>
      <c r="P167" s="81">
        <f t="shared" si="25"/>
        <v>0</v>
      </c>
    </row>
    <row r="168" spans="1:16" ht="162" customHeight="1" hidden="1">
      <c r="A168" s="3"/>
      <c r="B168" s="4" t="s">
        <v>105</v>
      </c>
      <c r="C168" s="30" t="s">
        <v>94</v>
      </c>
      <c r="D168" s="6" t="s">
        <v>106</v>
      </c>
      <c r="E168" s="85">
        <f t="shared" si="26"/>
        <v>0</v>
      </c>
      <c r="F168" s="83">
        <f>F169</f>
        <v>0</v>
      </c>
      <c r="G168" s="83"/>
      <c r="H168" s="83"/>
      <c r="I168" s="83"/>
      <c r="J168" s="81">
        <f t="shared" si="11"/>
        <v>0</v>
      </c>
      <c r="K168" s="83"/>
      <c r="L168" s="83"/>
      <c r="M168" s="83"/>
      <c r="N168" s="83"/>
      <c r="O168" s="83"/>
      <c r="P168" s="81">
        <f t="shared" si="25"/>
        <v>0</v>
      </c>
    </row>
    <row r="169" spans="1:16" ht="84.75" customHeight="1" hidden="1">
      <c r="A169" s="3"/>
      <c r="B169" s="4"/>
      <c r="C169" s="30"/>
      <c r="D169" s="13" t="s">
        <v>266</v>
      </c>
      <c r="E169" s="85">
        <f t="shared" si="26"/>
        <v>0</v>
      </c>
      <c r="F169" s="83"/>
      <c r="G169" s="83"/>
      <c r="H169" s="83"/>
      <c r="I169" s="83"/>
      <c r="J169" s="81">
        <f t="shared" si="11"/>
        <v>0</v>
      </c>
      <c r="K169" s="83"/>
      <c r="L169" s="83"/>
      <c r="M169" s="83"/>
      <c r="N169" s="83"/>
      <c r="O169" s="83"/>
      <c r="P169" s="81">
        <f t="shared" si="25"/>
        <v>0</v>
      </c>
    </row>
    <row r="170" spans="1:16" ht="15" hidden="1">
      <c r="A170" s="3"/>
      <c r="B170" s="4" t="s">
        <v>107</v>
      </c>
      <c r="C170" s="30" t="s">
        <v>48</v>
      </c>
      <c r="D170" s="6" t="s">
        <v>108</v>
      </c>
      <c r="E170" s="85">
        <f t="shared" si="26"/>
        <v>0</v>
      </c>
      <c r="F170" s="83">
        <f>F171</f>
        <v>0</v>
      </c>
      <c r="G170" s="83"/>
      <c r="H170" s="83"/>
      <c r="I170" s="83"/>
      <c r="J170" s="81">
        <f t="shared" si="11"/>
        <v>0</v>
      </c>
      <c r="K170" s="83"/>
      <c r="L170" s="83"/>
      <c r="M170" s="83"/>
      <c r="N170" s="83"/>
      <c r="O170" s="83"/>
      <c r="P170" s="81">
        <f t="shared" si="25"/>
        <v>0</v>
      </c>
    </row>
    <row r="171" spans="1:16" ht="133.5" customHeight="1" hidden="1">
      <c r="A171" s="3"/>
      <c r="B171" s="4"/>
      <c r="C171" s="30"/>
      <c r="D171" s="13" t="s">
        <v>262</v>
      </c>
      <c r="E171" s="85">
        <f t="shared" si="26"/>
        <v>0</v>
      </c>
      <c r="F171" s="83"/>
      <c r="G171" s="83"/>
      <c r="H171" s="83"/>
      <c r="I171" s="83"/>
      <c r="J171" s="81"/>
      <c r="K171" s="83"/>
      <c r="L171" s="83"/>
      <c r="M171" s="83"/>
      <c r="N171" s="83"/>
      <c r="O171" s="83"/>
      <c r="P171" s="81">
        <f t="shared" si="25"/>
        <v>0</v>
      </c>
    </row>
    <row r="172" spans="1:16" ht="30" hidden="1">
      <c r="A172" s="3"/>
      <c r="B172" s="4" t="s">
        <v>109</v>
      </c>
      <c r="C172" s="30" t="s">
        <v>48</v>
      </c>
      <c r="D172" s="6" t="s">
        <v>110</v>
      </c>
      <c r="E172" s="85">
        <f t="shared" si="26"/>
        <v>0</v>
      </c>
      <c r="F172" s="83">
        <f>F173</f>
        <v>0</v>
      </c>
      <c r="G172" s="83"/>
      <c r="H172" s="83"/>
      <c r="I172" s="83"/>
      <c r="J172" s="81">
        <f t="shared" si="11"/>
        <v>0</v>
      </c>
      <c r="K172" s="83"/>
      <c r="L172" s="83"/>
      <c r="M172" s="83"/>
      <c r="N172" s="83"/>
      <c r="O172" s="83"/>
      <c r="P172" s="81">
        <f t="shared" si="25"/>
        <v>0</v>
      </c>
    </row>
    <row r="173" spans="1:16" ht="132.75" customHeight="1" hidden="1">
      <c r="A173" s="3"/>
      <c r="B173" s="4"/>
      <c r="C173" s="30"/>
      <c r="D173" s="13" t="s">
        <v>262</v>
      </c>
      <c r="E173" s="85">
        <f t="shared" si="26"/>
        <v>0</v>
      </c>
      <c r="F173" s="83"/>
      <c r="G173" s="83"/>
      <c r="H173" s="83"/>
      <c r="I173" s="83"/>
      <c r="J173" s="81">
        <f t="shared" si="11"/>
        <v>0</v>
      </c>
      <c r="K173" s="83"/>
      <c r="L173" s="83"/>
      <c r="M173" s="83"/>
      <c r="N173" s="83"/>
      <c r="O173" s="83"/>
      <c r="P173" s="81">
        <f t="shared" si="25"/>
        <v>0</v>
      </c>
    </row>
    <row r="174" spans="1:16" ht="15" hidden="1">
      <c r="A174" s="3"/>
      <c r="B174" s="4" t="s">
        <v>111</v>
      </c>
      <c r="C174" s="30" t="s">
        <v>48</v>
      </c>
      <c r="D174" s="6" t="s">
        <v>112</v>
      </c>
      <c r="E174" s="85">
        <f t="shared" si="26"/>
        <v>0</v>
      </c>
      <c r="F174" s="83">
        <f>F175</f>
        <v>0</v>
      </c>
      <c r="G174" s="83"/>
      <c r="H174" s="83"/>
      <c r="I174" s="83"/>
      <c r="J174" s="81">
        <f t="shared" si="11"/>
        <v>0</v>
      </c>
      <c r="K174" s="83"/>
      <c r="L174" s="83"/>
      <c r="M174" s="83"/>
      <c r="N174" s="83"/>
      <c r="O174" s="83"/>
      <c r="P174" s="81">
        <f t="shared" si="25"/>
        <v>0</v>
      </c>
    </row>
    <row r="175" spans="1:16" ht="138.75" customHeight="1" hidden="1">
      <c r="A175" s="3"/>
      <c r="B175" s="4"/>
      <c r="C175" s="30"/>
      <c r="D175" s="13" t="s">
        <v>262</v>
      </c>
      <c r="E175" s="85">
        <f t="shared" si="26"/>
        <v>0</v>
      </c>
      <c r="F175" s="83"/>
      <c r="G175" s="83"/>
      <c r="H175" s="83"/>
      <c r="I175" s="83"/>
      <c r="J175" s="81">
        <f t="shared" si="11"/>
        <v>0</v>
      </c>
      <c r="K175" s="83"/>
      <c r="L175" s="83"/>
      <c r="M175" s="83"/>
      <c r="N175" s="83"/>
      <c r="O175" s="83"/>
      <c r="P175" s="81">
        <f t="shared" si="25"/>
        <v>0</v>
      </c>
    </row>
    <row r="176" spans="1:16" ht="30" hidden="1">
      <c r="A176" s="3"/>
      <c r="B176" s="4" t="s">
        <v>113</v>
      </c>
      <c r="C176" s="30" t="s">
        <v>48</v>
      </c>
      <c r="D176" s="6" t="s">
        <v>114</v>
      </c>
      <c r="E176" s="85">
        <f t="shared" si="26"/>
        <v>0</v>
      </c>
      <c r="F176" s="83">
        <f>F177</f>
        <v>0</v>
      </c>
      <c r="G176" s="83"/>
      <c r="H176" s="83"/>
      <c r="I176" s="83"/>
      <c r="J176" s="81">
        <f t="shared" si="11"/>
        <v>0</v>
      </c>
      <c r="K176" s="83"/>
      <c r="L176" s="83"/>
      <c r="M176" s="83"/>
      <c r="N176" s="83"/>
      <c r="O176" s="83"/>
      <c r="P176" s="81">
        <f t="shared" si="25"/>
        <v>0</v>
      </c>
    </row>
    <row r="177" spans="1:16" ht="130.5" customHeight="1" hidden="1">
      <c r="A177" s="3"/>
      <c r="B177" s="4"/>
      <c r="C177" s="30"/>
      <c r="D177" s="13" t="s">
        <v>262</v>
      </c>
      <c r="E177" s="85">
        <f t="shared" si="26"/>
        <v>0</v>
      </c>
      <c r="F177" s="83"/>
      <c r="G177" s="83"/>
      <c r="H177" s="83"/>
      <c r="I177" s="83"/>
      <c r="J177" s="81">
        <f t="shared" si="11"/>
        <v>0</v>
      </c>
      <c r="K177" s="83"/>
      <c r="L177" s="83"/>
      <c r="M177" s="83"/>
      <c r="N177" s="83"/>
      <c r="O177" s="83"/>
      <c r="P177" s="81">
        <f t="shared" si="25"/>
        <v>0</v>
      </c>
    </row>
    <row r="178" spans="1:16" ht="15" hidden="1">
      <c r="A178" s="3"/>
      <c r="B178" s="4" t="s">
        <v>115</v>
      </c>
      <c r="C178" s="30" t="s">
        <v>48</v>
      </c>
      <c r="D178" s="6" t="s">
        <v>116</v>
      </c>
      <c r="E178" s="85">
        <f t="shared" si="26"/>
        <v>0</v>
      </c>
      <c r="F178" s="83">
        <f>F179</f>
        <v>0</v>
      </c>
      <c r="G178" s="83"/>
      <c r="H178" s="83"/>
      <c r="I178" s="83"/>
      <c r="J178" s="81">
        <f t="shared" si="11"/>
        <v>0</v>
      </c>
      <c r="K178" s="83"/>
      <c r="L178" s="83"/>
      <c r="M178" s="83"/>
      <c r="N178" s="83"/>
      <c r="O178" s="83"/>
      <c r="P178" s="81">
        <f t="shared" si="25"/>
        <v>0</v>
      </c>
    </row>
    <row r="179" spans="1:16" ht="132.75" customHeight="1" hidden="1">
      <c r="A179" s="3"/>
      <c r="B179" s="4"/>
      <c r="C179" s="30"/>
      <c r="D179" s="13" t="s">
        <v>262</v>
      </c>
      <c r="E179" s="85">
        <f t="shared" si="26"/>
        <v>0</v>
      </c>
      <c r="F179" s="83"/>
      <c r="G179" s="83"/>
      <c r="H179" s="83"/>
      <c r="I179" s="83"/>
      <c r="J179" s="81">
        <f t="shared" si="11"/>
        <v>0</v>
      </c>
      <c r="K179" s="83"/>
      <c r="L179" s="83"/>
      <c r="M179" s="83"/>
      <c r="N179" s="83"/>
      <c r="O179" s="83"/>
      <c r="P179" s="81">
        <f t="shared" si="25"/>
        <v>0</v>
      </c>
    </row>
    <row r="180" spans="1:16" ht="15" hidden="1">
      <c r="A180" s="3"/>
      <c r="B180" s="4" t="s">
        <v>117</v>
      </c>
      <c r="C180" s="30" t="s">
        <v>48</v>
      </c>
      <c r="D180" s="6" t="s">
        <v>118</v>
      </c>
      <c r="E180" s="85">
        <f t="shared" si="26"/>
        <v>0</v>
      </c>
      <c r="F180" s="83">
        <f>F181</f>
        <v>0</v>
      </c>
      <c r="G180" s="83"/>
      <c r="H180" s="83"/>
      <c r="I180" s="83"/>
      <c r="J180" s="81">
        <f t="shared" si="11"/>
        <v>0</v>
      </c>
      <c r="K180" s="83"/>
      <c r="L180" s="83"/>
      <c r="M180" s="83"/>
      <c r="N180" s="83"/>
      <c r="O180" s="83"/>
      <c r="P180" s="81">
        <f t="shared" si="25"/>
        <v>0</v>
      </c>
    </row>
    <row r="181" spans="1:16" ht="132" customHeight="1" hidden="1">
      <c r="A181" s="3"/>
      <c r="B181" s="4"/>
      <c r="C181" s="30"/>
      <c r="D181" s="13" t="s">
        <v>262</v>
      </c>
      <c r="E181" s="85">
        <f t="shared" si="26"/>
        <v>0</v>
      </c>
      <c r="F181" s="83"/>
      <c r="G181" s="83"/>
      <c r="H181" s="83"/>
      <c r="I181" s="83"/>
      <c r="J181" s="81">
        <f t="shared" si="11"/>
        <v>0</v>
      </c>
      <c r="K181" s="83"/>
      <c r="L181" s="83"/>
      <c r="M181" s="83"/>
      <c r="N181" s="83"/>
      <c r="O181" s="83"/>
      <c r="P181" s="81">
        <f t="shared" si="25"/>
        <v>0</v>
      </c>
    </row>
    <row r="182" spans="1:16" ht="15" hidden="1">
      <c r="A182" s="3"/>
      <c r="B182" s="4" t="s">
        <v>119</v>
      </c>
      <c r="C182" s="30" t="s">
        <v>48</v>
      </c>
      <c r="D182" s="6" t="s">
        <v>120</v>
      </c>
      <c r="E182" s="85">
        <f t="shared" si="26"/>
        <v>0</v>
      </c>
      <c r="F182" s="83">
        <f>F183</f>
        <v>0</v>
      </c>
      <c r="G182" s="83"/>
      <c r="H182" s="83"/>
      <c r="I182" s="83"/>
      <c r="J182" s="81">
        <f t="shared" si="11"/>
        <v>0</v>
      </c>
      <c r="K182" s="83"/>
      <c r="L182" s="83"/>
      <c r="M182" s="83"/>
      <c r="N182" s="83"/>
      <c r="O182" s="83"/>
      <c r="P182" s="81">
        <f t="shared" si="25"/>
        <v>0</v>
      </c>
    </row>
    <row r="183" spans="1:16" ht="129" customHeight="1" hidden="1">
      <c r="A183" s="3"/>
      <c r="B183" s="4"/>
      <c r="C183" s="30"/>
      <c r="D183" s="13" t="s">
        <v>262</v>
      </c>
      <c r="E183" s="85">
        <f t="shared" si="26"/>
        <v>0</v>
      </c>
      <c r="F183" s="83"/>
      <c r="G183" s="83"/>
      <c r="H183" s="83"/>
      <c r="I183" s="83"/>
      <c r="J183" s="81">
        <f t="shared" si="11"/>
        <v>0</v>
      </c>
      <c r="K183" s="83"/>
      <c r="L183" s="83"/>
      <c r="M183" s="83"/>
      <c r="N183" s="83"/>
      <c r="O183" s="83"/>
      <c r="P183" s="81">
        <f t="shared" si="25"/>
        <v>0</v>
      </c>
    </row>
    <row r="184" spans="1:16" ht="38.25" customHeight="1" hidden="1">
      <c r="A184" s="3"/>
      <c r="B184" s="4" t="s">
        <v>121</v>
      </c>
      <c r="C184" s="30" t="s">
        <v>48</v>
      </c>
      <c r="D184" s="6" t="s">
        <v>122</v>
      </c>
      <c r="E184" s="85">
        <f t="shared" si="26"/>
        <v>0</v>
      </c>
      <c r="F184" s="83">
        <f>F185</f>
        <v>0</v>
      </c>
      <c r="G184" s="83"/>
      <c r="H184" s="83"/>
      <c r="I184" s="83"/>
      <c r="J184" s="81">
        <f t="shared" si="11"/>
        <v>0</v>
      </c>
      <c r="K184" s="83"/>
      <c r="L184" s="83"/>
      <c r="M184" s="83"/>
      <c r="N184" s="83"/>
      <c r="O184" s="83"/>
      <c r="P184" s="81">
        <f t="shared" si="25"/>
        <v>0</v>
      </c>
    </row>
    <row r="185" spans="1:16" ht="137.25" customHeight="1" hidden="1">
      <c r="A185" s="3"/>
      <c r="B185" s="4"/>
      <c r="C185" s="30"/>
      <c r="D185" s="13" t="s">
        <v>262</v>
      </c>
      <c r="E185" s="85">
        <f t="shared" si="26"/>
        <v>0</v>
      </c>
      <c r="F185" s="83"/>
      <c r="G185" s="83"/>
      <c r="H185" s="83"/>
      <c r="I185" s="83"/>
      <c r="J185" s="81">
        <f t="shared" si="11"/>
        <v>0</v>
      </c>
      <c r="K185" s="83"/>
      <c r="L185" s="83"/>
      <c r="M185" s="83"/>
      <c r="N185" s="83"/>
      <c r="O185" s="83"/>
      <c r="P185" s="81">
        <f t="shared" si="25"/>
        <v>0</v>
      </c>
    </row>
    <row r="186" spans="1:16" ht="30" hidden="1">
      <c r="A186" s="3"/>
      <c r="B186" s="4" t="s">
        <v>124</v>
      </c>
      <c r="C186" s="30" t="s">
        <v>123</v>
      </c>
      <c r="D186" s="6" t="s">
        <v>125</v>
      </c>
      <c r="E186" s="85">
        <f t="shared" si="26"/>
        <v>0</v>
      </c>
      <c r="F186" s="83">
        <f>F187</f>
        <v>0</v>
      </c>
      <c r="G186" s="83"/>
      <c r="H186" s="83"/>
      <c r="I186" s="83"/>
      <c r="J186" s="81">
        <f aca="true" t="shared" si="27" ref="J186:J210">K186+N186</f>
        <v>0</v>
      </c>
      <c r="K186" s="83"/>
      <c r="L186" s="83"/>
      <c r="M186" s="83"/>
      <c r="N186" s="83"/>
      <c r="O186" s="83"/>
      <c r="P186" s="81">
        <f t="shared" si="25"/>
        <v>0</v>
      </c>
    </row>
    <row r="187" spans="1:16" ht="150" customHeight="1" hidden="1">
      <c r="A187" s="3"/>
      <c r="B187" s="4"/>
      <c r="C187" s="30"/>
      <c r="D187" s="13" t="s">
        <v>264</v>
      </c>
      <c r="E187" s="85">
        <f t="shared" si="26"/>
        <v>0</v>
      </c>
      <c r="F187" s="83"/>
      <c r="G187" s="83"/>
      <c r="H187" s="83"/>
      <c r="I187" s="83"/>
      <c r="J187" s="81">
        <f t="shared" si="27"/>
        <v>0</v>
      </c>
      <c r="K187" s="83"/>
      <c r="L187" s="83"/>
      <c r="M187" s="83"/>
      <c r="N187" s="83"/>
      <c r="O187" s="83"/>
      <c r="P187" s="81">
        <f t="shared" si="25"/>
        <v>0</v>
      </c>
    </row>
    <row r="188" spans="1:16" ht="80.25" customHeight="1" hidden="1">
      <c r="A188" s="3"/>
      <c r="B188" s="4" t="s">
        <v>126</v>
      </c>
      <c r="C188" s="30" t="s">
        <v>123</v>
      </c>
      <c r="D188" s="6" t="s">
        <v>127</v>
      </c>
      <c r="E188" s="85">
        <f t="shared" si="26"/>
        <v>0</v>
      </c>
      <c r="F188" s="83">
        <f>F189</f>
        <v>0</v>
      </c>
      <c r="G188" s="83"/>
      <c r="H188" s="83"/>
      <c r="I188" s="83"/>
      <c r="J188" s="81">
        <f t="shared" si="27"/>
        <v>0</v>
      </c>
      <c r="K188" s="83"/>
      <c r="L188" s="83"/>
      <c r="M188" s="83"/>
      <c r="N188" s="83"/>
      <c r="O188" s="83"/>
      <c r="P188" s="81">
        <f t="shared" si="25"/>
        <v>0</v>
      </c>
    </row>
    <row r="189" spans="1:16" ht="90" customHeight="1" hidden="1">
      <c r="A189" s="3"/>
      <c r="B189" s="4"/>
      <c r="C189" s="30"/>
      <c r="D189" s="13" t="s">
        <v>266</v>
      </c>
      <c r="E189" s="85">
        <f t="shared" si="26"/>
        <v>0</v>
      </c>
      <c r="F189" s="83"/>
      <c r="G189" s="83"/>
      <c r="H189" s="83"/>
      <c r="I189" s="83"/>
      <c r="J189" s="81">
        <f t="shared" si="27"/>
        <v>0</v>
      </c>
      <c r="K189" s="83"/>
      <c r="L189" s="83"/>
      <c r="M189" s="83"/>
      <c r="N189" s="83"/>
      <c r="O189" s="83"/>
      <c r="P189" s="81">
        <f t="shared" si="25"/>
        <v>0</v>
      </c>
    </row>
    <row r="190" spans="1:16" ht="81.75" customHeight="1" hidden="1">
      <c r="A190" s="3"/>
      <c r="B190" s="4" t="s">
        <v>128</v>
      </c>
      <c r="C190" s="30" t="s">
        <v>123</v>
      </c>
      <c r="D190" s="6" t="s">
        <v>129</v>
      </c>
      <c r="E190" s="85">
        <f t="shared" si="26"/>
        <v>0</v>
      </c>
      <c r="F190" s="83">
        <f>F191</f>
        <v>0</v>
      </c>
      <c r="G190" s="83"/>
      <c r="H190" s="83"/>
      <c r="I190" s="83"/>
      <c r="J190" s="81">
        <f t="shared" si="27"/>
        <v>0</v>
      </c>
      <c r="K190" s="83"/>
      <c r="L190" s="83"/>
      <c r="M190" s="83"/>
      <c r="N190" s="83"/>
      <c r="O190" s="83"/>
      <c r="P190" s="81">
        <f t="shared" si="25"/>
        <v>0</v>
      </c>
    </row>
    <row r="191" spans="1:16" ht="151.5" customHeight="1" hidden="1">
      <c r="A191" s="3"/>
      <c r="B191" s="4"/>
      <c r="C191" s="30"/>
      <c r="D191" s="13" t="s">
        <v>264</v>
      </c>
      <c r="E191" s="85">
        <f t="shared" si="26"/>
        <v>0</v>
      </c>
      <c r="F191" s="83"/>
      <c r="G191" s="83"/>
      <c r="H191" s="83"/>
      <c r="I191" s="83"/>
      <c r="J191" s="81">
        <f t="shared" si="27"/>
        <v>0</v>
      </c>
      <c r="K191" s="83"/>
      <c r="L191" s="83"/>
      <c r="M191" s="83"/>
      <c r="N191" s="83"/>
      <c r="O191" s="83"/>
      <c r="P191" s="81">
        <f t="shared" si="25"/>
        <v>0</v>
      </c>
    </row>
    <row r="192" spans="1:16" ht="15">
      <c r="A192" s="3"/>
      <c r="B192" s="4" t="s">
        <v>131</v>
      </c>
      <c r="C192" s="30" t="s">
        <v>130</v>
      </c>
      <c r="D192" s="6" t="s">
        <v>132</v>
      </c>
      <c r="E192" s="85">
        <f t="shared" si="26"/>
        <v>6507058</v>
      </c>
      <c r="F192" s="83">
        <f>4291400+33108+100000+86000+8800+300000+33000+8000+36000+19000+21400+93500+44500+24000+119150+4000+500000+62000+9500+5000+10000+58500+3000+64000+14000+14500+31300+10000+73900+31500+3000+55000+12000+13000+200000+78500+25000+14500-5000+2000</f>
        <v>6507058</v>
      </c>
      <c r="G192" s="83"/>
      <c r="H192" s="83"/>
      <c r="I192" s="83"/>
      <c r="J192" s="81">
        <f t="shared" si="27"/>
        <v>0</v>
      </c>
      <c r="K192" s="83"/>
      <c r="L192" s="83"/>
      <c r="M192" s="83"/>
      <c r="N192" s="83"/>
      <c r="O192" s="83"/>
      <c r="P192" s="81">
        <f t="shared" si="25"/>
        <v>6507058</v>
      </c>
    </row>
    <row r="193" spans="1:16" ht="30">
      <c r="A193" s="3"/>
      <c r="B193" s="4"/>
      <c r="C193" s="30"/>
      <c r="D193" s="6" t="s">
        <v>344</v>
      </c>
      <c r="E193" s="85">
        <f t="shared" si="26"/>
        <v>154000</v>
      </c>
      <c r="F193" s="83">
        <f>8000+19000+24000+4000+5000+3000+14000+14500+10000+10000+3000+12000+13000+14500</f>
        <v>154000</v>
      </c>
      <c r="G193" s="83"/>
      <c r="H193" s="83"/>
      <c r="I193" s="83"/>
      <c r="J193" s="81">
        <f t="shared" si="27"/>
        <v>0</v>
      </c>
      <c r="K193" s="83"/>
      <c r="L193" s="83"/>
      <c r="M193" s="83"/>
      <c r="N193" s="83"/>
      <c r="O193" s="83"/>
      <c r="P193" s="81">
        <f t="shared" si="25"/>
        <v>154000</v>
      </c>
    </row>
    <row r="194" spans="1:16" ht="30" hidden="1">
      <c r="A194" s="3"/>
      <c r="B194" s="4" t="s">
        <v>134</v>
      </c>
      <c r="C194" s="30" t="s">
        <v>133</v>
      </c>
      <c r="D194" s="6" t="s">
        <v>135</v>
      </c>
      <c r="E194" s="85">
        <f t="shared" si="26"/>
        <v>0</v>
      </c>
      <c r="F194" s="83">
        <f>F195</f>
        <v>0</v>
      </c>
      <c r="G194" s="83"/>
      <c r="H194" s="83"/>
      <c r="I194" s="83"/>
      <c r="J194" s="81">
        <f t="shared" si="27"/>
        <v>0</v>
      </c>
      <c r="K194" s="83"/>
      <c r="L194" s="83"/>
      <c r="M194" s="83"/>
      <c r="N194" s="83"/>
      <c r="O194" s="83"/>
      <c r="P194" s="81">
        <f t="shared" si="25"/>
        <v>0</v>
      </c>
    </row>
    <row r="195" spans="1:16" ht="137.25" customHeight="1" hidden="1">
      <c r="A195" s="3"/>
      <c r="B195" s="4"/>
      <c r="C195" s="30"/>
      <c r="D195" s="13" t="s">
        <v>262</v>
      </c>
      <c r="E195" s="85">
        <f t="shared" si="26"/>
        <v>0</v>
      </c>
      <c r="F195" s="83"/>
      <c r="G195" s="83"/>
      <c r="H195" s="83"/>
      <c r="I195" s="83"/>
      <c r="J195" s="81">
        <f t="shared" si="27"/>
        <v>0</v>
      </c>
      <c r="K195" s="83"/>
      <c r="L195" s="83"/>
      <c r="M195" s="83"/>
      <c r="N195" s="83"/>
      <c r="O195" s="83"/>
      <c r="P195" s="81">
        <f t="shared" si="25"/>
        <v>0</v>
      </c>
    </row>
    <row r="196" spans="1:16" ht="96.75" customHeight="1" hidden="1">
      <c r="A196" s="3"/>
      <c r="B196" s="4" t="s">
        <v>136</v>
      </c>
      <c r="C196" s="30" t="s">
        <v>123</v>
      </c>
      <c r="D196" s="6" t="s">
        <v>137</v>
      </c>
      <c r="E196" s="85">
        <f t="shared" si="26"/>
        <v>0</v>
      </c>
      <c r="F196" s="83">
        <f>F197</f>
        <v>0</v>
      </c>
      <c r="G196" s="83"/>
      <c r="H196" s="83"/>
      <c r="I196" s="83"/>
      <c r="J196" s="81">
        <f t="shared" si="27"/>
        <v>0</v>
      </c>
      <c r="K196" s="83"/>
      <c r="L196" s="83"/>
      <c r="M196" s="83"/>
      <c r="N196" s="83"/>
      <c r="O196" s="83"/>
      <c r="P196" s="81">
        <f t="shared" si="25"/>
        <v>0</v>
      </c>
    </row>
    <row r="197" spans="1:16" ht="88.5" customHeight="1" hidden="1">
      <c r="A197" s="3"/>
      <c r="B197" s="4"/>
      <c r="C197" s="30"/>
      <c r="D197" s="13" t="s">
        <v>266</v>
      </c>
      <c r="E197" s="85">
        <f t="shared" si="26"/>
        <v>0</v>
      </c>
      <c r="F197" s="83"/>
      <c r="G197" s="83"/>
      <c r="H197" s="83"/>
      <c r="I197" s="83"/>
      <c r="J197" s="81">
        <f t="shared" si="27"/>
        <v>0</v>
      </c>
      <c r="K197" s="83"/>
      <c r="L197" s="83"/>
      <c r="M197" s="83"/>
      <c r="N197" s="83"/>
      <c r="O197" s="83"/>
      <c r="P197" s="81">
        <f t="shared" si="25"/>
        <v>0</v>
      </c>
    </row>
    <row r="198" spans="1:16" ht="110.25" customHeight="1" hidden="1">
      <c r="A198" s="3"/>
      <c r="B198" s="4" t="s">
        <v>138</v>
      </c>
      <c r="C198" s="30" t="s">
        <v>133</v>
      </c>
      <c r="D198" s="6" t="s">
        <v>139</v>
      </c>
      <c r="E198" s="85">
        <f t="shared" si="26"/>
        <v>0</v>
      </c>
      <c r="F198" s="83"/>
      <c r="G198" s="83"/>
      <c r="H198" s="83"/>
      <c r="I198" s="83"/>
      <c r="J198" s="81">
        <f t="shared" si="27"/>
        <v>0</v>
      </c>
      <c r="K198" s="83"/>
      <c r="L198" s="83"/>
      <c r="M198" s="83"/>
      <c r="N198" s="83"/>
      <c r="O198" s="83"/>
      <c r="P198" s="81">
        <f t="shared" si="25"/>
        <v>0</v>
      </c>
    </row>
    <row r="199" spans="1:16" ht="120" customHeight="1" hidden="1">
      <c r="A199" s="3"/>
      <c r="B199" s="4" t="s">
        <v>140</v>
      </c>
      <c r="C199" s="30" t="s">
        <v>123</v>
      </c>
      <c r="D199" s="6" t="s">
        <v>141</v>
      </c>
      <c r="E199" s="85">
        <f t="shared" si="26"/>
        <v>0</v>
      </c>
      <c r="F199" s="83"/>
      <c r="G199" s="83"/>
      <c r="H199" s="83"/>
      <c r="I199" s="83"/>
      <c r="J199" s="81">
        <f t="shared" si="27"/>
        <v>0</v>
      </c>
      <c r="K199" s="83"/>
      <c r="L199" s="83"/>
      <c r="M199" s="83"/>
      <c r="N199" s="83"/>
      <c r="O199" s="83"/>
      <c r="P199" s="81">
        <f t="shared" si="25"/>
        <v>0</v>
      </c>
    </row>
    <row r="200" spans="1:16" ht="30">
      <c r="A200" s="3"/>
      <c r="B200" s="4" t="s">
        <v>142</v>
      </c>
      <c r="C200" s="30" t="s">
        <v>86</v>
      </c>
      <c r="D200" s="6" t="s">
        <v>143</v>
      </c>
      <c r="E200" s="85">
        <f t="shared" si="26"/>
        <v>320800</v>
      </c>
      <c r="F200" s="83">
        <f>285460+35340</f>
        <v>320800</v>
      </c>
      <c r="G200" s="83"/>
      <c r="H200" s="83"/>
      <c r="I200" s="83"/>
      <c r="J200" s="81">
        <f t="shared" si="27"/>
        <v>0</v>
      </c>
      <c r="K200" s="83"/>
      <c r="L200" s="83"/>
      <c r="M200" s="83"/>
      <c r="N200" s="83"/>
      <c r="O200" s="83"/>
      <c r="P200" s="81">
        <f t="shared" si="25"/>
        <v>320800</v>
      </c>
    </row>
    <row r="201" spans="1:16" ht="14.25" customHeight="1">
      <c r="A201" s="3"/>
      <c r="B201" s="4" t="s">
        <v>144</v>
      </c>
      <c r="C201" s="30" t="s">
        <v>130</v>
      </c>
      <c r="D201" s="6" t="s">
        <v>145</v>
      </c>
      <c r="E201" s="85">
        <f t="shared" si="26"/>
        <v>1526250</v>
      </c>
      <c r="F201" s="83">
        <f>1658160-131910</f>
        <v>1526250</v>
      </c>
      <c r="G201" s="83">
        <v>922950</v>
      </c>
      <c r="H201" s="83">
        <v>270830</v>
      </c>
      <c r="I201" s="83"/>
      <c r="J201" s="81">
        <f t="shared" si="27"/>
        <v>0</v>
      </c>
      <c r="K201" s="83"/>
      <c r="L201" s="83"/>
      <c r="M201" s="83"/>
      <c r="N201" s="83"/>
      <c r="O201" s="83"/>
      <c r="P201" s="81">
        <f t="shared" si="25"/>
        <v>1526250</v>
      </c>
    </row>
    <row r="202" spans="1:16" ht="30" hidden="1">
      <c r="A202" s="3"/>
      <c r="B202" s="4" t="s">
        <v>146</v>
      </c>
      <c r="C202" s="30" t="s">
        <v>133</v>
      </c>
      <c r="D202" s="6" t="s">
        <v>147</v>
      </c>
      <c r="E202" s="85">
        <f t="shared" si="26"/>
        <v>0</v>
      </c>
      <c r="F202" s="83">
        <f>F203</f>
        <v>0</v>
      </c>
      <c r="G202" s="83"/>
      <c r="H202" s="83"/>
      <c r="I202" s="83"/>
      <c r="J202" s="81">
        <f t="shared" si="27"/>
        <v>0</v>
      </c>
      <c r="K202" s="83"/>
      <c r="L202" s="83"/>
      <c r="M202" s="83"/>
      <c r="N202" s="83"/>
      <c r="O202" s="83"/>
      <c r="P202" s="81">
        <f t="shared" si="25"/>
        <v>0</v>
      </c>
    </row>
    <row r="203" spans="1:16" ht="138.75" customHeight="1" hidden="1">
      <c r="A203" s="3"/>
      <c r="B203" s="4"/>
      <c r="C203" s="30"/>
      <c r="D203" s="13" t="s">
        <v>262</v>
      </c>
      <c r="E203" s="85">
        <f t="shared" si="26"/>
        <v>0</v>
      </c>
      <c r="F203" s="83"/>
      <c r="G203" s="83"/>
      <c r="H203" s="83"/>
      <c r="I203" s="83"/>
      <c r="J203" s="81">
        <f t="shared" si="27"/>
        <v>0</v>
      </c>
      <c r="K203" s="83"/>
      <c r="L203" s="83"/>
      <c r="M203" s="83"/>
      <c r="N203" s="83"/>
      <c r="O203" s="83"/>
      <c r="P203" s="81">
        <f t="shared" si="25"/>
        <v>0</v>
      </c>
    </row>
    <row r="204" spans="1:16" ht="0.75" customHeight="1" hidden="1">
      <c r="A204" s="3"/>
      <c r="B204" s="4" t="s">
        <v>148</v>
      </c>
      <c r="C204" s="30" t="s">
        <v>94</v>
      </c>
      <c r="D204" s="6" t="s">
        <v>149</v>
      </c>
      <c r="E204" s="85">
        <f t="shared" si="26"/>
        <v>0</v>
      </c>
      <c r="F204" s="83">
        <f>F205</f>
        <v>0</v>
      </c>
      <c r="G204" s="83"/>
      <c r="H204" s="83"/>
      <c r="I204" s="83"/>
      <c r="J204" s="81">
        <f t="shared" si="27"/>
        <v>0</v>
      </c>
      <c r="K204" s="83"/>
      <c r="L204" s="83"/>
      <c r="M204" s="83"/>
      <c r="N204" s="83"/>
      <c r="O204" s="83"/>
      <c r="P204" s="81">
        <f t="shared" si="25"/>
        <v>0</v>
      </c>
    </row>
    <row r="205" spans="1:16" ht="2.25" customHeight="1" hidden="1">
      <c r="A205" s="3"/>
      <c r="B205" s="4"/>
      <c r="C205" s="30"/>
      <c r="D205" s="14" t="s">
        <v>265</v>
      </c>
      <c r="E205" s="85">
        <f t="shared" si="26"/>
        <v>0</v>
      </c>
      <c r="F205" s="83">
        <f>770000-770000</f>
        <v>0</v>
      </c>
      <c r="G205" s="83"/>
      <c r="H205" s="83"/>
      <c r="I205" s="83"/>
      <c r="J205" s="81">
        <f t="shared" si="27"/>
        <v>0</v>
      </c>
      <c r="K205" s="83"/>
      <c r="L205" s="83"/>
      <c r="M205" s="83"/>
      <c r="N205" s="83"/>
      <c r="O205" s="83"/>
      <c r="P205" s="81">
        <f t="shared" si="25"/>
        <v>0</v>
      </c>
    </row>
    <row r="206" spans="1:16" ht="54" customHeight="1" hidden="1">
      <c r="A206" s="3"/>
      <c r="B206" s="4" t="s">
        <v>150</v>
      </c>
      <c r="C206" s="30" t="s">
        <v>94</v>
      </c>
      <c r="D206" s="6" t="s">
        <v>151</v>
      </c>
      <c r="E206" s="85">
        <f t="shared" si="26"/>
        <v>0</v>
      </c>
      <c r="F206" s="83">
        <f>F207</f>
        <v>0</v>
      </c>
      <c r="G206" s="83"/>
      <c r="H206" s="83"/>
      <c r="I206" s="83"/>
      <c r="J206" s="81">
        <f t="shared" si="27"/>
        <v>0</v>
      </c>
      <c r="K206" s="83"/>
      <c r="L206" s="83"/>
      <c r="M206" s="83"/>
      <c r="N206" s="83"/>
      <c r="O206" s="83"/>
      <c r="P206" s="81">
        <f t="shared" si="25"/>
        <v>0</v>
      </c>
    </row>
    <row r="207" spans="1:16" ht="279.75" customHeight="1" hidden="1">
      <c r="A207" s="3"/>
      <c r="B207" s="4"/>
      <c r="C207" s="30"/>
      <c r="D207" s="14" t="s">
        <v>265</v>
      </c>
      <c r="E207" s="85">
        <f t="shared" si="26"/>
        <v>0</v>
      </c>
      <c r="F207" s="83">
        <f>2800000-2800000</f>
        <v>0</v>
      </c>
      <c r="G207" s="83"/>
      <c r="H207" s="83"/>
      <c r="I207" s="83"/>
      <c r="J207" s="81">
        <f t="shared" si="27"/>
        <v>0</v>
      </c>
      <c r="K207" s="83"/>
      <c r="L207" s="83"/>
      <c r="M207" s="83"/>
      <c r="N207" s="83"/>
      <c r="O207" s="83"/>
      <c r="P207" s="81">
        <f t="shared" si="25"/>
        <v>0</v>
      </c>
    </row>
    <row r="208" spans="1:16" ht="0.75" customHeight="1" hidden="1">
      <c r="A208" s="3"/>
      <c r="B208" s="4" t="s">
        <v>152</v>
      </c>
      <c r="C208" s="30" t="s">
        <v>94</v>
      </c>
      <c r="D208" s="6" t="s">
        <v>153</v>
      </c>
      <c r="E208" s="85">
        <f t="shared" si="26"/>
        <v>0</v>
      </c>
      <c r="F208" s="83">
        <f>F209</f>
        <v>0</v>
      </c>
      <c r="G208" s="83"/>
      <c r="H208" s="83"/>
      <c r="I208" s="83"/>
      <c r="J208" s="81">
        <f t="shared" si="27"/>
        <v>0</v>
      </c>
      <c r="K208" s="83"/>
      <c r="L208" s="83"/>
      <c r="M208" s="83"/>
      <c r="N208" s="83"/>
      <c r="O208" s="83"/>
      <c r="P208" s="81">
        <f t="shared" si="25"/>
        <v>0</v>
      </c>
    </row>
    <row r="209" spans="1:16" ht="0.75" customHeight="1">
      <c r="A209" s="3"/>
      <c r="B209" s="4"/>
      <c r="C209" s="30"/>
      <c r="D209" s="14" t="s">
        <v>265</v>
      </c>
      <c r="E209" s="85">
        <f t="shared" si="26"/>
        <v>0</v>
      </c>
      <c r="F209" s="83">
        <f>13305000-13305000</f>
        <v>0</v>
      </c>
      <c r="G209" s="83"/>
      <c r="H209" s="83"/>
      <c r="I209" s="83"/>
      <c r="J209" s="81">
        <f t="shared" si="27"/>
        <v>0</v>
      </c>
      <c r="K209" s="83"/>
      <c r="L209" s="83"/>
      <c r="M209" s="83"/>
      <c r="N209" s="83"/>
      <c r="O209" s="83"/>
      <c r="P209" s="81">
        <f t="shared" si="25"/>
        <v>0</v>
      </c>
    </row>
    <row r="210" spans="1:16" s="108" customFormat="1" ht="25.5" customHeight="1" hidden="1">
      <c r="A210" s="3"/>
      <c r="B210" s="4">
        <v>250404</v>
      </c>
      <c r="C210" s="5" t="s">
        <v>185</v>
      </c>
      <c r="D210" s="6" t="s">
        <v>56</v>
      </c>
      <c r="E210" s="81">
        <f>F210</f>
        <v>0</v>
      </c>
      <c r="F210" s="83"/>
      <c r="G210" s="83"/>
      <c r="H210" s="83"/>
      <c r="I210" s="83"/>
      <c r="J210" s="81">
        <f t="shared" si="27"/>
        <v>0</v>
      </c>
      <c r="K210" s="83"/>
      <c r="L210" s="83"/>
      <c r="M210" s="83"/>
      <c r="N210" s="83"/>
      <c r="O210" s="83"/>
      <c r="P210" s="81">
        <f>E210+J210</f>
        <v>0</v>
      </c>
    </row>
    <row r="211" spans="1:17" s="47" customFormat="1" ht="30">
      <c r="A211" s="43" t="s">
        <v>305</v>
      </c>
      <c r="B211" s="40"/>
      <c r="C211" s="40"/>
      <c r="D211" s="78" t="s">
        <v>378</v>
      </c>
      <c r="E211" s="99">
        <f>SUM(F211,I211)</f>
        <v>163560097.03</v>
      </c>
      <c r="F211" s="99">
        <f>SUM(F212,F213,F215,F217,F221,F224,F228,F230,F232,F234,F236,F238,F240,F242,F244,F246,F248,F250,F252,F254,F256,F258,F262,F266:F269,F270,F272,F273:F275,F226,F264,F260)+F219</f>
        <v>163560097.03</v>
      </c>
      <c r="G211" s="99">
        <f>SUM(G212,G213,G215,G217,G221,G224,G228,G230,G232,G234,G236,G238,G240,G242,G244,G246,G248,G250,G252,G254,G256,G258,G262,G266:G269,G270,G272,G273:G275,G226,G264,G260)</f>
        <v>7351272</v>
      </c>
      <c r="H211" s="99">
        <f>SUM(H212,H213,H215,H217,H221,H224,H228,H230,H232,H234,H236,H238,H240,H242,H244,H246,H248,H250,H252,H254,H256,H258,H262,H266:H269,H270,H272,H273:H275,H226,H264,H260)</f>
        <v>391000</v>
      </c>
      <c r="I211" s="99">
        <f>SUM(I212,I213,I215,I217,I221,I224,I228,I230,I232,I234,I236,I238,I240,I242,I244,I246,I248,I250,I252,I254,I256,I258,I262,I266:I269,I270,I272,I273:I275,I226,I264,I260)</f>
        <v>0</v>
      </c>
      <c r="J211" s="99">
        <f>SUM(K211,N211)</f>
        <v>41199</v>
      </c>
      <c r="K211" s="99">
        <f>SUM(K212,K213,K215,K217,K221,K224,K228,K230,K232,K234,K236,K238,K240,K242,K244,K246,K248,K250,K252,K254,K256,K258,K262,K266:K269,K270,K272,K273:K275,K226,K264,K260)</f>
        <v>34000</v>
      </c>
      <c r="L211" s="99">
        <f>SUM(L212,L213,L215,L217,L221,L224,L228,L230,L232,L234,L236,L238,L240,L242,L244,L246,L248,L250,L252,L254,L256,L258,L262,L266:L269,L270,L272,L273:L275,L226,L264,L260)</f>
        <v>24200</v>
      </c>
      <c r="M211" s="99">
        <f>SUM(M212,M213,M215,M217,M221,M224,M228,M230,M232,M234,M236,M238,M240,M242,M244,M246,M248,M250,M252,M254,M256,M258,M262,M266:M269,M270,M272,M273:M275,M226,M264,M260)</f>
        <v>0</v>
      </c>
      <c r="N211" s="99">
        <f>SUM(N212,N213,N215,N217,N221,N224,N228,N230,N232,N234,N236,N238,N240,N242,N244,N246,N248,N250,N252,N254,N256,N258,N262,N266:N269,N270,N272,N273:N275,N226,N264,N260)</f>
        <v>7199</v>
      </c>
      <c r="O211" s="99">
        <f>SUM(O212,O213,O215,O217,O221,O224,O228,O230,O232,O234,O236,O238,O240,O242,O244,O246,O248,O250,O252,O254,O256,O258,O262,O266:O269,O270,O272,O273:O275,O226,O264,O260)</f>
        <v>7199</v>
      </c>
      <c r="P211" s="99">
        <f>SUM(J211,E211)</f>
        <v>163601296.03</v>
      </c>
      <c r="Q211" s="47">
        <f>2152937.67</f>
        <v>2152937.67</v>
      </c>
    </row>
    <row r="212" spans="1:16" s="47" customFormat="1" ht="15">
      <c r="A212" s="42"/>
      <c r="B212" s="42" t="s">
        <v>18</v>
      </c>
      <c r="C212" s="42" t="s">
        <v>17</v>
      </c>
      <c r="D212" s="45" t="s">
        <v>306</v>
      </c>
      <c r="E212" s="86">
        <f>SUM(F212,I212)</f>
        <v>5490241</v>
      </c>
      <c r="F212" s="94">
        <f>6234110-642063+161749-165555-98000</f>
        <v>5490241</v>
      </c>
      <c r="G212" s="94">
        <f>4489951+132581-136930-110000</f>
        <v>4375602</v>
      </c>
      <c r="H212" s="94">
        <v>0</v>
      </c>
      <c r="I212" s="94"/>
      <c r="J212" s="86">
        <f>SUM(K212,N212)</f>
        <v>0</v>
      </c>
      <c r="K212" s="94"/>
      <c r="L212" s="94"/>
      <c r="M212" s="94"/>
      <c r="N212" s="94"/>
      <c r="O212" s="94"/>
      <c r="P212" s="86">
        <f>SUM(E212,J212)</f>
        <v>5490241</v>
      </c>
    </row>
    <row r="213" spans="1:16" s="39" customFormat="1" ht="30">
      <c r="A213" s="42"/>
      <c r="B213" s="15" t="s">
        <v>84</v>
      </c>
      <c r="C213" s="57" t="s">
        <v>24</v>
      </c>
      <c r="D213" s="8" t="s">
        <v>85</v>
      </c>
      <c r="E213" s="85">
        <f>F213++I213</f>
        <v>3244026</v>
      </c>
      <c r="F213" s="2">
        <f>F214</f>
        <v>3244026</v>
      </c>
      <c r="G213" s="2"/>
      <c r="H213" s="2"/>
      <c r="I213" s="2"/>
      <c r="J213" s="81">
        <f aca="true" t="shared" si="28" ref="J213:J271">K213+N213</f>
        <v>0</v>
      </c>
      <c r="K213" s="2"/>
      <c r="L213" s="2"/>
      <c r="M213" s="2"/>
      <c r="N213" s="2"/>
      <c r="O213" s="2"/>
      <c r="P213" s="86">
        <f aca="true" t="shared" si="29" ref="P213:P275">SUM(E213,J213)</f>
        <v>3244026</v>
      </c>
    </row>
    <row r="214" spans="1:16" s="39" customFormat="1" ht="135">
      <c r="A214" s="42"/>
      <c r="B214" s="15"/>
      <c r="C214" s="57"/>
      <c r="D214" s="45" t="s">
        <v>263</v>
      </c>
      <c r="E214" s="85">
        <f>F214++I214</f>
        <v>3244026</v>
      </c>
      <c r="F214" s="2">
        <f>3340526-96500</f>
        <v>3244026</v>
      </c>
      <c r="G214" s="2"/>
      <c r="H214" s="2"/>
      <c r="I214" s="2"/>
      <c r="J214" s="81">
        <f t="shared" si="28"/>
        <v>0</v>
      </c>
      <c r="K214" s="2"/>
      <c r="L214" s="2"/>
      <c r="M214" s="2"/>
      <c r="N214" s="2"/>
      <c r="O214" s="2"/>
      <c r="P214" s="86">
        <f t="shared" si="29"/>
        <v>3244026</v>
      </c>
    </row>
    <row r="215" spans="1:16" s="39" customFormat="1" ht="240">
      <c r="A215" s="42"/>
      <c r="B215" s="15" t="s">
        <v>87</v>
      </c>
      <c r="C215" s="57" t="s">
        <v>86</v>
      </c>
      <c r="D215" s="8" t="s">
        <v>88</v>
      </c>
      <c r="E215" s="85">
        <f aca="true" t="shared" si="30" ref="E215:E271">F215++I215</f>
        <v>9205000</v>
      </c>
      <c r="F215" s="2">
        <f>F216</f>
        <v>9205000</v>
      </c>
      <c r="G215" s="2"/>
      <c r="H215" s="2"/>
      <c r="I215" s="2"/>
      <c r="J215" s="81">
        <f t="shared" si="28"/>
        <v>0</v>
      </c>
      <c r="K215" s="2"/>
      <c r="L215" s="2"/>
      <c r="M215" s="2"/>
      <c r="N215" s="2"/>
      <c r="O215" s="2"/>
      <c r="P215" s="86">
        <f t="shared" si="29"/>
        <v>9205000</v>
      </c>
    </row>
    <row r="216" spans="1:16" s="39" customFormat="1" ht="135">
      <c r="A216" s="42"/>
      <c r="B216" s="15"/>
      <c r="C216" s="57"/>
      <c r="D216" s="45" t="s">
        <v>264</v>
      </c>
      <c r="E216" s="85">
        <f t="shared" si="30"/>
        <v>9205000</v>
      </c>
      <c r="F216" s="2">
        <f>15000000-3000000-6300000+3505000</f>
        <v>9205000</v>
      </c>
      <c r="G216" s="2"/>
      <c r="H216" s="2"/>
      <c r="I216" s="2"/>
      <c r="J216" s="81">
        <f t="shared" si="28"/>
        <v>0</v>
      </c>
      <c r="K216" s="2"/>
      <c r="L216" s="2"/>
      <c r="M216" s="2"/>
      <c r="N216" s="2"/>
      <c r="O216" s="2"/>
      <c r="P216" s="86">
        <f t="shared" si="29"/>
        <v>9205000</v>
      </c>
    </row>
    <row r="217" spans="1:16" s="39" customFormat="1" ht="210">
      <c r="A217" s="42"/>
      <c r="B217" s="15" t="s">
        <v>89</v>
      </c>
      <c r="C217" s="57" t="s">
        <v>86</v>
      </c>
      <c r="D217" s="8" t="s">
        <v>90</v>
      </c>
      <c r="E217" s="85">
        <f t="shared" si="30"/>
        <v>14768.01</v>
      </c>
      <c r="F217" s="2">
        <f>F218</f>
        <v>14768.01</v>
      </c>
      <c r="G217" s="2"/>
      <c r="H217" s="2"/>
      <c r="I217" s="2"/>
      <c r="J217" s="81">
        <f t="shared" si="28"/>
        <v>0</v>
      </c>
      <c r="K217" s="2"/>
      <c r="L217" s="2"/>
      <c r="M217" s="2"/>
      <c r="N217" s="2"/>
      <c r="O217" s="2"/>
      <c r="P217" s="86">
        <f t="shared" si="29"/>
        <v>14768.01</v>
      </c>
    </row>
    <row r="218" spans="1:16" s="39" customFormat="1" ht="74.25" customHeight="1">
      <c r="A218" s="42"/>
      <c r="B218" s="15"/>
      <c r="C218" s="57"/>
      <c r="D218" s="45" t="s">
        <v>266</v>
      </c>
      <c r="E218" s="85">
        <f t="shared" si="30"/>
        <v>14768.01</v>
      </c>
      <c r="F218" s="2">
        <f>22500-7731.99</f>
        <v>14768.01</v>
      </c>
      <c r="G218" s="2"/>
      <c r="H218" s="2"/>
      <c r="I218" s="2"/>
      <c r="J218" s="81">
        <f t="shared" si="28"/>
        <v>0</v>
      </c>
      <c r="K218" s="2"/>
      <c r="L218" s="2"/>
      <c r="M218" s="2"/>
      <c r="N218" s="2"/>
      <c r="O218" s="2"/>
      <c r="P218" s="86">
        <f t="shared" si="29"/>
        <v>14768.01</v>
      </c>
    </row>
    <row r="219" spans="1:16" s="39" customFormat="1" ht="225" hidden="1">
      <c r="A219" s="42"/>
      <c r="B219" s="15" t="s">
        <v>91</v>
      </c>
      <c r="C219" s="57" t="s">
        <v>86</v>
      </c>
      <c r="D219" s="8" t="s">
        <v>92</v>
      </c>
      <c r="E219" s="85">
        <f t="shared" si="30"/>
        <v>0</v>
      </c>
      <c r="F219" s="2">
        <f>F220</f>
        <v>0</v>
      </c>
      <c r="G219" s="2"/>
      <c r="H219" s="2"/>
      <c r="I219" s="2"/>
      <c r="J219" s="81">
        <f t="shared" si="28"/>
        <v>0</v>
      </c>
      <c r="K219" s="2"/>
      <c r="L219" s="2"/>
      <c r="M219" s="2"/>
      <c r="N219" s="2">
        <f>N220</f>
        <v>0</v>
      </c>
      <c r="O219" s="2">
        <f>O220</f>
        <v>0</v>
      </c>
      <c r="P219" s="86">
        <f t="shared" si="29"/>
        <v>0</v>
      </c>
    </row>
    <row r="220" spans="1:16" s="39" customFormat="1" ht="285" hidden="1">
      <c r="A220" s="42"/>
      <c r="B220" s="15"/>
      <c r="C220" s="57"/>
      <c r="D220" s="58" t="s">
        <v>265</v>
      </c>
      <c r="E220" s="85">
        <f t="shared" si="30"/>
        <v>0</v>
      </c>
      <c r="F220" s="2">
        <f>2000-2000</f>
        <v>0</v>
      </c>
      <c r="G220" s="2"/>
      <c r="H220" s="2"/>
      <c r="I220" s="2"/>
      <c r="J220" s="81">
        <f t="shared" si="28"/>
        <v>0</v>
      </c>
      <c r="K220" s="2"/>
      <c r="L220" s="2"/>
      <c r="M220" s="2"/>
      <c r="N220" s="2"/>
      <c r="O220" s="2"/>
      <c r="P220" s="86">
        <f t="shared" si="29"/>
        <v>0</v>
      </c>
    </row>
    <row r="221" spans="1:16" s="39" customFormat="1" ht="360">
      <c r="A221" s="42"/>
      <c r="B221" s="15" t="s">
        <v>93</v>
      </c>
      <c r="C221" s="57" t="s">
        <v>86</v>
      </c>
      <c r="D221" s="8" t="s">
        <v>267</v>
      </c>
      <c r="E221" s="85">
        <f t="shared" si="30"/>
        <v>800000</v>
      </c>
      <c r="F221" s="2">
        <f>F223</f>
        <v>800000</v>
      </c>
      <c r="G221" s="2"/>
      <c r="H221" s="2"/>
      <c r="I221" s="2"/>
      <c r="J221" s="81">
        <f t="shared" si="28"/>
        <v>0</v>
      </c>
      <c r="K221" s="2"/>
      <c r="L221" s="2"/>
      <c r="M221" s="2"/>
      <c r="N221" s="2"/>
      <c r="O221" s="2"/>
      <c r="P221" s="86">
        <f t="shared" si="29"/>
        <v>800000</v>
      </c>
    </row>
    <row r="222" spans="1:16" s="39" customFormat="1" ht="345">
      <c r="A222" s="42"/>
      <c r="B222" s="15"/>
      <c r="C222" s="57"/>
      <c r="D222" s="8" t="s">
        <v>268</v>
      </c>
      <c r="E222" s="85"/>
      <c r="F222" s="2"/>
      <c r="G222" s="2"/>
      <c r="H222" s="2"/>
      <c r="I222" s="2"/>
      <c r="J222" s="81"/>
      <c r="K222" s="2"/>
      <c r="L222" s="2"/>
      <c r="M222" s="2"/>
      <c r="N222" s="2"/>
      <c r="O222" s="2"/>
      <c r="P222" s="86">
        <f t="shared" si="29"/>
        <v>0</v>
      </c>
    </row>
    <row r="223" spans="1:16" s="39" customFormat="1" ht="135">
      <c r="A223" s="42"/>
      <c r="B223" s="15"/>
      <c r="C223" s="7"/>
      <c r="D223" s="45" t="s">
        <v>264</v>
      </c>
      <c r="E223" s="81">
        <f>F223++I223</f>
        <v>800000</v>
      </c>
      <c r="F223" s="2">
        <f>1413000-113000-100000+600000-1000000</f>
        <v>800000</v>
      </c>
      <c r="G223" s="2"/>
      <c r="H223" s="2"/>
      <c r="I223" s="2"/>
      <c r="J223" s="81">
        <f t="shared" si="28"/>
        <v>0</v>
      </c>
      <c r="K223" s="2"/>
      <c r="L223" s="2"/>
      <c r="M223" s="2"/>
      <c r="N223" s="2"/>
      <c r="O223" s="2"/>
      <c r="P223" s="86">
        <f t="shared" si="29"/>
        <v>800000</v>
      </c>
    </row>
    <row r="224" spans="1:16" s="39" customFormat="1" ht="90">
      <c r="A224" s="42"/>
      <c r="B224" s="15" t="s">
        <v>95</v>
      </c>
      <c r="C224" s="57" t="s">
        <v>94</v>
      </c>
      <c r="D224" s="8" t="s">
        <v>96</v>
      </c>
      <c r="E224" s="85">
        <f t="shared" si="30"/>
        <v>800000</v>
      </c>
      <c r="F224" s="2">
        <f>F225</f>
        <v>800000</v>
      </c>
      <c r="G224" s="2"/>
      <c r="H224" s="2"/>
      <c r="I224" s="2"/>
      <c r="J224" s="81">
        <f t="shared" si="28"/>
        <v>0</v>
      </c>
      <c r="K224" s="2"/>
      <c r="L224" s="2"/>
      <c r="M224" s="2"/>
      <c r="N224" s="2"/>
      <c r="O224" s="2"/>
      <c r="P224" s="86">
        <f t="shared" si="29"/>
        <v>800000</v>
      </c>
    </row>
    <row r="225" spans="1:16" s="39" customFormat="1" ht="118.5" customHeight="1">
      <c r="A225" s="42"/>
      <c r="B225" s="15"/>
      <c r="C225" s="57"/>
      <c r="D225" s="45" t="s">
        <v>264</v>
      </c>
      <c r="E225" s="85">
        <f t="shared" si="30"/>
        <v>800000</v>
      </c>
      <c r="F225" s="2">
        <f>1860000-560000-100000+600000-1000000</f>
        <v>800000</v>
      </c>
      <c r="G225" s="2"/>
      <c r="H225" s="2"/>
      <c r="I225" s="2"/>
      <c r="J225" s="81">
        <f t="shared" si="28"/>
        <v>0</v>
      </c>
      <c r="K225" s="2"/>
      <c r="L225" s="2"/>
      <c r="M225" s="2"/>
      <c r="N225" s="2"/>
      <c r="O225" s="2"/>
      <c r="P225" s="86">
        <f t="shared" si="29"/>
        <v>800000</v>
      </c>
    </row>
    <row r="226" spans="1:16" s="39" customFormat="1" ht="90" hidden="1">
      <c r="A226" s="42"/>
      <c r="B226" s="15" t="s">
        <v>238</v>
      </c>
      <c r="C226" s="57" t="s">
        <v>94</v>
      </c>
      <c r="D226" s="80" t="s">
        <v>239</v>
      </c>
      <c r="E226" s="85">
        <f t="shared" si="30"/>
        <v>0</v>
      </c>
      <c r="F226" s="2">
        <f>F227</f>
        <v>0</v>
      </c>
      <c r="G226" s="2"/>
      <c r="H226" s="2"/>
      <c r="I226" s="2"/>
      <c r="J226" s="81">
        <f t="shared" si="28"/>
        <v>0</v>
      </c>
      <c r="K226" s="2"/>
      <c r="L226" s="2"/>
      <c r="M226" s="2"/>
      <c r="N226" s="2"/>
      <c r="O226" s="2"/>
      <c r="P226" s="86">
        <f t="shared" si="29"/>
        <v>0</v>
      </c>
    </row>
    <row r="227" spans="1:16" s="39" customFormat="1" ht="75" hidden="1">
      <c r="A227" s="42"/>
      <c r="B227" s="15"/>
      <c r="C227" s="57"/>
      <c r="D227" s="45" t="s">
        <v>266</v>
      </c>
      <c r="E227" s="85">
        <f t="shared" si="30"/>
        <v>0</v>
      </c>
      <c r="F227" s="2">
        <f>1000-1000</f>
        <v>0</v>
      </c>
      <c r="G227" s="2"/>
      <c r="H227" s="2"/>
      <c r="I227" s="2"/>
      <c r="J227" s="81">
        <f t="shared" si="28"/>
        <v>0</v>
      </c>
      <c r="K227" s="2"/>
      <c r="L227" s="2"/>
      <c r="M227" s="2"/>
      <c r="N227" s="2"/>
      <c r="O227" s="2"/>
      <c r="P227" s="86">
        <f t="shared" si="29"/>
        <v>0</v>
      </c>
    </row>
    <row r="228" spans="1:16" s="39" customFormat="1" ht="90" hidden="1">
      <c r="A228" s="42"/>
      <c r="B228" s="15" t="s">
        <v>97</v>
      </c>
      <c r="C228" s="57" t="s">
        <v>94</v>
      </c>
      <c r="D228" s="8" t="s">
        <v>98</v>
      </c>
      <c r="E228" s="85">
        <f t="shared" si="30"/>
        <v>0</v>
      </c>
      <c r="F228" s="2">
        <f>F229</f>
        <v>0</v>
      </c>
      <c r="G228" s="2"/>
      <c r="H228" s="2"/>
      <c r="I228" s="2"/>
      <c r="J228" s="81">
        <f t="shared" si="28"/>
        <v>0</v>
      </c>
      <c r="K228" s="2"/>
      <c r="L228" s="2"/>
      <c r="M228" s="2"/>
      <c r="N228" s="2"/>
      <c r="O228" s="2"/>
      <c r="P228" s="86">
        <f t="shared" si="29"/>
        <v>0</v>
      </c>
    </row>
    <row r="229" spans="1:16" s="39" customFormat="1" ht="285" hidden="1">
      <c r="A229" s="42"/>
      <c r="B229" s="15"/>
      <c r="C229" s="57"/>
      <c r="D229" s="58" t="s">
        <v>265</v>
      </c>
      <c r="E229" s="85">
        <f t="shared" si="30"/>
        <v>0</v>
      </c>
      <c r="F229" s="2">
        <f>8500-8500</f>
        <v>0</v>
      </c>
      <c r="G229" s="2"/>
      <c r="H229" s="2"/>
      <c r="I229" s="2"/>
      <c r="J229" s="81">
        <f t="shared" si="28"/>
        <v>0</v>
      </c>
      <c r="K229" s="2"/>
      <c r="L229" s="2"/>
      <c r="M229" s="2"/>
      <c r="N229" s="2"/>
      <c r="O229" s="2"/>
      <c r="P229" s="86">
        <f t="shared" si="29"/>
        <v>0</v>
      </c>
    </row>
    <row r="230" spans="1:16" s="39" customFormat="1" ht="195">
      <c r="A230" s="42"/>
      <c r="B230" s="15" t="s">
        <v>99</v>
      </c>
      <c r="C230" s="57" t="s">
        <v>94</v>
      </c>
      <c r="D230" s="8" t="s">
        <v>100</v>
      </c>
      <c r="E230" s="85">
        <f t="shared" si="30"/>
        <v>31000</v>
      </c>
      <c r="F230" s="2">
        <f>F231</f>
        <v>31000</v>
      </c>
      <c r="G230" s="2"/>
      <c r="H230" s="2"/>
      <c r="I230" s="2"/>
      <c r="J230" s="81">
        <f t="shared" si="28"/>
        <v>0</v>
      </c>
      <c r="K230" s="2"/>
      <c r="L230" s="2"/>
      <c r="M230" s="2"/>
      <c r="N230" s="2"/>
      <c r="O230" s="2"/>
      <c r="P230" s="86">
        <f t="shared" si="29"/>
        <v>31000</v>
      </c>
    </row>
    <row r="231" spans="1:16" s="39" customFormat="1" ht="118.5" customHeight="1">
      <c r="A231" s="42"/>
      <c r="B231" s="15"/>
      <c r="C231" s="57"/>
      <c r="D231" s="45" t="s">
        <v>264</v>
      </c>
      <c r="E231" s="85">
        <f t="shared" si="30"/>
        <v>31000</v>
      </c>
      <c r="F231" s="2">
        <f>27000-1000-3000+8000</f>
        <v>31000</v>
      </c>
      <c r="G231" s="2"/>
      <c r="H231" s="2"/>
      <c r="I231" s="2"/>
      <c r="J231" s="81">
        <f t="shared" si="28"/>
        <v>0</v>
      </c>
      <c r="K231" s="2"/>
      <c r="L231" s="2"/>
      <c r="M231" s="2"/>
      <c r="N231" s="2"/>
      <c r="O231" s="2"/>
      <c r="P231" s="86">
        <f t="shared" si="29"/>
        <v>31000</v>
      </c>
    </row>
    <row r="232" spans="1:16" s="39" customFormat="1" ht="30" hidden="1">
      <c r="A232" s="42"/>
      <c r="B232" s="15" t="s">
        <v>101</v>
      </c>
      <c r="C232" s="57" t="s">
        <v>94</v>
      </c>
      <c r="D232" s="8" t="s">
        <v>102</v>
      </c>
      <c r="E232" s="85">
        <f t="shared" si="30"/>
        <v>0</v>
      </c>
      <c r="F232" s="2">
        <f>F233</f>
        <v>0</v>
      </c>
      <c r="G232" s="2"/>
      <c r="H232" s="2"/>
      <c r="I232" s="2"/>
      <c r="J232" s="81">
        <f t="shared" si="28"/>
        <v>0</v>
      </c>
      <c r="K232" s="2"/>
      <c r="L232" s="2"/>
      <c r="M232" s="2"/>
      <c r="N232" s="2"/>
      <c r="O232" s="2"/>
      <c r="P232" s="86">
        <f t="shared" si="29"/>
        <v>0</v>
      </c>
    </row>
    <row r="233" spans="1:16" s="39" customFormat="1" ht="285" hidden="1">
      <c r="A233" s="42"/>
      <c r="B233" s="15"/>
      <c r="C233" s="57"/>
      <c r="D233" s="58" t="s">
        <v>265</v>
      </c>
      <c r="E233" s="85">
        <f t="shared" si="30"/>
        <v>0</v>
      </c>
      <c r="F233" s="2">
        <f>340200-340200</f>
        <v>0</v>
      </c>
      <c r="G233" s="2"/>
      <c r="H233" s="2"/>
      <c r="I233" s="2"/>
      <c r="J233" s="81">
        <f t="shared" si="28"/>
        <v>0</v>
      </c>
      <c r="K233" s="2"/>
      <c r="L233" s="2"/>
      <c r="M233" s="2"/>
      <c r="N233" s="2"/>
      <c r="O233" s="2"/>
      <c r="P233" s="86">
        <f t="shared" si="29"/>
        <v>0</v>
      </c>
    </row>
    <row r="234" spans="1:16" s="39" customFormat="1" ht="120">
      <c r="A234" s="42"/>
      <c r="B234" s="15" t="s">
        <v>103</v>
      </c>
      <c r="C234" s="57" t="s">
        <v>94</v>
      </c>
      <c r="D234" s="8" t="s">
        <v>104</v>
      </c>
      <c r="E234" s="85">
        <f t="shared" si="30"/>
        <v>1465500</v>
      </c>
      <c r="F234" s="2">
        <f>F235</f>
        <v>1465500</v>
      </c>
      <c r="G234" s="2"/>
      <c r="H234" s="2"/>
      <c r="I234" s="2"/>
      <c r="J234" s="81">
        <f t="shared" si="28"/>
        <v>0</v>
      </c>
      <c r="K234" s="2"/>
      <c r="L234" s="2"/>
      <c r="M234" s="2"/>
      <c r="N234" s="2"/>
      <c r="O234" s="2"/>
      <c r="P234" s="86">
        <f t="shared" si="29"/>
        <v>1465500</v>
      </c>
    </row>
    <row r="235" spans="1:16" s="39" customFormat="1" ht="135">
      <c r="A235" s="42"/>
      <c r="B235" s="15"/>
      <c r="C235" s="57"/>
      <c r="D235" s="45" t="s">
        <v>264</v>
      </c>
      <c r="E235" s="85">
        <f t="shared" si="30"/>
        <v>1465500</v>
      </c>
      <c r="F235" s="2">
        <f>2600000-600000-134500+600000-1000000</f>
        <v>1465500</v>
      </c>
      <c r="G235" s="2"/>
      <c r="H235" s="2"/>
      <c r="I235" s="2"/>
      <c r="J235" s="81">
        <f t="shared" si="28"/>
        <v>0</v>
      </c>
      <c r="K235" s="2"/>
      <c r="L235" s="2"/>
      <c r="M235" s="2"/>
      <c r="N235" s="2"/>
      <c r="O235" s="2"/>
      <c r="P235" s="86">
        <f t="shared" si="29"/>
        <v>1465500</v>
      </c>
    </row>
    <row r="236" spans="1:16" s="39" customFormat="1" ht="135">
      <c r="A236" s="42"/>
      <c r="B236" s="15" t="s">
        <v>105</v>
      </c>
      <c r="C236" s="57" t="s">
        <v>94</v>
      </c>
      <c r="D236" s="8" t="s">
        <v>106</v>
      </c>
      <c r="E236" s="85">
        <f t="shared" si="30"/>
        <v>3065.76</v>
      </c>
      <c r="F236" s="2">
        <f>F237</f>
        <v>3065.76</v>
      </c>
      <c r="G236" s="2"/>
      <c r="H236" s="2"/>
      <c r="I236" s="2"/>
      <c r="J236" s="81">
        <f t="shared" si="28"/>
        <v>0</v>
      </c>
      <c r="K236" s="2"/>
      <c r="L236" s="2"/>
      <c r="M236" s="2"/>
      <c r="N236" s="2"/>
      <c r="O236" s="2"/>
      <c r="P236" s="86">
        <f t="shared" si="29"/>
        <v>3065.76</v>
      </c>
    </row>
    <row r="237" spans="1:16" s="39" customFormat="1" ht="75">
      <c r="A237" s="42"/>
      <c r="B237" s="15"/>
      <c r="C237" s="57"/>
      <c r="D237" s="45" t="s">
        <v>266</v>
      </c>
      <c r="E237" s="85">
        <f t="shared" si="30"/>
        <v>3065.76</v>
      </c>
      <c r="F237" s="2">
        <f>10700-7634.24</f>
        <v>3065.76</v>
      </c>
      <c r="G237" s="2"/>
      <c r="H237" s="2"/>
      <c r="I237" s="2"/>
      <c r="J237" s="81">
        <f t="shared" si="28"/>
        <v>0</v>
      </c>
      <c r="K237" s="2"/>
      <c r="L237" s="2"/>
      <c r="M237" s="2"/>
      <c r="N237" s="2"/>
      <c r="O237" s="2"/>
      <c r="P237" s="86">
        <f t="shared" si="29"/>
        <v>3065.76</v>
      </c>
    </row>
    <row r="238" spans="1:16" s="39" customFormat="1" ht="15">
      <c r="A238" s="42"/>
      <c r="B238" s="15" t="s">
        <v>107</v>
      </c>
      <c r="C238" s="57" t="s">
        <v>48</v>
      </c>
      <c r="D238" s="8" t="s">
        <v>108</v>
      </c>
      <c r="E238" s="85">
        <f t="shared" si="30"/>
        <v>700500</v>
      </c>
      <c r="F238" s="2">
        <f>F239</f>
        <v>700500</v>
      </c>
      <c r="G238" s="2"/>
      <c r="H238" s="2"/>
      <c r="I238" s="2"/>
      <c r="J238" s="81">
        <f t="shared" si="28"/>
        <v>0</v>
      </c>
      <c r="K238" s="2"/>
      <c r="L238" s="2"/>
      <c r="M238" s="2"/>
      <c r="N238" s="2"/>
      <c r="O238" s="2"/>
      <c r="P238" s="86">
        <f t="shared" si="29"/>
        <v>700500</v>
      </c>
    </row>
    <row r="239" spans="1:16" s="39" customFormat="1" ht="105">
      <c r="A239" s="42"/>
      <c r="B239" s="15"/>
      <c r="C239" s="57"/>
      <c r="D239" s="45" t="s">
        <v>262</v>
      </c>
      <c r="E239" s="85">
        <f t="shared" si="30"/>
        <v>700500</v>
      </c>
      <c r="F239" s="2">
        <v>700500</v>
      </c>
      <c r="G239" s="2"/>
      <c r="H239" s="2"/>
      <c r="I239" s="2"/>
      <c r="J239" s="81"/>
      <c r="K239" s="2"/>
      <c r="L239" s="2"/>
      <c r="M239" s="2"/>
      <c r="N239" s="2"/>
      <c r="O239" s="2"/>
      <c r="P239" s="86">
        <f t="shared" si="29"/>
        <v>700500</v>
      </c>
    </row>
    <row r="240" spans="1:16" s="39" customFormat="1" ht="30">
      <c r="A240" s="42"/>
      <c r="B240" s="15" t="s">
        <v>109</v>
      </c>
      <c r="C240" s="57" t="s">
        <v>48</v>
      </c>
      <c r="D240" s="8" t="s">
        <v>110</v>
      </c>
      <c r="E240" s="85">
        <f t="shared" si="30"/>
        <v>520160</v>
      </c>
      <c r="F240" s="2">
        <f>F241</f>
        <v>520160</v>
      </c>
      <c r="G240" s="2"/>
      <c r="H240" s="2"/>
      <c r="I240" s="2"/>
      <c r="J240" s="81">
        <f t="shared" si="28"/>
        <v>0</v>
      </c>
      <c r="K240" s="2"/>
      <c r="L240" s="2"/>
      <c r="M240" s="2"/>
      <c r="N240" s="2"/>
      <c r="O240" s="2"/>
      <c r="P240" s="86">
        <f t="shared" si="29"/>
        <v>520160</v>
      </c>
    </row>
    <row r="241" spans="1:16" s="39" customFormat="1" ht="105">
      <c r="A241" s="42"/>
      <c r="B241" s="15"/>
      <c r="C241" s="57"/>
      <c r="D241" s="45" t="s">
        <v>262</v>
      </c>
      <c r="E241" s="85">
        <f t="shared" si="30"/>
        <v>520160</v>
      </c>
      <c r="F241" s="2">
        <f>480160+40000</f>
        <v>520160</v>
      </c>
      <c r="G241" s="2"/>
      <c r="H241" s="2"/>
      <c r="I241" s="2"/>
      <c r="J241" s="81">
        <f t="shared" si="28"/>
        <v>0</v>
      </c>
      <c r="K241" s="2"/>
      <c r="L241" s="2"/>
      <c r="M241" s="2"/>
      <c r="N241" s="2"/>
      <c r="O241" s="2"/>
      <c r="P241" s="86">
        <f t="shared" si="29"/>
        <v>520160</v>
      </c>
    </row>
    <row r="242" spans="1:16" s="39" customFormat="1" ht="15">
      <c r="A242" s="42"/>
      <c r="B242" s="15" t="s">
        <v>111</v>
      </c>
      <c r="C242" s="57" t="s">
        <v>48</v>
      </c>
      <c r="D242" s="8" t="s">
        <v>112</v>
      </c>
      <c r="E242" s="85">
        <f t="shared" si="30"/>
        <v>36747000</v>
      </c>
      <c r="F242" s="2">
        <f>F243</f>
        <v>36747000</v>
      </c>
      <c r="G242" s="2"/>
      <c r="H242" s="2"/>
      <c r="I242" s="2"/>
      <c r="J242" s="81">
        <f t="shared" si="28"/>
        <v>0</v>
      </c>
      <c r="K242" s="2"/>
      <c r="L242" s="2"/>
      <c r="M242" s="2"/>
      <c r="N242" s="2"/>
      <c r="O242" s="2"/>
      <c r="P242" s="86">
        <f t="shared" si="29"/>
        <v>36747000</v>
      </c>
    </row>
    <row r="243" spans="1:16" s="39" customFormat="1" ht="105">
      <c r="A243" s="42"/>
      <c r="B243" s="15"/>
      <c r="C243" s="57"/>
      <c r="D243" s="45" t="s">
        <v>262</v>
      </c>
      <c r="E243" s="85">
        <f t="shared" si="30"/>
        <v>36747000</v>
      </c>
      <c r="F243" s="2">
        <f>39346000-2344000-285000+30000</f>
        <v>36747000</v>
      </c>
      <c r="G243" s="2"/>
      <c r="H243" s="2"/>
      <c r="I243" s="2"/>
      <c r="J243" s="81">
        <f t="shared" si="28"/>
        <v>0</v>
      </c>
      <c r="K243" s="2"/>
      <c r="L243" s="2"/>
      <c r="M243" s="2"/>
      <c r="N243" s="2"/>
      <c r="O243" s="2"/>
      <c r="P243" s="86">
        <f t="shared" si="29"/>
        <v>36747000</v>
      </c>
    </row>
    <row r="244" spans="1:16" s="39" customFormat="1" ht="30">
      <c r="A244" s="42"/>
      <c r="B244" s="15" t="s">
        <v>113</v>
      </c>
      <c r="C244" s="57" t="s">
        <v>48</v>
      </c>
      <c r="D244" s="8" t="s">
        <v>114</v>
      </c>
      <c r="E244" s="85">
        <f t="shared" si="30"/>
        <v>3475200</v>
      </c>
      <c r="F244" s="2">
        <f>F245</f>
        <v>3475200</v>
      </c>
      <c r="G244" s="2"/>
      <c r="H244" s="2"/>
      <c r="I244" s="2"/>
      <c r="J244" s="81">
        <f t="shared" si="28"/>
        <v>0</v>
      </c>
      <c r="K244" s="2"/>
      <c r="L244" s="2"/>
      <c r="M244" s="2"/>
      <c r="N244" s="2"/>
      <c r="O244" s="2"/>
      <c r="P244" s="86">
        <f t="shared" si="29"/>
        <v>3475200</v>
      </c>
    </row>
    <row r="245" spans="1:16" s="39" customFormat="1" ht="105">
      <c r="A245" s="42"/>
      <c r="B245" s="15"/>
      <c r="C245" s="57"/>
      <c r="D245" s="45" t="s">
        <v>262</v>
      </c>
      <c r="E245" s="85">
        <f t="shared" si="30"/>
        <v>3475200</v>
      </c>
      <c r="F245" s="2">
        <f>3300200+175000</f>
        <v>3475200</v>
      </c>
      <c r="G245" s="2"/>
      <c r="H245" s="2"/>
      <c r="I245" s="2"/>
      <c r="J245" s="81">
        <f t="shared" si="28"/>
        <v>0</v>
      </c>
      <c r="K245" s="2"/>
      <c r="L245" s="2"/>
      <c r="M245" s="2"/>
      <c r="N245" s="2"/>
      <c r="O245" s="2"/>
      <c r="P245" s="86">
        <f t="shared" si="29"/>
        <v>3475200</v>
      </c>
    </row>
    <row r="246" spans="1:16" s="39" customFormat="1" ht="15">
      <c r="A246" s="42"/>
      <c r="B246" s="15" t="s">
        <v>115</v>
      </c>
      <c r="C246" s="57" t="s">
        <v>48</v>
      </c>
      <c r="D246" s="8" t="s">
        <v>116</v>
      </c>
      <c r="E246" s="85">
        <f t="shared" si="30"/>
        <v>10256000</v>
      </c>
      <c r="F246" s="2">
        <f>F247</f>
        <v>10256000</v>
      </c>
      <c r="G246" s="2"/>
      <c r="H246" s="2"/>
      <c r="I246" s="2"/>
      <c r="J246" s="81">
        <f t="shared" si="28"/>
        <v>0</v>
      </c>
      <c r="K246" s="2"/>
      <c r="L246" s="2"/>
      <c r="M246" s="2"/>
      <c r="N246" s="2"/>
      <c r="O246" s="2"/>
      <c r="P246" s="86">
        <f t="shared" si="29"/>
        <v>10256000</v>
      </c>
    </row>
    <row r="247" spans="1:16" s="39" customFormat="1" ht="105">
      <c r="A247" s="42"/>
      <c r="B247" s="15"/>
      <c r="C247" s="57"/>
      <c r="D247" s="45" t="s">
        <v>262</v>
      </c>
      <c r="E247" s="85">
        <f t="shared" si="30"/>
        <v>10256000</v>
      </c>
      <c r="F247" s="2">
        <f>10156000+100000</f>
        <v>10256000</v>
      </c>
      <c r="G247" s="2"/>
      <c r="H247" s="2"/>
      <c r="I247" s="2"/>
      <c r="J247" s="81">
        <f t="shared" si="28"/>
        <v>0</v>
      </c>
      <c r="K247" s="2"/>
      <c r="L247" s="2"/>
      <c r="M247" s="2"/>
      <c r="N247" s="2"/>
      <c r="O247" s="2"/>
      <c r="P247" s="86">
        <f t="shared" si="29"/>
        <v>10256000</v>
      </c>
    </row>
    <row r="248" spans="1:16" s="39" customFormat="1" ht="15">
      <c r="A248" s="42"/>
      <c r="B248" s="15" t="s">
        <v>117</v>
      </c>
      <c r="C248" s="57" t="s">
        <v>48</v>
      </c>
      <c r="D248" s="8" t="s">
        <v>118</v>
      </c>
      <c r="E248" s="85">
        <f t="shared" si="30"/>
        <v>1711840</v>
      </c>
      <c r="F248" s="2">
        <f>F249</f>
        <v>1711840</v>
      </c>
      <c r="G248" s="2"/>
      <c r="H248" s="2"/>
      <c r="I248" s="2"/>
      <c r="J248" s="81">
        <f t="shared" si="28"/>
        <v>0</v>
      </c>
      <c r="K248" s="2"/>
      <c r="L248" s="2"/>
      <c r="M248" s="2"/>
      <c r="N248" s="2"/>
      <c r="O248" s="2"/>
      <c r="P248" s="86">
        <f t="shared" si="29"/>
        <v>1711840</v>
      </c>
    </row>
    <row r="249" spans="1:16" s="39" customFormat="1" ht="105">
      <c r="A249" s="42"/>
      <c r="B249" s="15"/>
      <c r="C249" s="57"/>
      <c r="D249" s="45" t="s">
        <v>262</v>
      </c>
      <c r="E249" s="85">
        <f t="shared" si="30"/>
        <v>1711840</v>
      </c>
      <c r="F249" s="2">
        <f>1722340-10500</f>
        <v>1711840</v>
      </c>
      <c r="G249" s="2"/>
      <c r="H249" s="2"/>
      <c r="I249" s="2"/>
      <c r="J249" s="81">
        <f t="shared" si="28"/>
        <v>0</v>
      </c>
      <c r="K249" s="2"/>
      <c r="L249" s="2"/>
      <c r="M249" s="2"/>
      <c r="N249" s="2"/>
      <c r="O249" s="2"/>
      <c r="P249" s="86">
        <f t="shared" si="29"/>
        <v>1711840</v>
      </c>
    </row>
    <row r="250" spans="1:16" s="39" customFormat="1" ht="15">
      <c r="A250" s="42"/>
      <c r="B250" s="15" t="s">
        <v>119</v>
      </c>
      <c r="C250" s="57" t="s">
        <v>48</v>
      </c>
      <c r="D250" s="8" t="s">
        <v>120</v>
      </c>
      <c r="E250" s="85">
        <f t="shared" si="30"/>
        <v>61000</v>
      </c>
      <c r="F250" s="2">
        <f>F251</f>
        <v>61000</v>
      </c>
      <c r="G250" s="2"/>
      <c r="H250" s="2"/>
      <c r="I250" s="2"/>
      <c r="J250" s="81">
        <f t="shared" si="28"/>
        <v>0</v>
      </c>
      <c r="K250" s="2"/>
      <c r="L250" s="2"/>
      <c r="M250" s="2"/>
      <c r="N250" s="2"/>
      <c r="O250" s="2"/>
      <c r="P250" s="86">
        <f t="shared" si="29"/>
        <v>61000</v>
      </c>
    </row>
    <row r="251" spans="1:16" s="39" customFormat="1" ht="105">
      <c r="A251" s="42"/>
      <c r="B251" s="15"/>
      <c r="C251" s="57"/>
      <c r="D251" s="45" t="s">
        <v>262</v>
      </c>
      <c r="E251" s="85">
        <f t="shared" si="30"/>
        <v>61000</v>
      </c>
      <c r="F251" s="2">
        <f>50500+10500</f>
        <v>61000</v>
      </c>
      <c r="G251" s="2"/>
      <c r="H251" s="2"/>
      <c r="I251" s="2"/>
      <c r="J251" s="81">
        <f t="shared" si="28"/>
        <v>0</v>
      </c>
      <c r="K251" s="2"/>
      <c r="L251" s="2"/>
      <c r="M251" s="2"/>
      <c r="N251" s="2"/>
      <c r="O251" s="2"/>
      <c r="P251" s="86">
        <f t="shared" si="29"/>
        <v>61000</v>
      </c>
    </row>
    <row r="252" spans="1:16" s="39" customFormat="1" ht="30">
      <c r="A252" s="42"/>
      <c r="B252" s="15" t="s">
        <v>121</v>
      </c>
      <c r="C252" s="57" t="s">
        <v>48</v>
      </c>
      <c r="D252" s="8" t="s">
        <v>122</v>
      </c>
      <c r="E252" s="85">
        <f t="shared" si="30"/>
        <v>13031500</v>
      </c>
      <c r="F252" s="2">
        <f>F253</f>
        <v>13031500</v>
      </c>
      <c r="G252" s="2"/>
      <c r="H252" s="2"/>
      <c r="I252" s="2"/>
      <c r="J252" s="81">
        <f t="shared" si="28"/>
        <v>0</v>
      </c>
      <c r="K252" s="2"/>
      <c r="L252" s="2"/>
      <c r="M252" s="2"/>
      <c r="N252" s="2"/>
      <c r="O252" s="2"/>
      <c r="P252" s="86">
        <f t="shared" si="29"/>
        <v>13031500</v>
      </c>
    </row>
    <row r="253" spans="1:16" s="39" customFormat="1" ht="105">
      <c r="A253" s="42"/>
      <c r="B253" s="15"/>
      <c r="C253" s="57"/>
      <c r="D253" s="45" t="s">
        <v>262</v>
      </c>
      <c r="E253" s="85">
        <f t="shared" si="30"/>
        <v>13031500</v>
      </c>
      <c r="F253" s="2">
        <f>14109000-1077500</f>
        <v>13031500</v>
      </c>
      <c r="G253" s="2"/>
      <c r="H253" s="2"/>
      <c r="I253" s="2"/>
      <c r="J253" s="81">
        <f t="shared" si="28"/>
        <v>0</v>
      </c>
      <c r="K253" s="2"/>
      <c r="L253" s="2"/>
      <c r="M253" s="2"/>
      <c r="N253" s="2"/>
      <c r="O253" s="2"/>
      <c r="P253" s="86">
        <f t="shared" si="29"/>
        <v>13031500</v>
      </c>
    </row>
    <row r="254" spans="1:16" s="39" customFormat="1" ht="30">
      <c r="A254" s="42"/>
      <c r="B254" s="15" t="s">
        <v>124</v>
      </c>
      <c r="C254" s="57" t="s">
        <v>123</v>
      </c>
      <c r="D254" s="8" t="s">
        <v>125</v>
      </c>
      <c r="E254" s="85">
        <f t="shared" si="30"/>
        <v>57403000</v>
      </c>
      <c r="F254" s="2">
        <f>F255</f>
        <v>57403000</v>
      </c>
      <c r="G254" s="2"/>
      <c r="H254" s="2"/>
      <c r="I254" s="2"/>
      <c r="J254" s="81">
        <f t="shared" si="28"/>
        <v>0</v>
      </c>
      <c r="K254" s="2"/>
      <c r="L254" s="2"/>
      <c r="M254" s="2"/>
      <c r="N254" s="2"/>
      <c r="O254" s="2"/>
      <c r="P254" s="86">
        <f t="shared" si="29"/>
        <v>57403000</v>
      </c>
    </row>
    <row r="255" spans="1:16" s="39" customFormat="1" ht="135">
      <c r="A255" s="42"/>
      <c r="B255" s="15"/>
      <c r="C255" s="57"/>
      <c r="D255" s="45" t="s">
        <v>264</v>
      </c>
      <c r="E255" s="85">
        <f t="shared" si="30"/>
        <v>57403000</v>
      </c>
      <c r="F255" s="2">
        <f>53000000-18234500+6300000-162500+16500000</f>
        <v>57403000</v>
      </c>
      <c r="G255" s="2"/>
      <c r="H255" s="2"/>
      <c r="I255" s="2"/>
      <c r="J255" s="81">
        <f t="shared" si="28"/>
        <v>0</v>
      </c>
      <c r="K255" s="2"/>
      <c r="L255" s="2"/>
      <c r="M255" s="2"/>
      <c r="N255" s="2"/>
      <c r="O255" s="2"/>
      <c r="P255" s="86">
        <f t="shared" si="29"/>
        <v>57403000</v>
      </c>
    </row>
    <row r="256" spans="1:16" s="39" customFormat="1" ht="45">
      <c r="A256" s="42"/>
      <c r="B256" s="15" t="s">
        <v>126</v>
      </c>
      <c r="C256" s="57" t="s">
        <v>123</v>
      </c>
      <c r="D256" s="8" t="s">
        <v>127</v>
      </c>
      <c r="E256" s="85">
        <f t="shared" si="30"/>
        <v>28737.260000000002</v>
      </c>
      <c r="F256" s="2">
        <f>F257</f>
        <v>28737.260000000002</v>
      </c>
      <c r="G256" s="2"/>
      <c r="H256" s="2"/>
      <c r="I256" s="2"/>
      <c r="J256" s="81">
        <f t="shared" si="28"/>
        <v>0</v>
      </c>
      <c r="K256" s="2"/>
      <c r="L256" s="2"/>
      <c r="M256" s="2"/>
      <c r="N256" s="2"/>
      <c r="O256" s="2"/>
      <c r="P256" s="86">
        <f t="shared" si="29"/>
        <v>28737.260000000002</v>
      </c>
    </row>
    <row r="257" spans="1:16" s="39" customFormat="1" ht="74.25" customHeight="1">
      <c r="A257" s="42"/>
      <c r="B257" s="15"/>
      <c r="C257" s="57"/>
      <c r="D257" s="45" t="s">
        <v>266</v>
      </c>
      <c r="E257" s="85">
        <f t="shared" si="30"/>
        <v>28737.260000000002</v>
      </c>
      <c r="F257" s="2">
        <f>9400+6200+13137.26</f>
        <v>28737.260000000002</v>
      </c>
      <c r="G257" s="2"/>
      <c r="H257" s="2"/>
      <c r="I257" s="2"/>
      <c r="J257" s="81">
        <f t="shared" si="28"/>
        <v>0</v>
      </c>
      <c r="K257" s="2"/>
      <c r="L257" s="2"/>
      <c r="M257" s="2"/>
      <c r="N257" s="2"/>
      <c r="O257" s="2"/>
      <c r="P257" s="86">
        <f t="shared" si="29"/>
        <v>28737.260000000002</v>
      </c>
    </row>
    <row r="258" spans="1:16" s="39" customFormat="1" ht="17.25" customHeight="1" hidden="1">
      <c r="A258" s="42"/>
      <c r="B258" s="15" t="s">
        <v>128</v>
      </c>
      <c r="C258" s="57" t="s">
        <v>123</v>
      </c>
      <c r="D258" s="8" t="s">
        <v>129</v>
      </c>
      <c r="E258" s="85">
        <f t="shared" si="30"/>
        <v>0</v>
      </c>
      <c r="F258" s="2">
        <f>F259</f>
        <v>0</v>
      </c>
      <c r="G258" s="2"/>
      <c r="H258" s="2"/>
      <c r="I258" s="2"/>
      <c r="J258" s="81">
        <f t="shared" si="28"/>
        <v>0</v>
      </c>
      <c r="K258" s="2"/>
      <c r="L258" s="2"/>
      <c r="M258" s="2"/>
      <c r="N258" s="2"/>
      <c r="O258" s="2"/>
      <c r="P258" s="86">
        <f t="shared" si="29"/>
        <v>0</v>
      </c>
    </row>
    <row r="259" spans="1:16" s="39" customFormat="1" ht="23.25" customHeight="1" hidden="1">
      <c r="A259" s="42"/>
      <c r="B259" s="15"/>
      <c r="C259" s="57"/>
      <c r="D259" s="45" t="s">
        <v>264</v>
      </c>
      <c r="E259" s="85">
        <f t="shared" si="30"/>
        <v>0</v>
      </c>
      <c r="F259" s="2">
        <v>0</v>
      </c>
      <c r="G259" s="2"/>
      <c r="H259" s="2"/>
      <c r="I259" s="2"/>
      <c r="J259" s="81">
        <f t="shared" si="28"/>
        <v>0</v>
      </c>
      <c r="K259" s="2"/>
      <c r="L259" s="2"/>
      <c r="M259" s="2"/>
      <c r="N259" s="2"/>
      <c r="O259" s="2"/>
      <c r="P259" s="86">
        <f t="shared" si="29"/>
        <v>0</v>
      </c>
    </row>
    <row r="260" spans="1:16" s="39" customFormat="1" ht="18" customHeight="1" hidden="1">
      <c r="A260" s="42"/>
      <c r="B260" s="15" t="s">
        <v>131</v>
      </c>
      <c r="C260" s="57" t="s">
        <v>130</v>
      </c>
      <c r="D260" s="8" t="s">
        <v>132</v>
      </c>
      <c r="E260" s="85">
        <f t="shared" si="30"/>
        <v>0</v>
      </c>
      <c r="F260" s="2"/>
      <c r="G260" s="2"/>
      <c r="H260" s="2"/>
      <c r="I260" s="2"/>
      <c r="J260" s="81">
        <f t="shared" si="28"/>
        <v>0</v>
      </c>
      <c r="K260" s="2"/>
      <c r="L260" s="2"/>
      <c r="M260" s="2"/>
      <c r="N260" s="2"/>
      <c r="O260" s="2"/>
      <c r="P260" s="86">
        <f t="shared" si="29"/>
        <v>0</v>
      </c>
    </row>
    <row r="261" spans="1:16" s="39" customFormat="1" ht="30" customHeight="1" hidden="1">
      <c r="A261" s="42"/>
      <c r="B261" s="15"/>
      <c r="C261" s="57"/>
      <c r="D261" s="8" t="s">
        <v>279</v>
      </c>
      <c r="E261" s="85">
        <f t="shared" si="30"/>
        <v>0</v>
      </c>
      <c r="F261" s="2"/>
      <c r="G261" s="2"/>
      <c r="H261" s="2"/>
      <c r="I261" s="2"/>
      <c r="J261" s="81">
        <f t="shared" si="28"/>
        <v>0</v>
      </c>
      <c r="K261" s="2"/>
      <c r="L261" s="2"/>
      <c r="M261" s="2"/>
      <c r="N261" s="2"/>
      <c r="O261" s="2"/>
      <c r="P261" s="86">
        <f t="shared" si="29"/>
        <v>0</v>
      </c>
    </row>
    <row r="262" spans="1:16" s="39" customFormat="1" ht="30">
      <c r="A262" s="42"/>
      <c r="B262" s="15" t="s">
        <v>134</v>
      </c>
      <c r="C262" s="57" t="s">
        <v>133</v>
      </c>
      <c r="D262" s="8" t="s">
        <v>135</v>
      </c>
      <c r="E262" s="85">
        <f t="shared" si="30"/>
        <v>2827500</v>
      </c>
      <c r="F262" s="2">
        <f>F263</f>
        <v>2827500</v>
      </c>
      <c r="G262" s="2"/>
      <c r="H262" s="2"/>
      <c r="I262" s="2"/>
      <c r="J262" s="81">
        <f t="shared" si="28"/>
        <v>0</v>
      </c>
      <c r="K262" s="2"/>
      <c r="L262" s="2"/>
      <c r="M262" s="2"/>
      <c r="N262" s="2"/>
      <c r="O262" s="2"/>
      <c r="P262" s="86">
        <f t="shared" si="29"/>
        <v>2827500</v>
      </c>
    </row>
    <row r="263" spans="1:16" s="39" customFormat="1" ht="103.5" customHeight="1">
      <c r="A263" s="42"/>
      <c r="B263" s="15"/>
      <c r="C263" s="57"/>
      <c r="D263" s="45" t="s">
        <v>262</v>
      </c>
      <c r="E263" s="85">
        <f t="shared" si="30"/>
        <v>2827500</v>
      </c>
      <c r="F263" s="2">
        <v>2827500</v>
      </c>
      <c r="G263" s="2"/>
      <c r="H263" s="2"/>
      <c r="I263" s="2"/>
      <c r="J263" s="81">
        <f t="shared" si="28"/>
        <v>0</v>
      </c>
      <c r="K263" s="2"/>
      <c r="L263" s="2"/>
      <c r="M263" s="2"/>
      <c r="N263" s="2"/>
      <c r="O263" s="2"/>
      <c r="P263" s="86">
        <f t="shared" si="29"/>
        <v>2827500</v>
      </c>
    </row>
    <row r="264" spans="1:16" s="39" customFormat="1" ht="0.75" customHeight="1" hidden="1">
      <c r="A264" s="42"/>
      <c r="B264" s="15" t="s">
        <v>136</v>
      </c>
      <c r="C264" s="57" t="s">
        <v>123</v>
      </c>
      <c r="D264" s="8" t="s">
        <v>137</v>
      </c>
      <c r="E264" s="85">
        <f t="shared" si="30"/>
        <v>0</v>
      </c>
      <c r="F264" s="2">
        <f>F265</f>
        <v>0</v>
      </c>
      <c r="G264" s="2"/>
      <c r="H264" s="2"/>
      <c r="I264" s="2"/>
      <c r="J264" s="81">
        <f t="shared" si="28"/>
        <v>0</v>
      </c>
      <c r="K264" s="2"/>
      <c r="L264" s="2"/>
      <c r="M264" s="2"/>
      <c r="N264" s="2"/>
      <c r="O264" s="2"/>
      <c r="P264" s="86">
        <f t="shared" si="29"/>
        <v>0</v>
      </c>
    </row>
    <row r="265" spans="1:16" s="39" customFormat="1" ht="36.75" customHeight="1" hidden="1">
      <c r="A265" s="42"/>
      <c r="B265" s="15"/>
      <c r="C265" s="57"/>
      <c r="D265" s="45" t="s">
        <v>266</v>
      </c>
      <c r="E265" s="85">
        <f t="shared" si="30"/>
        <v>0</v>
      </c>
      <c r="F265" s="2">
        <v>0</v>
      </c>
      <c r="G265" s="2"/>
      <c r="H265" s="2"/>
      <c r="I265" s="2"/>
      <c r="J265" s="81">
        <f t="shared" si="28"/>
        <v>0</v>
      </c>
      <c r="K265" s="2"/>
      <c r="L265" s="2"/>
      <c r="M265" s="2"/>
      <c r="N265" s="2"/>
      <c r="O265" s="2"/>
      <c r="P265" s="86">
        <f t="shared" si="29"/>
        <v>0</v>
      </c>
    </row>
    <row r="266" spans="1:16" s="39" customFormat="1" ht="90">
      <c r="A266" s="42"/>
      <c r="B266" s="15" t="s">
        <v>138</v>
      </c>
      <c r="C266" s="57" t="s">
        <v>133</v>
      </c>
      <c r="D266" s="8" t="s">
        <v>139</v>
      </c>
      <c r="E266" s="85">
        <f t="shared" si="30"/>
        <v>377260</v>
      </c>
      <c r="F266" s="2">
        <v>377260</v>
      </c>
      <c r="G266" s="2"/>
      <c r="H266" s="2"/>
      <c r="I266" s="2"/>
      <c r="J266" s="81">
        <f t="shared" si="28"/>
        <v>0</v>
      </c>
      <c r="K266" s="2"/>
      <c r="L266" s="2"/>
      <c r="M266" s="2"/>
      <c r="N266" s="2"/>
      <c r="O266" s="2"/>
      <c r="P266" s="86">
        <f t="shared" si="29"/>
        <v>377260</v>
      </c>
    </row>
    <row r="267" spans="1:16" s="39" customFormat="1" ht="87.75" customHeight="1">
      <c r="A267" s="42"/>
      <c r="B267" s="15" t="s">
        <v>140</v>
      </c>
      <c r="C267" s="57" t="s">
        <v>123</v>
      </c>
      <c r="D267" s="8" t="s">
        <v>141</v>
      </c>
      <c r="E267" s="85">
        <f t="shared" si="30"/>
        <v>1271355</v>
      </c>
      <c r="F267" s="2">
        <f>1271100+255</f>
        <v>1271355</v>
      </c>
      <c r="G267" s="2"/>
      <c r="H267" s="2"/>
      <c r="I267" s="2"/>
      <c r="J267" s="81">
        <f t="shared" si="28"/>
        <v>0</v>
      </c>
      <c r="K267" s="2"/>
      <c r="L267" s="2"/>
      <c r="M267" s="2"/>
      <c r="N267" s="2"/>
      <c r="O267" s="2"/>
      <c r="P267" s="86">
        <f t="shared" si="29"/>
        <v>1271355</v>
      </c>
    </row>
    <row r="268" spans="1:16" s="39" customFormat="1" ht="1.5" customHeight="1" hidden="1">
      <c r="A268" s="42"/>
      <c r="B268" s="15" t="s">
        <v>142</v>
      </c>
      <c r="C268" s="57" t="s">
        <v>86</v>
      </c>
      <c r="D268" s="8" t="s">
        <v>143</v>
      </c>
      <c r="E268" s="85">
        <f t="shared" si="30"/>
        <v>0</v>
      </c>
      <c r="F268" s="2"/>
      <c r="G268" s="2"/>
      <c r="H268" s="2"/>
      <c r="I268" s="2"/>
      <c r="J268" s="81">
        <f t="shared" si="28"/>
        <v>0</v>
      </c>
      <c r="K268" s="2"/>
      <c r="L268" s="2"/>
      <c r="M268" s="2"/>
      <c r="N268" s="2"/>
      <c r="O268" s="2"/>
      <c r="P268" s="86">
        <f t="shared" si="29"/>
        <v>0</v>
      </c>
    </row>
    <row r="269" spans="1:16" s="39" customFormat="1" ht="27" customHeight="1" hidden="1">
      <c r="A269" s="42"/>
      <c r="B269" s="15" t="s">
        <v>144</v>
      </c>
      <c r="C269" s="57" t="s">
        <v>130</v>
      </c>
      <c r="D269" s="8" t="s">
        <v>145</v>
      </c>
      <c r="E269" s="85">
        <f t="shared" si="30"/>
        <v>0</v>
      </c>
      <c r="F269" s="2">
        <v>0</v>
      </c>
      <c r="G269" s="2">
        <v>0</v>
      </c>
      <c r="H269" s="2">
        <v>0</v>
      </c>
      <c r="I269" s="2"/>
      <c r="J269" s="81">
        <f t="shared" si="28"/>
        <v>0</v>
      </c>
      <c r="K269" s="2"/>
      <c r="L269" s="2"/>
      <c r="M269" s="2"/>
      <c r="N269" s="2"/>
      <c r="O269" s="2"/>
      <c r="P269" s="86">
        <f t="shared" si="29"/>
        <v>0</v>
      </c>
    </row>
    <row r="270" spans="1:16" s="39" customFormat="1" ht="30">
      <c r="A270" s="42"/>
      <c r="B270" s="15" t="s">
        <v>146</v>
      </c>
      <c r="C270" s="57" t="s">
        <v>133</v>
      </c>
      <c r="D270" s="8" t="s">
        <v>147</v>
      </c>
      <c r="E270" s="85">
        <f t="shared" si="30"/>
        <v>9729740</v>
      </c>
      <c r="F270" s="2">
        <f>F271</f>
        <v>9729740</v>
      </c>
      <c r="G270" s="2"/>
      <c r="H270" s="2"/>
      <c r="I270" s="2"/>
      <c r="J270" s="81">
        <f t="shared" si="28"/>
        <v>0</v>
      </c>
      <c r="K270" s="2"/>
      <c r="L270" s="2"/>
      <c r="M270" s="2"/>
      <c r="N270" s="2"/>
      <c r="O270" s="2"/>
      <c r="P270" s="86">
        <f t="shared" si="29"/>
        <v>9729740</v>
      </c>
    </row>
    <row r="271" spans="1:16" s="39" customFormat="1" ht="105">
      <c r="A271" s="42"/>
      <c r="B271" s="15"/>
      <c r="C271" s="57"/>
      <c r="D271" s="45" t="s">
        <v>262</v>
      </c>
      <c r="E271" s="85">
        <f t="shared" si="30"/>
        <v>9729740</v>
      </c>
      <c r="F271" s="2">
        <f>9707800-98500+70000+50440</f>
        <v>9729740</v>
      </c>
      <c r="G271" s="2"/>
      <c r="H271" s="2"/>
      <c r="I271" s="2"/>
      <c r="J271" s="81">
        <f t="shared" si="28"/>
        <v>0</v>
      </c>
      <c r="K271" s="2"/>
      <c r="L271" s="2"/>
      <c r="M271" s="2"/>
      <c r="N271" s="2"/>
      <c r="O271" s="2"/>
      <c r="P271" s="86">
        <f t="shared" si="29"/>
        <v>9729740</v>
      </c>
    </row>
    <row r="272" spans="1:16" s="47" customFormat="1" ht="21.75" customHeight="1">
      <c r="A272" s="42"/>
      <c r="B272" s="42" t="s">
        <v>131</v>
      </c>
      <c r="C272" s="40">
        <v>1090</v>
      </c>
      <c r="D272" s="45" t="s">
        <v>132</v>
      </c>
      <c r="E272" s="86">
        <f>SUM(F272,I272)</f>
        <v>16240</v>
      </c>
      <c r="F272" s="94">
        <v>16240</v>
      </c>
      <c r="G272" s="94"/>
      <c r="H272" s="94"/>
      <c r="I272" s="94"/>
      <c r="J272" s="86">
        <f>SUM(K272,N272)</f>
        <v>0</v>
      </c>
      <c r="K272" s="94"/>
      <c r="L272" s="94"/>
      <c r="M272" s="94"/>
      <c r="N272" s="94"/>
      <c r="O272" s="94"/>
      <c r="P272" s="86">
        <f t="shared" si="29"/>
        <v>16240</v>
      </c>
    </row>
    <row r="273" spans="1:16" s="47" customFormat="1" ht="30">
      <c r="A273" s="42"/>
      <c r="B273" s="42" t="s">
        <v>142</v>
      </c>
      <c r="C273" s="40">
        <v>1030</v>
      </c>
      <c r="D273" s="45" t="s">
        <v>307</v>
      </c>
      <c r="E273" s="86">
        <f>SUM(F273,I273)</f>
        <v>50000</v>
      </c>
      <c r="F273" s="94">
        <f>13540+36460</f>
        <v>50000</v>
      </c>
      <c r="G273" s="94"/>
      <c r="H273" s="94"/>
      <c r="I273" s="94"/>
      <c r="J273" s="86">
        <f>SUM(K273,N273)</f>
        <v>0</v>
      </c>
      <c r="K273" s="94"/>
      <c r="L273" s="94"/>
      <c r="M273" s="94"/>
      <c r="N273" s="94"/>
      <c r="O273" s="94"/>
      <c r="P273" s="86">
        <f t="shared" si="29"/>
        <v>50000</v>
      </c>
    </row>
    <row r="274" spans="1:16" s="47" customFormat="1" ht="29.25" customHeight="1">
      <c r="A274" s="42"/>
      <c r="B274" s="40" t="s">
        <v>308</v>
      </c>
      <c r="C274" s="40" t="s">
        <v>309</v>
      </c>
      <c r="D274" s="45" t="s">
        <v>310</v>
      </c>
      <c r="E274" s="86">
        <f>SUM(F274,I274)</f>
        <v>4299464</v>
      </c>
      <c r="F274" s="94">
        <f>4666870-425520+50000+1000+1500+5614</f>
        <v>4299464</v>
      </c>
      <c r="G274" s="94">
        <v>2975670</v>
      </c>
      <c r="H274" s="94">
        <v>391000</v>
      </c>
      <c r="I274" s="94"/>
      <c r="J274" s="86">
        <f>SUM(K274,N274)</f>
        <v>41199</v>
      </c>
      <c r="K274" s="94">
        <v>34000</v>
      </c>
      <c r="L274" s="94">
        <v>24200</v>
      </c>
      <c r="M274" s="94"/>
      <c r="N274" s="94">
        <v>7199</v>
      </c>
      <c r="O274" s="94">
        <v>7199</v>
      </c>
      <c r="P274" s="86">
        <f t="shared" si="29"/>
        <v>4340663</v>
      </c>
    </row>
    <row r="275" spans="1:16" s="60" customFormat="1" ht="19.5" customHeight="1" hidden="1">
      <c r="A275" s="42"/>
      <c r="B275" s="51">
        <v>250404</v>
      </c>
      <c r="C275" s="59" t="s">
        <v>185</v>
      </c>
      <c r="D275" s="2" t="s">
        <v>56</v>
      </c>
      <c r="E275" s="81">
        <f>F275</f>
        <v>0</v>
      </c>
      <c r="F275" s="2"/>
      <c r="G275" s="2"/>
      <c r="H275" s="2"/>
      <c r="I275" s="2"/>
      <c r="J275" s="81">
        <f>K275+N275</f>
        <v>0</v>
      </c>
      <c r="K275" s="2"/>
      <c r="L275" s="2"/>
      <c r="M275" s="2"/>
      <c r="N275" s="2"/>
      <c r="O275" s="2"/>
      <c r="P275" s="86">
        <f t="shared" si="29"/>
        <v>0</v>
      </c>
    </row>
    <row r="276" spans="1:16" s="119" customFormat="1" ht="45">
      <c r="A276" s="118" t="s">
        <v>311</v>
      </c>
      <c r="B276" s="32"/>
      <c r="C276" s="34"/>
      <c r="D276" s="35" t="s">
        <v>369</v>
      </c>
      <c r="E276" s="1">
        <f>F276+I276</f>
        <v>148254967.23</v>
      </c>
      <c r="F276" s="1">
        <f>F277+F278+F280+F282+F284+F286+F289+F291+F293+F295+F297+F299+F301+F303+F305+F307+F309+F311+F313+F315+F317+F319+F321+F323+F325+F327+F329+F331+F332+F333+F334+F335+F337+F338+F340+F342</f>
        <v>148254967.23</v>
      </c>
      <c r="G276" s="1">
        <f>G277+G278+G280+G282+G284+G286+G289+G291+G293+G295+G297+G299+G301+G303+G305+G307+G309+G311+G313+G315+G317+G319+G321+G323+G325+G327+G329+G331+G332+G333+G334+G335+G337+G338+G340+G342</f>
        <v>7147523</v>
      </c>
      <c r="H276" s="1">
        <f>H277+H278+H280+H282+H284+H286+H289+H291+H293+H295+H297+H299+H301+H303+H305+H307+H309+H311+H313+H315+H317+H319+H321+H323+H325+H327+H329+H331+H332+H333+H334+H335+H337+H338+H340+H342</f>
        <v>456321</v>
      </c>
      <c r="I276" s="1">
        <f>I277+I278+I280+I282+I284+I286+I289+I291+I293+I295+I297+I299+I301+I303+I305+I307+I309+I311+I313+I315+I317+I319+I321+I323+I325+I327+I329+I331+I332+I333+I334+I335+I337+I338+I340+I342</f>
        <v>0</v>
      </c>
      <c r="J276" s="1">
        <f aca="true" t="shared" si="31" ref="J276:J340">K276+N276</f>
        <v>325099</v>
      </c>
      <c r="K276" s="1">
        <f>K277+K278+K280+K282+K284+K286+K289+K291+K293+K295+K297+K299+K301+K303+K305+K307+K309+K311+K313+K315+K317+K319+K321+K323+K325+K327+K329+K331+K332+K333+K334+K335+K337+K338+K340+K342</f>
        <v>41900</v>
      </c>
      <c r="L276" s="1">
        <f>L277+L278+L280+L282+L284+L286+L289+L291+L293+L295+L297+L299+L301+L303+L305+L307+L309+L311+L313+L315+L317+L319+L321+L323+L325+L327+L329+L331+L332+L333+L334+L335+L337+L338+L340+L342</f>
        <v>26700</v>
      </c>
      <c r="M276" s="1">
        <f>M277+M278+M280+M282+M284+M286+M289+M291+M293+M295+M297+M299+M301+M303+M305+M307+M309+M311+M313+M315+M317+M319+M321+M323+M325+M327+M329+M331+M332+M333+M334+M335+M337+M338+M340+M342</f>
        <v>0</v>
      </c>
      <c r="N276" s="1">
        <f>N277+N278+N280+N282+N284+N286+N289+N291+N293+N295+N297+N299+N301+N303+N305+N307+N309+N311+N313+N315+N317+N319+N321+N323+N325+N327+N329+N331+N332+N333+N334+N335+N337+N338+N340+N342</f>
        <v>283199</v>
      </c>
      <c r="O276" s="1">
        <f>O277+O278+O280+O282+O284+O286+O289+O291+O293+O295+O297+O299+O301+O303+O305+O307+O309+O311+O313+O315+O317+O319+O321+O323+O325+O327+O329+O331+O332+O333+O334+O335+O337+O338+O340+O342</f>
        <v>283199</v>
      </c>
      <c r="P276" s="1">
        <f>E276+J276</f>
        <v>148580066.23</v>
      </c>
    </row>
    <row r="277" spans="1:16" s="49" customFormat="1" ht="15">
      <c r="A277" s="42"/>
      <c r="B277" s="15" t="s">
        <v>18</v>
      </c>
      <c r="C277" s="7" t="s">
        <v>17</v>
      </c>
      <c r="D277" s="8" t="s">
        <v>19</v>
      </c>
      <c r="E277" s="81">
        <f>F277+I277</f>
        <v>5991504</v>
      </c>
      <c r="F277" s="2">
        <f>6368529-624132+385371-138264</f>
        <v>5991504</v>
      </c>
      <c r="G277" s="2">
        <f>4364555+315878-114561</f>
        <v>4565872</v>
      </c>
      <c r="H277" s="2">
        <v>326541</v>
      </c>
      <c r="I277" s="2"/>
      <c r="J277" s="81">
        <f t="shared" si="31"/>
        <v>275000</v>
      </c>
      <c r="K277" s="2"/>
      <c r="L277" s="2"/>
      <c r="M277" s="2"/>
      <c r="N277" s="2">
        <v>275000</v>
      </c>
      <c r="O277" s="2">
        <v>275000</v>
      </c>
      <c r="P277" s="81">
        <f>E277+J277</f>
        <v>6266504</v>
      </c>
    </row>
    <row r="278" spans="1:16" s="61" customFormat="1" ht="30">
      <c r="A278" s="42"/>
      <c r="B278" s="15" t="s">
        <v>84</v>
      </c>
      <c r="C278" s="57" t="s">
        <v>24</v>
      </c>
      <c r="D278" s="8" t="s">
        <v>85</v>
      </c>
      <c r="E278" s="85">
        <f>F278++I278</f>
        <v>1617580</v>
      </c>
      <c r="F278" s="2">
        <f>F279</f>
        <v>1617580</v>
      </c>
      <c r="G278" s="2"/>
      <c r="H278" s="2"/>
      <c r="I278" s="2"/>
      <c r="J278" s="81">
        <f t="shared" si="31"/>
        <v>0</v>
      </c>
      <c r="K278" s="2"/>
      <c r="L278" s="2"/>
      <c r="M278" s="2"/>
      <c r="N278" s="2"/>
      <c r="O278" s="2"/>
      <c r="P278" s="81">
        <f aca="true" t="shared" si="32" ref="P278:P341">E278+J278</f>
        <v>1617580</v>
      </c>
    </row>
    <row r="279" spans="1:16" s="61" customFormat="1" ht="135">
      <c r="A279" s="42"/>
      <c r="B279" s="15"/>
      <c r="C279" s="57"/>
      <c r="D279" s="45" t="s">
        <v>263</v>
      </c>
      <c r="E279" s="85">
        <f>F279++I279</f>
        <v>1617580</v>
      </c>
      <c r="F279" s="2">
        <f>1714080-96500</f>
        <v>1617580</v>
      </c>
      <c r="G279" s="2"/>
      <c r="H279" s="2"/>
      <c r="I279" s="2"/>
      <c r="J279" s="81">
        <f t="shared" si="31"/>
        <v>0</v>
      </c>
      <c r="K279" s="2"/>
      <c r="L279" s="2"/>
      <c r="M279" s="2"/>
      <c r="N279" s="2"/>
      <c r="O279" s="2"/>
      <c r="P279" s="81">
        <f t="shared" si="32"/>
        <v>1617580</v>
      </c>
    </row>
    <row r="280" spans="1:16" s="61" customFormat="1" ht="240">
      <c r="A280" s="42"/>
      <c r="B280" s="15" t="s">
        <v>87</v>
      </c>
      <c r="C280" s="57" t="s">
        <v>86</v>
      </c>
      <c r="D280" s="8" t="s">
        <v>88</v>
      </c>
      <c r="E280" s="85">
        <f aca="true" t="shared" si="33" ref="E280:E336">F280++I280</f>
        <v>7600000</v>
      </c>
      <c r="F280" s="2">
        <f>F281</f>
        <v>7600000</v>
      </c>
      <c r="G280" s="2"/>
      <c r="H280" s="2"/>
      <c r="I280" s="2"/>
      <c r="J280" s="81">
        <f t="shared" si="31"/>
        <v>0</v>
      </c>
      <c r="K280" s="2"/>
      <c r="L280" s="2"/>
      <c r="M280" s="2"/>
      <c r="N280" s="2"/>
      <c r="O280" s="2"/>
      <c r="P280" s="81">
        <f t="shared" si="32"/>
        <v>7600000</v>
      </c>
    </row>
    <row r="281" spans="1:16" s="61" customFormat="1" ht="119.25" customHeight="1">
      <c r="A281" s="42"/>
      <c r="B281" s="15"/>
      <c r="C281" s="57"/>
      <c r="D281" s="45" t="s">
        <v>264</v>
      </c>
      <c r="E281" s="85">
        <f t="shared" si="33"/>
        <v>7600000</v>
      </c>
      <c r="F281" s="2">
        <f>10600000-1000000-2000000</f>
        <v>7600000</v>
      </c>
      <c r="G281" s="2"/>
      <c r="H281" s="2"/>
      <c r="I281" s="2"/>
      <c r="J281" s="81">
        <f t="shared" si="31"/>
        <v>0</v>
      </c>
      <c r="K281" s="2"/>
      <c r="L281" s="2"/>
      <c r="M281" s="2"/>
      <c r="N281" s="2"/>
      <c r="O281" s="2"/>
      <c r="P281" s="81">
        <f t="shared" si="32"/>
        <v>7600000</v>
      </c>
    </row>
    <row r="282" spans="1:16" s="61" customFormat="1" ht="24.75" customHeight="1" hidden="1">
      <c r="A282" s="42"/>
      <c r="B282" s="15" t="s">
        <v>89</v>
      </c>
      <c r="C282" s="57" t="s">
        <v>86</v>
      </c>
      <c r="D282" s="8" t="s">
        <v>90</v>
      </c>
      <c r="E282" s="85">
        <f t="shared" si="33"/>
        <v>0</v>
      </c>
      <c r="F282" s="2">
        <f>F283</f>
        <v>0</v>
      </c>
      <c r="G282" s="2"/>
      <c r="H282" s="2"/>
      <c r="I282" s="2"/>
      <c r="J282" s="81">
        <f t="shared" si="31"/>
        <v>0</v>
      </c>
      <c r="K282" s="2"/>
      <c r="L282" s="2"/>
      <c r="M282" s="2"/>
      <c r="N282" s="2"/>
      <c r="O282" s="2"/>
      <c r="P282" s="81">
        <f t="shared" si="32"/>
        <v>0</v>
      </c>
    </row>
    <row r="283" spans="1:16" s="61" customFormat="1" ht="36.75" customHeight="1" hidden="1">
      <c r="A283" s="42"/>
      <c r="B283" s="15"/>
      <c r="C283" s="57"/>
      <c r="D283" s="45" t="s">
        <v>266</v>
      </c>
      <c r="E283" s="85">
        <f t="shared" si="33"/>
        <v>0</v>
      </c>
      <c r="F283" s="2">
        <v>0</v>
      </c>
      <c r="G283" s="2"/>
      <c r="H283" s="2"/>
      <c r="I283" s="2"/>
      <c r="J283" s="81">
        <f t="shared" si="31"/>
        <v>0</v>
      </c>
      <c r="K283" s="2"/>
      <c r="L283" s="2"/>
      <c r="M283" s="2"/>
      <c r="N283" s="2"/>
      <c r="O283" s="2"/>
      <c r="P283" s="81">
        <f t="shared" si="32"/>
        <v>0</v>
      </c>
    </row>
    <row r="284" spans="1:16" s="61" customFormat="1" ht="0.75" customHeight="1">
      <c r="A284" s="42"/>
      <c r="B284" s="15" t="s">
        <v>91</v>
      </c>
      <c r="C284" s="57" t="s">
        <v>86</v>
      </c>
      <c r="D284" s="8" t="s">
        <v>92</v>
      </c>
      <c r="E284" s="85">
        <f t="shared" si="33"/>
        <v>0</v>
      </c>
      <c r="F284" s="2">
        <f>F285</f>
        <v>0</v>
      </c>
      <c r="G284" s="2"/>
      <c r="H284" s="2"/>
      <c r="I284" s="2"/>
      <c r="J284" s="81">
        <f t="shared" si="31"/>
        <v>0</v>
      </c>
      <c r="K284" s="2"/>
      <c r="L284" s="2"/>
      <c r="M284" s="2"/>
      <c r="N284" s="2">
        <f>N285</f>
        <v>0</v>
      </c>
      <c r="O284" s="2">
        <f>O285</f>
        <v>0</v>
      </c>
      <c r="P284" s="81">
        <f t="shared" si="32"/>
        <v>0</v>
      </c>
    </row>
    <row r="285" spans="1:16" s="61" customFormat="1" ht="0.75" customHeight="1">
      <c r="A285" s="42"/>
      <c r="B285" s="15"/>
      <c r="C285" s="57"/>
      <c r="D285" s="58" t="s">
        <v>265</v>
      </c>
      <c r="E285" s="85">
        <f t="shared" si="33"/>
        <v>0</v>
      </c>
      <c r="F285" s="2">
        <f>56800-56800</f>
        <v>0</v>
      </c>
      <c r="G285" s="2"/>
      <c r="H285" s="2"/>
      <c r="I285" s="2"/>
      <c r="J285" s="81">
        <f t="shared" si="31"/>
        <v>0</v>
      </c>
      <c r="K285" s="2"/>
      <c r="L285" s="2"/>
      <c r="M285" s="2"/>
      <c r="N285" s="2"/>
      <c r="O285" s="2"/>
      <c r="P285" s="81">
        <f t="shared" si="32"/>
        <v>0</v>
      </c>
    </row>
    <row r="286" spans="1:16" s="61" customFormat="1" ht="360">
      <c r="A286" s="42"/>
      <c r="B286" s="15" t="s">
        <v>93</v>
      </c>
      <c r="C286" s="57" t="s">
        <v>86</v>
      </c>
      <c r="D286" s="8" t="s">
        <v>267</v>
      </c>
      <c r="E286" s="85">
        <f t="shared" si="33"/>
        <v>1500000</v>
      </c>
      <c r="F286" s="2">
        <f>F288</f>
        <v>1500000</v>
      </c>
      <c r="G286" s="2"/>
      <c r="H286" s="2"/>
      <c r="I286" s="2"/>
      <c r="J286" s="81">
        <f t="shared" si="31"/>
        <v>0</v>
      </c>
      <c r="K286" s="2"/>
      <c r="L286" s="2"/>
      <c r="M286" s="2"/>
      <c r="N286" s="2"/>
      <c r="O286" s="2"/>
      <c r="P286" s="81">
        <f t="shared" si="32"/>
        <v>1500000</v>
      </c>
    </row>
    <row r="287" spans="1:16" s="61" customFormat="1" ht="345">
      <c r="A287" s="42"/>
      <c r="B287" s="15"/>
      <c r="C287" s="57"/>
      <c r="D287" s="8" t="s">
        <v>268</v>
      </c>
      <c r="E287" s="85"/>
      <c r="F287" s="2"/>
      <c r="G287" s="2"/>
      <c r="H287" s="2"/>
      <c r="I287" s="2"/>
      <c r="J287" s="81"/>
      <c r="K287" s="2"/>
      <c r="L287" s="2"/>
      <c r="M287" s="2"/>
      <c r="N287" s="2"/>
      <c r="O287" s="2"/>
      <c r="P287" s="81"/>
    </row>
    <row r="288" spans="1:16" s="61" customFormat="1" ht="135">
      <c r="A288" s="42"/>
      <c r="B288" s="15"/>
      <c r="C288" s="7"/>
      <c r="D288" s="45" t="s">
        <v>264</v>
      </c>
      <c r="E288" s="81">
        <f t="shared" si="33"/>
        <v>1500000</v>
      </c>
      <c r="F288" s="2">
        <f>3500000-2000000</f>
        <v>1500000</v>
      </c>
      <c r="G288" s="2"/>
      <c r="H288" s="2"/>
      <c r="I288" s="2"/>
      <c r="J288" s="81">
        <f t="shared" si="31"/>
        <v>0</v>
      </c>
      <c r="K288" s="2"/>
      <c r="L288" s="2"/>
      <c r="M288" s="2"/>
      <c r="N288" s="2"/>
      <c r="O288" s="2"/>
      <c r="P288" s="81">
        <f t="shared" si="32"/>
        <v>1500000</v>
      </c>
    </row>
    <row r="289" spans="1:16" s="61" customFormat="1" ht="90">
      <c r="A289" s="42"/>
      <c r="B289" s="15" t="s">
        <v>95</v>
      </c>
      <c r="C289" s="57" t="s">
        <v>94</v>
      </c>
      <c r="D289" s="8" t="s">
        <v>96</v>
      </c>
      <c r="E289" s="85">
        <f t="shared" si="33"/>
        <v>1600000</v>
      </c>
      <c r="F289" s="2">
        <f>F290</f>
        <v>1600000</v>
      </c>
      <c r="G289" s="2"/>
      <c r="H289" s="2"/>
      <c r="I289" s="2"/>
      <c r="J289" s="81">
        <f t="shared" si="31"/>
        <v>0</v>
      </c>
      <c r="K289" s="2"/>
      <c r="L289" s="2"/>
      <c r="M289" s="2"/>
      <c r="N289" s="2"/>
      <c r="O289" s="2"/>
      <c r="P289" s="81">
        <f t="shared" si="32"/>
        <v>1600000</v>
      </c>
    </row>
    <row r="290" spans="1:16" s="61" customFormat="1" ht="117.75" customHeight="1">
      <c r="A290" s="42"/>
      <c r="B290" s="15"/>
      <c r="C290" s="57"/>
      <c r="D290" s="45" t="s">
        <v>264</v>
      </c>
      <c r="E290" s="85">
        <f t="shared" si="33"/>
        <v>1600000</v>
      </c>
      <c r="F290" s="2">
        <f>3800000-200000-2000000</f>
        <v>1600000</v>
      </c>
      <c r="G290" s="2"/>
      <c r="H290" s="2"/>
      <c r="I290" s="2"/>
      <c r="J290" s="81">
        <f t="shared" si="31"/>
        <v>0</v>
      </c>
      <c r="K290" s="2"/>
      <c r="L290" s="2"/>
      <c r="M290" s="2"/>
      <c r="N290" s="2"/>
      <c r="O290" s="2"/>
      <c r="P290" s="81">
        <f t="shared" si="32"/>
        <v>1600000</v>
      </c>
    </row>
    <row r="291" spans="1:16" s="61" customFormat="1" ht="1.5" customHeight="1" hidden="1">
      <c r="A291" s="42"/>
      <c r="B291" s="15" t="s">
        <v>238</v>
      </c>
      <c r="C291" s="57" t="s">
        <v>94</v>
      </c>
      <c r="D291" s="48" t="s">
        <v>239</v>
      </c>
      <c r="E291" s="85">
        <f t="shared" si="33"/>
        <v>0</v>
      </c>
      <c r="F291" s="2">
        <f>F292</f>
        <v>0</v>
      </c>
      <c r="G291" s="2"/>
      <c r="H291" s="2"/>
      <c r="I291" s="2"/>
      <c r="J291" s="81">
        <f t="shared" si="31"/>
        <v>0</v>
      </c>
      <c r="K291" s="2"/>
      <c r="L291" s="2"/>
      <c r="M291" s="2"/>
      <c r="N291" s="2"/>
      <c r="O291" s="2"/>
      <c r="P291" s="81">
        <f t="shared" si="32"/>
        <v>0</v>
      </c>
    </row>
    <row r="292" spans="1:16" s="61" customFormat="1" ht="21.75" customHeight="1" hidden="1">
      <c r="A292" s="42"/>
      <c r="B292" s="15"/>
      <c r="C292" s="57"/>
      <c r="D292" s="45" t="s">
        <v>266</v>
      </c>
      <c r="E292" s="85">
        <f t="shared" si="33"/>
        <v>0</v>
      </c>
      <c r="F292" s="2">
        <v>0</v>
      </c>
      <c r="G292" s="2"/>
      <c r="H292" s="2"/>
      <c r="I292" s="2"/>
      <c r="J292" s="81">
        <f t="shared" si="31"/>
        <v>0</v>
      </c>
      <c r="K292" s="2"/>
      <c r="L292" s="2"/>
      <c r="M292" s="2"/>
      <c r="N292" s="2"/>
      <c r="O292" s="2"/>
      <c r="P292" s="81">
        <f t="shared" si="32"/>
        <v>0</v>
      </c>
    </row>
    <row r="293" spans="1:16" s="61" customFormat="1" ht="90" hidden="1">
      <c r="A293" s="42"/>
      <c r="B293" s="15" t="s">
        <v>97</v>
      </c>
      <c r="C293" s="57" t="s">
        <v>94</v>
      </c>
      <c r="D293" s="8" t="s">
        <v>98</v>
      </c>
      <c r="E293" s="85">
        <f t="shared" si="33"/>
        <v>0</v>
      </c>
      <c r="F293" s="2">
        <f>F294</f>
        <v>0</v>
      </c>
      <c r="G293" s="2"/>
      <c r="H293" s="2"/>
      <c r="I293" s="2"/>
      <c r="J293" s="81">
        <f t="shared" si="31"/>
        <v>0</v>
      </c>
      <c r="K293" s="2"/>
      <c r="L293" s="2"/>
      <c r="M293" s="2"/>
      <c r="N293" s="2"/>
      <c r="O293" s="2"/>
      <c r="P293" s="81">
        <f t="shared" si="32"/>
        <v>0</v>
      </c>
    </row>
    <row r="294" spans="1:16" s="61" customFormat="1" ht="285" hidden="1">
      <c r="A294" s="42"/>
      <c r="B294" s="15"/>
      <c r="C294" s="57"/>
      <c r="D294" s="58" t="s">
        <v>265</v>
      </c>
      <c r="E294" s="85">
        <f t="shared" si="33"/>
        <v>0</v>
      </c>
      <c r="F294" s="2">
        <f>20000-20000</f>
        <v>0</v>
      </c>
      <c r="G294" s="2"/>
      <c r="H294" s="2"/>
      <c r="I294" s="2"/>
      <c r="J294" s="81">
        <f t="shared" si="31"/>
        <v>0</v>
      </c>
      <c r="K294" s="2"/>
      <c r="L294" s="2"/>
      <c r="M294" s="2"/>
      <c r="N294" s="2"/>
      <c r="O294" s="2"/>
      <c r="P294" s="81">
        <f t="shared" si="32"/>
        <v>0</v>
      </c>
    </row>
    <row r="295" spans="1:16" s="61" customFormat="1" ht="0.75" customHeight="1" hidden="1">
      <c r="A295" s="42"/>
      <c r="B295" s="15" t="s">
        <v>99</v>
      </c>
      <c r="C295" s="57" t="s">
        <v>94</v>
      </c>
      <c r="D295" s="8" t="s">
        <v>100</v>
      </c>
      <c r="E295" s="85">
        <f t="shared" si="33"/>
        <v>0</v>
      </c>
      <c r="F295" s="2">
        <f>F296</f>
        <v>0</v>
      </c>
      <c r="G295" s="2"/>
      <c r="H295" s="2"/>
      <c r="I295" s="2"/>
      <c r="J295" s="81">
        <f t="shared" si="31"/>
        <v>0</v>
      </c>
      <c r="K295" s="2"/>
      <c r="L295" s="2"/>
      <c r="M295" s="2"/>
      <c r="N295" s="2"/>
      <c r="O295" s="2"/>
      <c r="P295" s="81">
        <f t="shared" si="32"/>
        <v>0</v>
      </c>
    </row>
    <row r="296" spans="1:16" s="61" customFormat="1" ht="21.75" customHeight="1" hidden="1">
      <c r="A296" s="42"/>
      <c r="B296" s="15"/>
      <c r="C296" s="57"/>
      <c r="D296" s="45" t="s">
        <v>264</v>
      </c>
      <c r="E296" s="85">
        <f t="shared" si="33"/>
        <v>0</v>
      </c>
      <c r="F296" s="2">
        <v>0</v>
      </c>
      <c r="G296" s="2"/>
      <c r="H296" s="2"/>
      <c r="I296" s="2"/>
      <c r="J296" s="81">
        <f t="shared" si="31"/>
        <v>0</v>
      </c>
      <c r="K296" s="2"/>
      <c r="L296" s="2"/>
      <c r="M296" s="2"/>
      <c r="N296" s="2"/>
      <c r="O296" s="2"/>
      <c r="P296" s="81">
        <f t="shared" si="32"/>
        <v>0</v>
      </c>
    </row>
    <row r="297" spans="1:16" s="61" customFormat="1" ht="30" hidden="1">
      <c r="A297" s="42"/>
      <c r="B297" s="15" t="s">
        <v>101</v>
      </c>
      <c r="C297" s="57" t="s">
        <v>94</v>
      </c>
      <c r="D297" s="8" t="s">
        <v>102</v>
      </c>
      <c r="E297" s="85">
        <f t="shared" si="33"/>
        <v>0</v>
      </c>
      <c r="F297" s="2">
        <f>F298</f>
        <v>0</v>
      </c>
      <c r="G297" s="2"/>
      <c r="H297" s="2"/>
      <c r="I297" s="2"/>
      <c r="J297" s="81">
        <f t="shared" si="31"/>
        <v>0</v>
      </c>
      <c r="K297" s="2"/>
      <c r="L297" s="2"/>
      <c r="M297" s="2"/>
      <c r="N297" s="2"/>
      <c r="O297" s="2"/>
      <c r="P297" s="81">
        <f t="shared" si="32"/>
        <v>0</v>
      </c>
    </row>
    <row r="298" spans="1:16" s="61" customFormat="1" ht="285" hidden="1">
      <c r="A298" s="42"/>
      <c r="B298" s="15"/>
      <c r="C298" s="57"/>
      <c r="D298" s="58" t="s">
        <v>265</v>
      </c>
      <c r="E298" s="85">
        <f t="shared" si="33"/>
        <v>0</v>
      </c>
      <c r="F298" s="2">
        <f>360000-360000</f>
        <v>0</v>
      </c>
      <c r="G298" s="2"/>
      <c r="H298" s="2"/>
      <c r="I298" s="2"/>
      <c r="J298" s="81">
        <f t="shared" si="31"/>
        <v>0</v>
      </c>
      <c r="K298" s="2"/>
      <c r="L298" s="2"/>
      <c r="M298" s="2"/>
      <c r="N298" s="2"/>
      <c r="O298" s="2"/>
      <c r="P298" s="81">
        <f t="shared" si="32"/>
        <v>0</v>
      </c>
    </row>
    <row r="299" spans="1:16" s="61" customFormat="1" ht="120">
      <c r="A299" s="42"/>
      <c r="B299" s="15" t="s">
        <v>103</v>
      </c>
      <c r="C299" s="57" t="s">
        <v>94</v>
      </c>
      <c r="D299" s="8" t="s">
        <v>104</v>
      </c>
      <c r="E299" s="85">
        <f t="shared" si="33"/>
        <v>1400000</v>
      </c>
      <c r="F299" s="2">
        <f>F300</f>
        <v>1400000</v>
      </c>
      <c r="G299" s="2"/>
      <c r="H299" s="2"/>
      <c r="I299" s="2"/>
      <c r="J299" s="81">
        <f t="shared" si="31"/>
        <v>0</v>
      </c>
      <c r="K299" s="2"/>
      <c r="L299" s="2"/>
      <c r="M299" s="2"/>
      <c r="N299" s="2"/>
      <c r="O299" s="2"/>
      <c r="P299" s="81">
        <f t="shared" si="32"/>
        <v>1400000</v>
      </c>
    </row>
    <row r="300" spans="1:16" s="61" customFormat="1" ht="135">
      <c r="A300" s="42"/>
      <c r="B300" s="15"/>
      <c r="C300" s="57"/>
      <c r="D300" s="45" t="s">
        <v>264</v>
      </c>
      <c r="E300" s="85">
        <f t="shared" si="33"/>
        <v>1400000</v>
      </c>
      <c r="F300" s="2">
        <f>4200000-300000-2500000</f>
        <v>1400000</v>
      </c>
      <c r="G300" s="2"/>
      <c r="H300" s="2"/>
      <c r="I300" s="2"/>
      <c r="J300" s="81">
        <f t="shared" si="31"/>
        <v>0</v>
      </c>
      <c r="K300" s="2"/>
      <c r="L300" s="2"/>
      <c r="M300" s="2"/>
      <c r="N300" s="2"/>
      <c r="O300" s="2"/>
      <c r="P300" s="81">
        <f t="shared" si="32"/>
        <v>1400000</v>
      </c>
    </row>
    <row r="301" spans="1:16" s="61" customFormat="1" ht="135">
      <c r="A301" s="42"/>
      <c r="B301" s="15" t="s">
        <v>105</v>
      </c>
      <c r="C301" s="57" t="s">
        <v>94</v>
      </c>
      <c r="D301" s="8" t="s">
        <v>106</v>
      </c>
      <c r="E301" s="85">
        <f t="shared" si="33"/>
        <v>864.77</v>
      </c>
      <c r="F301" s="2">
        <f>F302</f>
        <v>864.77</v>
      </c>
      <c r="G301" s="2"/>
      <c r="H301" s="2"/>
      <c r="I301" s="2"/>
      <c r="J301" s="81">
        <f t="shared" si="31"/>
        <v>0</v>
      </c>
      <c r="K301" s="2"/>
      <c r="L301" s="2"/>
      <c r="M301" s="2"/>
      <c r="N301" s="2"/>
      <c r="O301" s="2"/>
      <c r="P301" s="81">
        <f t="shared" si="32"/>
        <v>864.77</v>
      </c>
    </row>
    <row r="302" spans="1:16" s="61" customFormat="1" ht="75">
      <c r="A302" s="42"/>
      <c r="B302" s="15"/>
      <c r="C302" s="57"/>
      <c r="D302" s="45" t="s">
        <v>266</v>
      </c>
      <c r="E302" s="85">
        <f t="shared" si="33"/>
        <v>864.77</v>
      </c>
      <c r="F302" s="2">
        <f>800+65-0.23</f>
        <v>864.77</v>
      </c>
      <c r="G302" s="2"/>
      <c r="H302" s="2"/>
      <c r="I302" s="2"/>
      <c r="J302" s="81">
        <f t="shared" si="31"/>
        <v>0</v>
      </c>
      <c r="K302" s="2"/>
      <c r="L302" s="2"/>
      <c r="M302" s="2"/>
      <c r="N302" s="2"/>
      <c r="O302" s="2"/>
      <c r="P302" s="81">
        <f t="shared" si="32"/>
        <v>864.77</v>
      </c>
    </row>
    <row r="303" spans="1:16" s="61" customFormat="1" ht="15">
      <c r="A303" s="42"/>
      <c r="B303" s="15" t="s">
        <v>107</v>
      </c>
      <c r="C303" s="57" t="s">
        <v>48</v>
      </c>
      <c r="D303" s="8" t="s">
        <v>108</v>
      </c>
      <c r="E303" s="85">
        <f t="shared" si="33"/>
        <v>837670</v>
      </c>
      <c r="F303" s="2">
        <f>F304</f>
        <v>837670</v>
      </c>
      <c r="G303" s="2"/>
      <c r="H303" s="2"/>
      <c r="I303" s="2"/>
      <c r="J303" s="81">
        <f t="shared" si="31"/>
        <v>0</v>
      </c>
      <c r="K303" s="2"/>
      <c r="L303" s="2"/>
      <c r="M303" s="2"/>
      <c r="N303" s="2"/>
      <c r="O303" s="2"/>
      <c r="P303" s="81">
        <f t="shared" si="32"/>
        <v>837670</v>
      </c>
    </row>
    <row r="304" spans="1:16" s="61" customFormat="1" ht="105">
      <c r="A304" s="42"/>
      <c r="B304" s="15"/>
      <c r="C304" s="57"/>
      <c r="D304" s="45" t="s">
        <v>262</v>
      </c>
      <c r="E304" s="85">
        <f t="shared" si="33"/>
        <v>837670</v>
      </c>
      <c r="F304" s="2">
        <v>837670</v>
      </c>
      <c r="G304" s="2"/>
      <c r="H304" s="2"/>
      <c r="I304" s="2"/>
      <c r="J304" s="81"/>
      <c r="K304" s="2"/>
      <c r="L304" s="2"/>
      <c r="M304" s="2"/>
      <c r="N304" s="2"/>
      <c r="O304" s="2"/>
      <c r="P304" s="81">
        <f t="shared" si="32"/>
        <v>837670</v>
      </c>
    </row>
    <row r="305" spans="1:16" s="61" customFormat="1" ht="30">
      <c r="A305" s="42"/>
      <c r="B305" s="15" t="s">
        <v>109</v>
      </c>
      <c r="C305" s="57" t="s">
        <v>48</v>
      </c>
      <c r="D305" s="8" t="s">
        <v>110</v>
      </c>
      <c r="E305" s="85">
        <f t="shared" si="33"/>
        <v>720060</v>
      </c>
      <c r="F305" s="2">
        <f>F306</f>
        <v>720060</v>
      </c>
      <c r="G305" s="2"/>
      <c r="H305" s="2"/>
      <c r="I305" s="2"/>
      <c r="J305" s="81">
        <f t="shared" si="31"/>
        <v>0</v>
      </c>
      <c r="K305" s="2"/>
      <c r="L305" s="2"/>
      <c r="M305" s="2"/>
      <c r="N305" s="2"/>
      <c r="O305" s="2"/>
      <c r="P305" s="81">
        <f t="shared" si="32"/>
        <v>720060</v>
      </c>
    </row>
    <row r="306" spans="1:16" s="61" customFormat="1" ht="105">
      <c r="A306" s="42"/>
      <c r="B306" s="15"/>
      <c r="C306" s="57"/>
      <c r="D306" s="45" t="s">
        <v>262</v>
      </c>
      <c r="E306" s="85">
        <f t="shared" si="33"/>
        <v>720060</v>
      </c>
      <c r="F306" s="2">
        <v>720060</v>
      </c>
      <c r="G306" s="2"/>
      <c r="H306" s="2"/>
      <c r="I306" s="2"/>
      <c r="J306" s="81">
        <f t="shared" si="31"/>
        <v>0</v>
      </c>
      <c r="K306" s="2"/>
      <c r="L306" s="2"/>
      <c r="M306" s="2"/>
      <c r="N306" s="2"/>
      <c r="O306" s="2"/>
      <c r="P306" s="81">
        <f t="shared" si="32"/>
        <v>720060</v>
      </c>
    </row>
    <row r="307" spans="1:16" s="61" customFormat="1" ht="15">
      <c r="A307" s="42"/>
      <c r="B307" s="15" t="s">
        <v>111</v>
      </c>
      <c r="C307" s="57" t="s">
        <v>48</v>
      </c>
      <c r="D307" s="8" t="s">
        <v>112</v>
      </c>
      <c r="E307" s="85">
        <f t="shared" si="33"/>
        <v>40443190</v>
      </c>
      <c r="F307" s="2">
        <f>F308</f>
        <v>40443190</v>
      </c>
      <c r="G307" s="2"/>
      <c r="H307" s="2"/>
      <c r="I307" s="2"/>
      <c r="J307" s="81">
        <f t="shared" si="31"/>
        <v>0</v>
      </c>
      <c r="K307" s="2"/>
      <c r="L307" s="2"/>
      <c r="M307" s="2"/>
      <c r="N307" s="2"/>
      <c r="O307" s="2"/>
      <c r="P307" s="81">
        <f t="shared" si="32"/>
        <v>40443190</v>
      </c>
    </row>
    <row r="308" spans="1:16" s="61" customFormat="1" ht="105">
      <c r="A308" s="42"/>
      <c r="B308" s="15"/>
      <c r="C308" s="57"/>
      <c r="D308" s="45" t="s">
        <v>262</v>
      </c>
      <c r="E308" s="85">
        <f t="shared" si="33"/>
        <v>40443190</v>
      </c>
      <c r="F308" s="2">
        <f>46328190-3085000-2800000</f>
        <v>40443190</v>
      </c>
      <c r="G308" s="2"/>
      <c r="H308" s="2"/>
      <c r="I308" s="2"/>
      <c r="J308" s="81">
        <f t="shared" si="31"/>
        <v>0</v>
      </c>
      <c r="K308" s="2"/>
      <c r="L308" s="2"/>
      <c r="M308" s="2"/>
      <c r="N308" s="2"/>
      <c r="O308" s="2"/>
      <c r="P308" s="81">
        <f t="shared" si="32"/>
        <v>40443190</v>
      </c>
    </row>
    <row r="309" spans="1:16" s="61" customFormat="1" ht="30">
      <c r="A309" s="42"/>
      <c r="B309" s="15" t="s">
        <v>113</v>
      </c>
      <c r="C309" s="57" t="s">
        <v>48</v>
      </c>
      <c r="D309" s="8" t="s">
        <v>114</v>
      </c>
      <c r="E309" s="85">
        <f t="shared" si="33"/>
        <v>3451660</v>
      </c>
      <c r="F309" s="2">
        <f>F310</f>
        <v>3451660</v>
      </c>
      <c r="G309" s="2"/>
      <c r="H309" s="2"/>
      <c r="I309" s="2"/>
      <c r="J309" s="81">
        <f t="shared" si="31"/>
        <v>0</v>
      </c>
      <c r="K309" s="2"/>
      <c r="L309" s="2"/>
      <c r="M309" s="2"/>
      <c r="N309" s="2"/>
      <c r="O309" s="2"/>
      <c r="P309" s="81">
        <f t="shared" si="32"/>
        <v>3451660</v>
      </c>
    </row>
    <row r="310" spans="1:16" s="61" customFormat="1" ht="105">
      <c r="A310" s="42"/>
      <c r="B310" s="15"/>
      <c r="C310" s="57"/>
      <c r="D310" s="45" t="s">
        <v>262</v>
      </c>
      <c r="E310" s="85">
        <f t="shared" si="33"/>
        <v>3451660</v>
      </c>
      <c r="F310" s="2">
        <f>3441660+10000</f>
        <v>3451660</v>
      </c>
      <c r="G310" s="2"/>
      <c r="H310" s="2"/>
      <c r="I310" s="2"/>
      <c r="J310" s="81">
        <f t="shared" si="31"/>
        <v>0</v>
      </c>
      <c r="K310" s="2"/>
      <c r="L310" s="2"/>
      <c r="M310" s="2"/>
      <c r="N310" s="2"/>
      <c r="O310" s="2"/>
      <c r="P310" s="81">
        <f t="shared" si="32"/>
        <v>3451660</v>
      </c>
    </row>
    <row r="311" spans="1:16" s="61" customFormat="1" ht="15">
      <c r="A311" s="42"/>
      <c r="B311" s="15" t="s">
        <v>115</v>
      </c>
      <c r="C311" s="57" t="s">
        <v>48</v>
      </c>
      <c r="D311" s="8" t="s">
        <v>116</v>
      </c>
      <c r="E311" s="85">
        <f t="shared" si="33"/>
        <v>8252950</v>
      </c>
      <c r="F311" s="2">
        <f>F312</f>
        <v>8252950</v>
      </c>
      <c r="G311" s="2"/>
      <c r="H311" s="2"/>
      <c r="I311" s="2"/>
      <c r="J311" s="81">
        <f t="shared" si="31"/>
        <v>0</v>
      </c>
      <c r="K311" s="2"/>
      <c r="L311" s="2"/>
      <c r="M311" s="2"/>
      <c r="N311" s="2"/>
      <c r="O311" s="2"/>
      <c r="P311" s="81">
        <f t="shared" si="32"/>
        <v>8252950</v>
      </c>
    </row>
    <row r="312" spans="1:16" s="61" customFormat="1" ht="105">
      <c r="A312" s="42"/>
      <c r="B312" s="15"/>
      <c r="C312" s="57"/>
      <c r="D312" s="45" t="s">
        <v>262</v>
      </c>
      <c r="E312" s="85">
        <f t="shared" si="33"/>
        <v>8252950</v>
      </c>
      <c r="F312" s="2">
        <f>8520150-3067200+2800000</f>
        <v>8252950</v>
      </c>
      <c r="G312" s="2"/>
      <c r="H312" s="2"/>
      <c r="I312" s="2"/>
      <c r="J312" s="81">
        <f t="shared" si="31"/>
        <v>0</v>
      </c>
      <c r="K312" s="2"/>
      <c r="L312" s="2"/>
      <c r="M312" s="2"/>
      <c r="N312" s="2"/>
      <c r="O312" s="2"/>
      <c r="P312" s="81">
        <f t="shared" si="32"/>
        <v>8252950</v>
      </c>
    </row>
    <row r="313" spans="1:16" s="61" customFormat="1" ht="15">
      <c r="A313" s="42"/>
      <c r="B313" s="15" t="s">
        <v>117</v>
      </c>
      <c r="C313" s="57" t="s">
        <v>48</v>
      </c>
      <c r="D313" s="8" t="s">
        <v>118</v>
      </c>
      <c r="E313" s="85">
        <f t="shared" si="33"/>
        <v>904350</v>
      </c>
      <c r="F313" s="2">
        <f>F314</f>
        <v>904350</v>
      </c>
      <c r="G313" s="2"/>
      <c r="H313" s="2"/>
      <c r="I313" s="2"/>
      <c r="J313" s="81">
        <f t="shared" si="31"/>
        <v>0</v>
      </c>
      <c r="K313" s="2"/>
      <c r="L313" s="2"/>
      <c r="M313" s="2"/>
      <c r="N313" s="2"/>
      <c r="O313" s="2"/>
      <c r="P313" s="81">
        <f t="shared" si="32"/>
        <v>904350</v>
      </c>
    </row>
    <row r="314" spans="1:16" s="61" customFormat="1" ht="105">
      <c r="A314" s="42"/>
      <c r="B314" s="15"/>
      <c r="C314" s="57"/>
      <c r="D314" s="45" t="s">
        <v>262</v>
      </c>
      <c r="E314" s="85">
        <f t="shared" si="33"/>
        <v>904350</v>
      </c>
      <c r="F314" s="2">
        <f>1356150-451800</f>
        <v>904350</v>
      </c>
      <c r="G314" s="2"/>
      <c r="H314" s="2"/>
      <c r="I314" s="2"/>
      <c r="J314" s="81">
        <f t="shared" si="31"/>
        <v>0</v>
      </c>
      <c r="K314" s="2"/>
      <c r="L314" s="2"/>
      <c r="M314" s="2"/>
      <c r="N314" s="2"/>
      <c r="O314" s="2"/>
      <c r="P314" s="81">
        <f t="shared" si="32"/>
        <v>904350</v>
      </c>
    </row>
    <row r="315" spans="1:16" s="61" customFormat="1" ht="15">
      <c r="A315" s="42"/>
      <c r="B315" s="15" t="s">
        <v>119</v>
      </c>
      <c r="C315" s="57" t="s">
        <v>48</v>
      </c>
      <c r="D315" s="8" t="s">
        <v>120</v>
      </c>
      <c r="E315" s="85">
        <f t="shared" si="33"/>
        <v>96020</v>
      </c>
      <c r="F315" s="2">
        <f>F316</f>
        <v>96020</v>
      </c>
      <c r="G315" s="2"/>
      <c r="H315" s="2"/>
      <c r="I315" s="2"/>
      <c r="J315" s="81">
        <f t="shared" si="31"/>
        <v>0</v>
      </c>
      <c r="K315" s="2"/>
      <c r="L315" s="2"/>
      <c r="M315" s="2"/>
      <c r="N315" s="2"/>
      <c r="O315" s="2"/>
      <c r="P315" s="81">
        <f t="shared" si="32"/>
        <v>96020</v>
      </c>
    </row>
    <row r="316" spans="1:16" s="61" customFormat="1" ht="105">
      <c r="A316" s="42"/>
      <c r="B316" s="15"/>
      <c r="C316" s="57"/>
      <c r="D316" s="45" t="s">
        <v>262</v>
      </c>
      <c r="E316" s="85">
        <f t="shared" si="33"/>
        <v>96020</v>
      </c>
      <c r="F316" s="2">
        <v>96020</v>
      </c>
      <c r="G316" s="2"/>
      <c r="H316" s="2"/>
      <c r="I316" s="2"/>
      <c r="J316" s="81">
        <f t="shared" si="31"/>
        <v>0</v>
      </c>
      <c r="K316" s="2"/>
      <c r="L316" s="2"/>
      <c r="M316" s="2"/>
      <c r="N316" s="2"/>
      <c r="O316" s="2"/>
      <c r="P316" s="81">
        <f t="shared" si="32"/>
        <v>96020</v>
      </c>
    </row>
    <row r="317" spans="1:16" s="61" customFormat="1" ht="30">
      <c r="A317" s="42"/>
      <c r="B317" s="15" t="s">
        <v>121</v>
      </c>
      <c r="C317" s="57" t="s">
        <v>48</v>
      </c>
      <c r="D317" s="8" t="s">
        <v>122</v>
      </c>
      <c r="E317" s="85">
        <f t="shared" si="33"/>
        <v>9795320</v>
      </c>
      <c r="F317" s="2">
        <f>F318</f>
        <v>9795320</v>
      </c>
      <c r="G317" s="2"/>
      <c r="H317" s="2"/>
      <c r="I317" s="2"/>
      <c r="J317" s="81">
        <f t="shared" si="31"/>
        <v>0</v>
      </c>
      <c r="K317" s="2"/>
      <c r="L317" s="2"/>
      <c r="M317" s="2"/>
      <c r="N317" s="2"/>
      <c r="O317" s="2"/>
      <c r="P317" s="81">
        <f t="shared" si="32"/>
        <v>9795320</v>
      </c>
    </row>
    <row r="318" spans="1:16" s="61" customFormat="1" ht="105">
      <c r="A318" s="42"/>
      <c r="B318" s="15"/>
      <c r="C318" s="57"/>
      <c r="D318" s="45" t="s">
        <v>262</v>
      </c>
      <c r="E318" s="85">
        <f t="shared" si="33"/>
        <v>9795320</v>
      </c>
      <c r="F318" s="2">
        <f>7845320+1950000</f>
        <v>9795320</v>
      </c>
      <c r="G318" s="2"/>
      <c r="H318" s="2"/>
      <c r="I318" s="2"/>
      <c r="J318" s="81">
        <f t="shared" si="31"/>
        <v>0</v>
      </c>
      <c r="K318" s="2"/>
      <c r="L318" s="2"/>
      <c r="M318" s="2"/>
      <c r="N318" s="2"/>
      <c r="O318" s="2"/>
      <c r="P318" s="81">
        <f t="shared" si="32"/>
        <v>9795320</v>
      </c>
    </row>
    <row r="319" spans="1:16" s="61" customFormat="1" ht="30">
      <c r="A319" s="42"/>
      <c r="B319" s="15" t="s">
        <v>124</v>
      </c>
      <c r="C319" s="57" t="s">
        <v>123</v>
      </c>
      <c r="D319" s="8" t="s">
        <v>125</v>
      </c>
      <c r="E319" s="85">
        <f t="shared" si="33"/>
        <v>44604500</v>
      </c>
      <c r="F319" s="2">
        <f>F320</f>
        <v>44604500</v>
      </c>
      <c r="G319" s="2"/>
      <c r="H319" s="2"/>
      <c r="I319" s="2"/>
      <c r="J319" s="81">
        <f t="shared" si="31"/>
        <v>0</v>
      </c>
      <c r="K319" s="2"/>
      <c r="L319" s="2"/>
      <c r="M319" s="2"/>
      <c r="N319" s="2"/>
      <c r="O319" s="2"/>
      <c r="P319" s="81">
        <f t="shared" si="32"/>
        <v>44604500</v>
      </c>
    </row>
    <row r="320" spans="1:16" s="61" customFormat="1" ht="135">
      <c r="A320" s="42"/>
      <c r="B320" s="15"/>
      <c r="C320" s="57"/>
      <c r="D320" s="45" t="s">
        <v>264</v>
      </c>
      <c r="E320" s="85">
        <f t="shared" si="33"/>
        <v>44604500</v>
      </c>
      <c r="F320" s="2">
        <f>60800000-22508500+1000000+5313000</f>
        <v>44604500</v>
      </c>
      <c r="G320" s="2"/>
      <c r="H320" s="2"/>
      <c r="I320" s="2"/>
      <c r="J320" s="81">
        <f t="shared" si="31"/>
        <v>0</v>
      </c>
      <c r="K320" s="2"/>
      <c r="L320" s="2"/>
      <c r="M320" s="2"/>
      <c r="N320" s="2"/>
      <c r="O320" s="2"/>
      <c r="P320" s="81">
        <f t="shared" si="32"/>
        <v>44604500</v>
      </c>
    </row>
    <row r="321" spans="1:16" s="61" customFormat="1" ht="45">
      <c r="A321" s="42"/>
      <c r="B321" s="15" t="s">
        <v>126</v>
      </c>
      <c r="C321" s="57" t="s">
        <v>123</v>
      </c>
      <c r="D321" s="8" t="s">
        <v>127</v>
      </c>
      <c r="E321" s="85">
        <f t="shared" si="33"/>
        <v>11503.46</v>
      </c>
      <c r="F321" s="2">
        <f>F322</f>
        <v>11503.46</v>
      </c>
      <c r="G321" s="2"/>
      <c r="H321" s="2"/>
      <c r="I321" s="2"/>
      <c r="J321" s="81">
        <f t="shared" si="31"/>
        <v>0</v>
      </c>
      <c r="K321" s="2"/>
      <c r="L321" s="2"/>
      <c r="M321" s="2"/>
      <c r="N321" s="2"/>
      <c r="O321" s="2"/>
      <c r="P321" s="81">
        <f t="shared" si="32"/>
        <v>11503.46</v>
      </c>
    </row>
    <row r="322" spans="1:16" s="61" customFormat="1" ht="73.5" customHeight="1">
      <c r="A322" s="42"/>
      <c r="B322" s="15"/>
      <c r="C322" s="57"/>
      <c r="D322" s="45" t="s">
        <v>266</v>
      </c>
      <c r="E322" s="85">
        <f t="shared" si="33"/>
        <v>11503.46</v>
      </c>
      <c r="F322" s="2">
        <f>14000+6100-6800-1796.77+0.23</f>
        <v>11503.46</v>
      </c>
      <c r="G322" s="2"/>
      <c r="H322" s="2"/>
      <c r="I322" s="2"/>
      <c r="J322" s="81">
        <f t="shared" si="31"/>
        <v>0</v>
      </c>
      <c r="K322" s="2"/>
      <c r="L322" s="2"/>
      <c r="M322" s="2"/>
      <c r="N322" s="2"/>
      <c r="O322" s="2"/>
      <c r="P322" s="81">
        <f t="shared" si="32"/>
        <v>11503.46</v>
      </c>
    </row>
    <row r="323" spans="1:16" s="61" customFormat="1" ht="1.5" customHeight="1" hidden="1">
      <c r="A323" s="42"/>
      <c r="B323" s="15" t="s">
        <v>128</v>
      </c>
      <c r="C323" s="57" t="s">
        <v>123</v>
      </c>
      <c r="D323" s="8" t="s">
        <v>129</v>
      </c>
      <c r="E323" s="85">
        <f t="shared" si="33"/>
        <v>0</v>
      </c>
      <c r="F323" s="2">
        <f>F324</f>
        <v>0</v>
      </c>
      <c r="G323" s="2"/>
      <c r="H323" s="2"/>
      <c r="I323" s="2"/>
      <c r="J323" s="81">
        <f t="shared" si="31"/>
        <v>0</v>
      </c>
      <c r="K323" s="2"/>
      <c r="L323" s="2"/>
      <c r="M323" s="2"/>
      <c r="N323" s="2"/>
      <c r="O323" s="2"/>
      <c r="P323" s="81">
        <f t="shared" si="32"/>
        <v>0</v>
      </c>
    </row>
    <row r="324" spans="1:16" s="61" customFormat="1" ht="12.75" customHeight="1" hidden="1">
      <c r="A324" s="42"/>
      <c r="B324" s="15"/>
      <c r="C324" s="57"/>
      <c r="D324" s="45" t="s">
        <v>264</v>
      </c>
      <c r="E324" s="85">
        <f t="shared" si="33"/>
        <v>0</v>
      </c>
      <c r="F324" s="2"/>
      <c r="G324" s="2"/>
      <c r="H324" s="2"/>
      <c r="I324" s="2"/>
      <c r="J324" s="81">
        <f t="shared" si="31"/>
        <v>0</v>
      </c>
      <c r="K324" s="2"/>
      <c r="L324" s="2"/>
      <c r="M324" s="2"/>
      <c r="N324" s="2"/>
      <c r="O324" s="2"/>
      <c r="P324" s="81">
        <f t="shared" si="32"/>
        <v>0</v>
      </c>
    </row>
    <row r="325" spans="1:16" s="61" customFormat="1" ht="12" customHeight="1" hidden="1">
      <c r="A325" s="42"/>
      <c r="B325" s="15" t="s">
        <v>131</v>
      </c>
      <c r="C325" s="57" t="s">
        <v>130</v>
      </c>
      <c r="D325" s="8" t="s">
        <v>132</v>
      </c>
      <c r="E325" s="85">
        <f t="shared" si="33"/>
        <v>0</v>
      </c>
      <c r="F325" s="2"/>
      <c r="G325" s="2"/>
      <c r="H325" s="2"/>
      <c r="I325" s="2"/>
      <c r="J325" s="81">
        <f t="shared" si="31"/>
        <v>0</v>
      </c>
      <c r="K325" s="2"/>
      <c r="L325" s="2"/>
      <c r="M325" s="2"/>
      <c r="N325" s="2"/>
      <c r="O325" s="2"/>
      <c r="P325" s="81">
        <f t="shared" si="32"/>
        <v>0</v>
      </c>
    </row>
    <row r="326" spans="1:16" s="61" customFormat="1" ht="17.25" customHeight="1" hidden="1">
      <c r="A326" s="42"/>
      <c r="B326" s="15"/>
      <c r="C326" s="57"/>
      <c r="D326" s="8" t="s">
        <v>279</v>
      </c>
      <c r="E326" s="85">
        <f t="shared" si="33"/>
        <v>0</v>
      </c>
      <c r="F326" s="2"/>
      <c r="G326" s="2"/>
      <c r="H326" s="2"/>
      <c r="I326" s="2"/>
      <c r="J326" s="81">
        <f t="shared" si="31"/>
        <v>0</v>
      </c>
      <c r="K326" s="2"/>
      <c r="L326" s="2"/>
      <c r="M326" s="2"/>
      <c r="N326" s="2"/>
      <c r="O326" s="2"/>
      <c r="P326" s="81">
        <f t="shared" si="32"/>
        <v>0</v>
      </c>
    </row>
    <row r="327" spans="1:16" s="61" customFormat="1" ht="30">
      <c r="A327" s="42"/>
      <c r="B327" s="15" t="s">
        <v>134</v>
      </c>
      <c r="C327" s="57" t="s">
        <v>133</v>
      </c>
      <c r="D327" s="8" t="s">
        <v>135</v>
      </c>
      <c r="E327" s="85">
        <f t="shared" si="33"/>
        <v>3632230</v>
      </c>
      <c r="F327" s="2">
        <f>F328</f>
        <v>3632230</v>
      </c>
      <c r="G327" s="2"/>
      <c r="H327" s="2"/>
      <c r="I327" s="2"/>
      <c r="J327" s="81">
        <f t="shared" si="31"/>
        <v>0</v>
      </c>
      <c r="K327" s="2"/>
      <c r="L327" s="2"/>
      <c r="M327" s="2"/>
      <c r="N327" s="2"/>
      <c r="O327" s="2"/>
      <c r="P327" s="81">
        <f t="shared" si="32"/>
        <v>3632230</v>
      </c>
    </row>
    <row r="328" spans="1:16" s="61" customFormat="1" ht="104.25" customHeight="1">
      <c r="A328" s="42"/>
      <c r="B328" s="15"/>
      <c r="C328" s="57"/>
      <c r="D328" s="45" t="s">
        <v>262</v>
      </c>
      <c r="E328" s="85">
        <f t="shared" si="33"/>
        <v>3632230</v>
      </c>
      <c r="F328" s="2">
        <f>3481800+150430</f>
        <v>3632230</v>
      </c>
      <c r="G328" s="2"/>
      <c r="H328" s="2"/>
      <c r="I328" s="2"/>
      <c r="J328" s="81">
        <f t="shared" si="31"/>
        <v>0</v>
      </c>
      <c r="K328" s="2"/>
      <c r="L328" s="2"/>
      <c r="M328" s="2"/>
      <c r="N328" s="2"/>
      <c r="O328" s="2"/>
      <c r="P328" s="81">
        <f t="shared" si="32"/>
        <v>3632230</v>
      </c>
    </row>
    <row r="329" spans="1:16" s="61" customFormat="1" ht="15" customHeight="1" hidden="1">
      <c r="A329" s="42"/>
      <c r="B329" s="15" t="s">
        <v>136</v>
      </c>
      <c r="C329" s="57" t="s">
        <v>123</v>
      </c>
      <c r="D329" s="8" t="s">
        <v>137</v>
      </c>
      <c r="E329" s="85">
        <f t="shared" si="33"/>
        <v>0</v>
      </c>
      <c r="F329" s="2">
        <f>F330</f>
        <v>0</v>
      </c>
      <c r="G329" s="2"/>
      <c r="H329" s="2"/>
      <c r="I329" s="2"/>
      <c r="J329" s="81">
        <f t="shared" si="31"/>
        <v>0</v>
      </c>
      <c r="K329" s="2"/>
      <c r="L329" s="2"/>
      <c r="M329" s="2"/>
      <c r="N329" s="2"/>
      <c r="O329" s="2"/>
      <c r="P329" s="81">
        <f t="shared" si="32"/>
        <v>0</v>
      </c>
    </row>
    <row r="330" spans="1:16" s="61" customFormat="1" ht="21.75" customHeight="1" hidden="1">
      <c r="A330" s="42"/>
      <c r="B330" s="15"/>
      <c r="C330" s="57"/>
      <c r="D330" s="45" t="s">
        <v>266</v>
      </c>
      <c r="E330" s="85">
        <f t="shared" si="33"/>
        <v>0</v>
      </c>
      <c r="F330" s="2">
        <v>0</v>
      </c>
      <c r="G330" s="2"/>
      <c r="H330" s="2"/>
      <c r="I330" s="2"/>
      <c r="J330" s="81">
        <f t="shared" si="31"/>
        <v>0</v>
      </c>
      <c r="K330" s="2"/>
      <c r="L330" s="2"/>
      <c r="M330" s="2"/>
      <c r="N330" s="2"/>
      <c r="O330" s="2"/>
      <c r="P330" s="81">
        <f t="shared" si="32"/>
        <v>0</v>
      </c>
    </row>
    <row r="331" spans="1:16" s="61" customFormat="1" ht="90">
      <c r="A331" s="42"/>
      <c r="B331" s="15" t="s">
        <v>138</v>
      </c>
      <c r="C331" s="57" t="s">
        <v>133</v>
      </c>
      <c r="D331" s="8" t="s">
        <v>139</v>
      </c>
      <c r="E331" s="85">
        <f t="shared" si="33"/>
        <v>315930</v>
      </c>
      <c r="F331" s="2">
        <v>315930</v>
      </c>
      <c r="G331" s="2"/>
      <c r="H331" s="2"/>
      <c r="I331" s="2"/>
      <c r="J331" s="81">
        <f t="shared" si="31"/>
        <v>0</v>
      </c>
      <c r="K331" s="2"/>
      <c r="L331" s="2"/>
      <c r="M331" s="2"/>
      <c r="N331" s="2"/>
      <c r="O331" s="2"/>
      <c r="P331" s="81">
        <f t="shared" si="32"/>
        <v>315930</v>
      </c>
    </row>
    <row r="332" spans="1:16" s="61" customFormat="1" ht="89.25" customHeight="1">
      <c r="A332" s="42"/>
      <c r="B332" s="15" t="s">
        <v>140</v>
      </c>
      <c r="C332" s="57" t="s">
        <v>123</v>
      </c>
      <c r="D332" s="8" t="s">
        <v>141</v>
      </c>
      <c r="E332" s="85">
        <f t="shared" si="33"/>
        <v>1087800</v>
      </c>
      <c r="F332" s="2">
        <f>1091800-4000</f>
        <v>1087800</v>
      </c>
      <c r="G332" s="2"/>
      <c r="H332" s="2"/>
      <c r="I332" s="2"/>
      <c r="J332" s="81">
        <f t="shared" si="31"/>
        <v>0</v>
      </c>
      <c r="K332" s="2"/>
      <c r="L332" s="2"/>
      <c r="M332" s="2"/>
      <c r="N332" s="2"/>
      <c r="O332" s="2"/>
      <c r="P332" s="81">
        <f t="shared" si="32"/>
        <v>1087800</v>
      </c>
    </row>
    <row r="333" spans="1:16" s="61" customFormat="1" ht="1.5" customHeight="1" hidden="1">
      <c r="A333" s="42"/>
      <c r="B333" s="15" t="s">
        <v>142</v>
      </c>
      <c r="C333" s="57" t="s">
        <v>86</v>
      </c>
      <c r="D333" s="8" t="s">
        <v>143</v>
      </c>
      <c r="E333" s="85">
        <f t="shared" si="33"/>
        <v>0</v>
      </c>
      <c r="F333" s="2">
        <v>0</v>
      </c>
      <c r="G333" s="2"/>
      <c r="H333" s="2"/>
      <c r="I333" s="2"/>
      <c r="J333" s="81">
        <f t="shared" si="31"/>
        <v>0</v>
      </c>
      <c r="K333" s="2"/>
      <c r="L333" s="2"/>
      <c r="M333" s="2"/>
      <c r="N333" s="2"/>
      <c r="O333" s="2"/>
      <c r="P333" s="81">
        <f t="shared" si="32"/>
        <v>0</v>
      </c>
    </row>
    <row r="334" spans="1:16" s="61" customFormat="1" ht="14.25" customHeight="1" hidden="1">
      <c r="A334" s="42"/>
      <c r="B334" s="15" t="s">
        <v>144</v>
      </c>
      <c r="C334" s="57" t="s">
        <v>130</v>
      </c>
      <c r="D334" s="8" t="s">
        <v>145</v>
      </c>
      <c r="E334" s="85">
        <f t="shared" si="33"/>
        <v>0</v>
      </c>
      <c r="F334" s="2">
        <v>0</v>
      </c>
      <c r="G334" s="2">
        <v>0</v>
      </c>
      <c r="H334" s="2">
        <v>0</v>
      </c>
      <c r="I334" s="2"/>
      <c r="J334" s="81">
        <f t="shared" si="31"/>
        <v>0</v>
      </c>
      <c r="K334" s="2"/>
      <c r="L334" s="2"/>
      <c r="M334" s="2"/>
      <c r="N334" s="2"/>
      <c r="O334" s="2"/>
      <c r="P334" s="81">
        <f t="shared" si="32"/>
        <v>0</v>
      </c>
    </row>
    <row r="335" spans="1:16" s="61" customFormat="1" ht="30">
      <c r="A335" s="42"/>
      <c r="B335" s="15" t="s">
        <v>146</v>
      </c>
      <c r="C335" s="57" t="s">
        <v>133</v>
      </c>
      <c r="D335" s="8" t="s">
        <v>147</v>
      </c>
      <c r="E335" s="85">
        <f t="shared" si="33"/>
        <v>10838080</v>
      </c>
      <c r="F335" s="2">
        <f>F336</f>
        <v>10838080</v>
      </c>
      <c r="G335" s="2"/>
      <c r="H335" s="2"/>
      <c r="I335" s="2"/>
      <c r="J335" s="81">
        <f t="shared" si="31"/>
        <v>0</v>
      </c>
      <c r="K335" s="2"/>
      <c r="L335" s="2"/>
      <c r="M335" s="2"/>
      <c r="N335" s="2"/>
      <c r="O335" s="2"/>
      <c r="P335" s="81">
        <f t="shared" si="32"/>
        <v>10838080</v>
      </c>
    </row>
    <row r="336" spans="1:16" s="61" customFormat="1" ht="105">
      <c r="A336" s="42"/>
      <c r="B336" s="15"/>
      <c r="C336" s="57"/>
      <c r="D336" s="45" t="s">
        <v>262</v>
      </c>
      <c r="E336" s="85">
        <f t="shared" si="33"/>
        <v>10838080</v>
      </c>
      <c r="F336" s="2">
        <f>9683080+1135000+20000</f>
        <v>10838080</v>
      </c>
      <c r="G336" s="2"/>
      <c r="H336" s="2"/>
      <c r="I336" s="2"/>
      <c r="J336" s="81">
        <f t="shared" si="31"/>
        <v>0</v>
      </c>
      <c r="K336" s="2"/>
      <c r="L336" s="2"/>
      <c r="M336" s="2"/>
      <c r="N336" s="2"/>
      <c r="O336" s="2"/>
      <c r="P336" s="81">
        <f t="shared" si="32"/>
        <v>10838080</v>
      </c>
    </row>
    <row r="337" spans="1:16" s="49" customFormat="1" ht="15">
      <c r="A337" s="42"/>
      <c r="B337" s="15" t="s">
        <v>131</v>
      </c>
      <c r="C337" s="51">
        <v>1090</v>
      </c>
      <c r="D337" s="8" t="s">
        <v>132</v>
      </c>
      <c r="E337" s="81">
        <f>F337+I337</f>
        <v>7380</v>
      </c>
      <c r="F337" s="2">
        <f>3380+4000</f>
        <v>7380</v>
      </c>
      <c r="G337" s="92"/>
      <c r="H337" s="92"/>
      <c r="I337" s="92"/>
      <c r="J337" s="93">
        <f t="shared" si="31"/>
        <v>0</v>
      </c>
      <c r="K337" s="92"/>
      <c r="L337" s="92"/>
      <c r="M337" s="92"/>
      <c r="N337" s="92"/>
      <c r="O337" s="92"/>
      <c r="P337" s="100">
        <f t="shared" si="32"/>
        <v>7380</v>
      </c>
    </row>
    <row r="338" spans="1:16" s="49" customFormat="1" ht="30">
      <c r="A338" s="42"/>
      <c r="B338" s="15" t="s">
        <v>312</v>
      </c>
      <c r="C338" s="7" t="s">
        <v>48</v>
      </c>
      <c r="D338" s="8" t="s">
        <v>313</v>
      </c>
      <c r="E338" s="81">
        <f>F338+I338</f>
        <v>3480052</v>
      </c>
      <c r="F338" s="2">
        <f>3715370-363250+50000+70000+1500+6432</f>
        <v>3480052</v>
      </c>
      <c r="G338" s="92">
        <f>2540370+32000</f>
        <v>2572370</v>
      </c>
      <c r="H338" s="92">
        <v>129780</v>
      </c>
      <c r="I338" s="92"/>
      <c r="J338" s="93">
        <f t="shared" si="31"/>
        <v>50099</v>
      </c>
      <c r="K338" s="92">
        <v>41900</v>
      </c>
      <c r="L338" s="92">
        <v>26700</v>
      </c>
      <c r="M338" s="92"/>
      <c r="N338" s="92">
        <v>8199</v>
      </c>
      <c r="O338" s="92">
        <v>8199</v>
      </c>
      <c r="P338" s="100">
        <f t="shared" si="32"/>
        <v>3530151</v>
      </c>
    </row>
    <row r="339" spans="1:16" s="49" customFormat="1" ht="30">
      <c r="A339" s="62"/>
      <c r="B339" s="63"/>
      <c r="C339" s="64"/>
      <c r="D339" s="65" t="s">
        <v>344</v>
      </c>
      <c r="E339" s="81"/>
      <c r="F339" s="89"/>
      <c r="G339" s="90"/>
      <c r="H339" s="90"/>
      <c r="I339" s="90"/>
      <c r="J339" s="93">
        <f t="shared" si="31"/>
        <v>8199</v>
      </c>
      <c r="K339" s="90"/>
      <c r="L339" s="90"/>
      <c r="M339" s="90"/>
      <c r="N339" s="90">
        <v>8199</v>
      </c>
      <c r="O339" s="90">
        <v>8199</v>
      </c>
      <c r="P339" s="100">
        <f t="shared" si="32"/>
        <v>8199</v>
      </c>
    </row>
    <row r="340" spans="1:16" s="49" customFormat="1" ht="34.5" customHeight="1">
      <c r="A340" s="62"/>
      <c r="B340" s="63" t="s">
        <v>142</v>
      </c>
      <c r="C340" s="64" t="s">
        <v>86</v>
      </c>
      <c r="D340" s="65" t="s">
        <v>143</v>
      </c>
      <c r="E340" s="88">
        <f>F340+I340</f>
        <v>55000</v>
      </c>
      <c r="F340" s="89">
        <f>11280+38720+5000</f>
        <v>55000</v>
      </c>
      <c r="G340" s="90"/>
      <c r="H340" s="90"/>
      <c r="I340" s="90"/>
      <c r="J340" s="91">
        <f t="shared" si="31"/>
        <v>0</v>
      </c>
      <c r="K340" s="90"/>
      <c r="L340" s="90"/>
      <c r="M340" s="90"/>
      <c r="N340" s="90"/>
      <c r="O340" s="90"/>
      <c r="P340" s="100">
        <f t="shared" si="32"/>
        <v>55000</v>
      </c>
    </row>
    <row r="341" spans="1:16" s="49" customFormat="1" ht="34.5" customHeight="1">
      <c r="A341" s="62"/>
      <c r="B341" s="63"/>
      <c r="C341" s="64"/>
      <c r="D341" s="6" t="s">
        <v>344</v>
      </c>
      <c r="E341" s="88">
        <f>F341+I341</f>
        <v>5000</v>
      </c>
      <c r="F341" s="89">
        <v>5000</v>
      </c>
      <c r="G341" s="90"/>
      <c r="H341" s="90"/>
      <c r="I341" s="90"/>
      <c r="J341" s="88">
        <f>K341+N341</f>
        <v>0</v>
      </c>
      <c r="K341" s="90"/>
      <c r="L341" s="90"/>
      <c r="M341" s="90"/>
      <c r="N341" s="90"/>
      <c r="O341" s="90"/>
      <c r="P341" s="100">
        <f t="shared" si="32"/>
        <v>5000</v>
      </c>
    </row>
    <row r="342" spans="1:16" s="47" customFormat="1" ht="15">
      <c r="A342" s="42"/>
      <c r="B342" s="42" t="s">
        <v>336</v>
      </c>
      <c r="C342" s="42" t="s">
        <v>337</v>
      </c>
      <c r="D342" s="45" t="s">
        <v>338</v>
      </c>
      <c r="E342" s="86">
        <f>SUM(F342,I342)</f>
        <v>11323</v>
      </c>
      <c r="F342" s="94">
        <v>11323</v>
      </c>
      <c r="G342" s="94">
        <v>9281</v>
      </c>
      <c r="H342" s="94"/>
      <c r="I342" s="96"/>
      <c r="J342" s="86">
        <f>SUM(K342,N342)</f>
        <v>0</v>
      </c>
      <c r="K342" s="96"/>
      <c r="L342" s="96"/>
      <c r="M342" s="96"/>
      <c r="N342" s="96"/>
      <c r="O342" s="96"/>
      <c r="P342" s="102">
        <f>SUM(E342,J342)</f>
        <v>11323</v>
      </c>
    </row>
    <row r="343" spans="1:16" s="46" customFormat="1" ht="45">
      <c r="A343" s="129" t="s">
        <v>314</v>
      </c>
      <c r="B343" s="130"/>
      <c r="C343" s="130"/>
      <c r="D343" s="77" t="s">
        <v>368</v>
      </c>
      <c r="E343" s="77">
        <f>SUM(F343,I343)</f>
        <v>147979829.74</v>
      </c>
      <c r="F343" s="77">
        <f>F344+F345+F347+F349+F351+F353+F356+F358+F360+F364+F366+F370+F372+F374+F376+F378+F380+F382+F384+F386+F390+F394+F402+F404+F405+F406+F407+F368+F398+F399+F388</f>
        <v>147979829.74</v>
      </c>
      <c r="G343" s="77">
        <f>G344+G345+G347+G349+G351+G353+G356+G358+G360+G364+G366+G370+G372+G374+G376+G378+G380+G382+G384+G386+G390+G394+G402+G404+G405+G406+G407+G368+G398+G399</f>
        <v>7264325</v>
      </c>
      <c r="H343" s="77">
        <f>H344+H345+H347+H349+H351+H353+H356+H358+H360+H364+H366+H370+H372+H374+H376+H378+H380+H382+H384+H386+H390+H394+H402+H404+H405+H406+H407+H368+H398+H399</f>
        <v>321250</v>
      </c>
      <c r="I343" s="77">
        <f>I344+I345+I347+I349+I351+I353+I356+I358+I360+I364+I366+I370+I372+I374+I376+I378+I380+I382+I384+I386+I390+I394+I402+I404+I405+I406+I407+I368+I398+I399</f>
        <v>0</v>
      </c>
      <c r="J343" s="77">
        <f>K343+N343</f>
        <v>44400</v>
      </c>
      <c r="K343" s="77">
        <f>K344+K345+K347+K349+K351+K353+K356+K358+K360+K364+K366+K370+K372+K374+K376+K378+K380+K382+K384+K386+K390+K394+K402+K404+K405+K406+K407+K368+K398+K399</f>
        <v>44400</v>
      </c>
      <c r="L343" s="77">
        <f>L344+L345+L347+L349+L351+L353+L356+L358+L360+L364+L366+L370+L372+L374+L376+L378+L380+L382+L384+L386+L390+L394+L402+L404+L405+L406+L407+L368+L398+L399</f>
        <v>30400</v>
      </c>
      <c r="M343" s="77">
        <f>M344+M345+M347+M349+M351+M353+M356+M358+M360+M364+M366+M370+M372+M374+M376+M378+M380+M382+M384+M386+M390+M394+M402+M404+M405+M406+M407+M368+M398+M399</f>
        <v>0</v>
      </c>
      <c r="N343" s="77">
        <f>N344+N345+N347+N349+N351+N353+N356+N358+N360+N364+N366+N370+N372+N374+N376+N378+N380+N382+N384+N386+N390+N394+N402+N404+N405+N406+N407+N368+N398+N399</f>
        <v>0</v>
      </c>
      <c r="O343" s="77">
        <f>O344+O345+O347+O349+O351+O353+O356+O358+O360+O364+O366+O370+O372+O374+O376+O378+O380+O382+O384+O386+O390+O394+O402+O404+O405+O406+O407+O368+O398+O399</f>
        <v>0</v>
      </c>
      <c r="P343" s="104">
        <f>E343+J343</f>
        <v>148024229.74</v>
      </c>
    </row>
    <row r="344" spans="1:16" s="46" customFormat="1" ht="15">
      <c r="A344" s="54"/>
      <c r="B344" s="66" t="s">
        <v>18</v>
      </c>
      <c r="C344" s="66" t="s">
        <v>17</v>
      </c>
      <c r="D344" s="56" t="s">
        <v>19</v>
      </c>
      <c r="E344" s="85">
        <f>F344++I344</f>
        <v>5404949</v>
      </c>
      <c r="F344" s="56">
        <f>5914957-605778+273741-177971</f>
        <v>5404949</v>
      </c>
      <c r="G344" s="56">
        <f>4236212+232150-147107</f>
        <v>4321255</v>
      </c>
      <c r="H344" s="56"/>
      <c r="I344" s="56"/>
      <c r="J344" s="81">
        <f aca="true" t="shared" si="34" ref="J344:J406">K344+N344</f>
        <v>0</v>
      </c>
      <c r="K344" s="56"/>
      <c r="L344" s="56"/>
      <c r="M344" s="56"/>
      <c r="N344" s="56"/>
      <c r="O344" s="56"/>
      <c r="P344" s="105">
        <f>E344+J344</f>
        <v>5404949</v>
      </c>
    </row>
    <row r="345" spans="1:16" s="50" customFormat="1" ht="30">
      <c r="A345" s="42"/>
      <c r="B345" s="59" t="s">
        <v>84</v>
      </c>
      <c r="C345" s="67" t="s">
        <v>24</v>
      </c>
      <c r="D345" s="2" t="s">
        <v>85</v>
      </c>
      <c r="E345" s="85">
        <f>F345++I345</f>
        <v>1741030</v>
      </c>
      <c r="F345" s="2">
        <f>F346</f>
        <v>1741030</v>
      </c>
      <c r="G345" s="2"/>
      <c r="H345" s="2"/>
      <c r="I345" s="2"/>
      <c r="J345" s="81">
        <f t="shared" si="34"/>
        <v>0</v>
      </c>
      <c r="K345" s="2"/>
      <c r="L345" s="2"/>
      <c r="M345" s="2"/>
      <c r="N345" s="2"/>
      <c r="O345" s="2"/>
      <c r="P345" s="105">
        <f aca="true" t="shared" si="35" ref="P345:P407">E345+J345</f>
        <v>1741030</v>
      </c>
    </row>
    <row r="346" spans="1:16" s="50" customFormat="1" ht="135">
      <c r="A346" s="42"/>
      <c r="B346" s="59"/>
      <c r="C346" s="67"/>
      <c r="D346" s="68" t="s">
        <v>263</v>
      </c>
      <c r="E346" s="85">
        <f>F346++I346</f>
        <v>1741030</v>
      </c>
      <c r="F346" s="2">
        <f>1838030-97000</f>
        <v>1741030</v>
      </c>
      <c r="G346" s="2"/>
      <c r="H346" s="2"/>
      <c r="I346" s="2"/>
      <c r="J346" s="81">
        <f t="shared" si="34"/>
        <v>0</v>
      </c>
      <c r="K346" s="2"/>
      <c r="L346" s="2"/>
      <c r="M346" s="2"/>
      <c r="N346" s="2"/>
      <c r="O346" s="2"/>
      <c r="P346" s="87">
        <f t="shared" si="35"/>
        <v>1741030</v>
      </c>
    </row>
    <row r="347" spans="1:16" s="50" customFormat="1" ht="240">
      <c r="A347" s="42"/>
      <c r="B347" s="59" t="s">
        <v>87</v>
      </c>
      <c r="C347" s="67" t="s">
        <v>86</v>
      </c>
      <c r="D347" s="2" t="s">
        <v>88</v>
      </c>
      <c r="E347" s="85">
        <f aca="true" t="shared" si="36" ref="E347:E403">F347++I347</f>
        <v>9000000</v>
      </c>
      <c r="F347" s="2">
        <f>F348</f>
        <v>9000000</v>
      </c>
      <c r="G347" s="2"/>
      <c r="H347" s="2"/>
      <c r="I347" s="2"/>
      <c r="J347" s="81">
        <f t="shared" si="34"/>
        <v>0</v>
      </c>
      <c r="K347" s="2"/>
      <c r="L347" s="2"/>
      <c r="M347" s="2"/>
      <c r="N347" s="2"/>
      <c r="O347" s="2"/>
      <c r="P347" s="87">
        <f t="shared" si="35"/>
        <v>9000000</v>
      </c>
    </row>
    <row r="348" spans="1:16" s="50" customFormat="1" ht="116.25" customHeight="1">
      <c r="A348" s="42"/>
      <c r="B348" s="59"/>
      <c r="C348" s="67"/>
      <c r="D348" s="68" t="s">
        <v>264</v>
      </c>
      <c r="E348" s="85">
        <f t="shared" si="36"/>
        <v>9000000</v>
      </c>
      <c r="F348" s="2">
        <f>16000000-4000000-500000-2500000</f>
        <v>9000000</v>
      </c>
      <c r="G348" s="2"/>
      <c r="H348" s="2"/>
      <c r="I348" s="2"/>
      <c r="J348" s="81">
        <f t="shared" si="34"/>
        <v>0</v>
      </c>
      <c r="K348" s="2"/>
      <c r="L348" s="2"/>
      <c r="M348" s="2"/>
      <c r="N348" s="2"/>
      <c r="O348" s="2"/>
      <c r="P348" s="87">
        <f t="shared" si="35"/>
        <v>9000000</v>
      </c>
    </row>
    <row r="349" spans="1:16" s="50" customFormat="1" ht="210" hidden="1">
      <c r="A349" s="42"/>
      <c r="B349" s="59" t="s">
        <v>89</v>
      </c>
      <c r="C349" s="67" t="s">
        <v>86</v>
      </c>
      <c r="D349" s="2" t="s">
        <v>90</v>
      </c>
      <c r="E349" s="85">
        <f t="shared" si="36"/>
        <v>0</v>
      </c>
      <c r="F349" s="2">
        <f>F350</f>
        <v>0</v>
      </c>
      <c r="G349" s="2"/>
      <c r="H349" s="2"/>
      <c r="I349" s="2"/>
      <c r="J349" s="81">
        <f t="shared" si="34"/>
        <v>0</v>
      </c>
      <c r="K349" s="2"/>
      <c r="L349" s="2"/>
      <c r="M349" s="2"/>
      <c r="N349" s="2"/>
      <c r="O349" s="2"/>
      <c r="P349" s="87">
        <f t="shared" si="35"/>
        <v>0</v>
      </c>
    </row>
    <row r="350" spans="1:16" s="50" customFormat="1" ht="75" hidden="1">
      <c r="A350" s="42"/>
      <c r="B350" s="59"/>
      <c r="C350" s="67"/>
      <c r="D350" s="68" t="s">
        <v>266</v>
      </c>
      <c r="E350" s="85">
        <f t="shared" si="36"/>
        <v>0</v>
      </c>
      <c r="F350" s="2">
        <f>7100-7100</f>
        <v>0</v>
      </c>
      <c r="G350" s="2"/>
      <c r="H350" s="2"/>
      <c r="I350" s="2"/>
      <c r="J350" s="81">
        <f t="shared" si="34"/>
        <v>0</v>
      </c>
      <c r="K350" s="2"/>
      <c r="L350" s="2"/>
      <c r="M350" s="2"/>
      <c r="N350" s="2"/>
      <c r="O350" s="2"/>
      <c r="P350" s="87">
        <f t="shared" si="35"/>
        <v>0</v>
      </c>
    </row>
    <row r="351" spans="1:16" s="50" customFormat="1" ht="225" hidden="1">
      <c r="A351" s="42"/>
      <c r="B351" s="59" t="s">
        <v>91</v>
      </c>
      <c r="C351" s="67" t="s">
        <v>86</v>
      </c>
      <c r="D351" s="2" t="s">
        <v>92</v>
      </c>
      <c r="E351" s="85">
        <f t="shared" si="36"/>
        <v>0</v>
      </c>
      <c r="F351" s="2">
        <f>F352</f>
        <v>0</v>
      </c>
      <c r="G351" s="2"/>
      <c r="H351" s="2"/>
      <c r="I351" s="2"/>
      <c r="J351" s="81">
        <f t="shared" si="34"/>
        <v>0</v>
      </c>
      <c r="K351" s="2"/>
      <c r="L351" s="2"/>
      <c r="M351" s="2"/>
      <c r="N351" s="2"/>
      <c r="O351" s="2"/>
      <c r="P351" s="87">
        <f t="shared" si="35"/>
        <v>0</v>
      </c>
    </row>
    <row r="352" spans="1:16" s="50" customFormat="1" ht="0.75" customHeight="1" hidden="1">
      <c r="A352" s="42"/>
      <c r="B352" s="59"/>
      <c r="C352" s="67"/>
      <c r="D352" s="68" t="s">
        <v>265</v>
      </c>
      <c r="E352" s="85">
        <f t="shared" si="36"/>
        <v>0</v>
      </c>
      <c r="F352" s="2">
        <f>15000-15000</f>
        <v>0</v>
      </c>
      <c r="G352" s="2"/>
      <c r="H352" s="2"/>
      <c r="I352" s="2"/>
      <c r="J352" s="81">
        <f t="shared" si="34"/>
        <v>0</v>
      </c>
      <c r="K352" s="2"/>
      <c r="L352" s="2"/>
      <c r="M352" s="2"/>
      <c r="N352" s="2"/>
      <c r="O352" s="2"/>
      <c r="P352" s="87">
        <f t="shared" si="35"/>
        <v>0</v>
      </c>
    </row>
    <row r="353" spans="1:16" s="50" customFormat="1" ht="360">
      <c r="A353" s="42"/>
      <c r="B353" s="59" t="s">
        <v>93</v>
      </c>
      <c r="C353" s="67" t="s">
        <v>86</v>
      </c>
      <c r="D353" s="2" t="s">
        <v>267</v>
      </c>
      <c r="E353" s="85">
        <f t="shared" si="36"/>
        <v>1200000</v>
      </c>
      <c r="F353" s="2">
        <f>F355</f>
        <v>1200000</v>
      </c>
      <c r="G353" s="2"/>
      <c r="H353" s="2"/>
      <c r="I353" s="2"/>
      <c r="J353" s="81">
        <f t="shared" si="34"/>
        <v>0</v>
      </c>
      <c r="K353" s="2"/>
      <c r="L353" s="2"/>
      <c r="M353" s="2"/>
      <c r="N353" s="2"/>
      <c r="O353" s="2"/>
      <c r="P353" s="87">
        <f t="shared" si="35"/>
        <v>1200000</v>
      </c>
    </row>
    <row r="354" spans="1:16" s="50" customFormat="1" ht="345">
      <c r="A354" s="42"/>
      <c r="B354" s="59"/>
      <c r="C354" s="67"/>
      <c r="D354" s="2" t="s">
        <v>268</v>
      </c>
      <c r="E354" s="85"/>
      <c r="F354" s="2"/>
      <c r="G354" s="2"/>
      <c r="H354" s="2"/>
      <c r="I354" s="2"/>
      <c r="J354" s="81"/>
      <c r="K354" s="2"/>
      <c r="L354" s="2"/>
      <c r="M354" s="2"/>
      <c r="N354" s="2"/>
      <c r="O354" s="2"/>
      <c r="P354" s="87">
        <f t="shared" si="35"/>
        <v>0</v>
      </c>
    </row>
    <row r="355" spans="1:16" s="50" customFormat="1" ht="135">
      <c r="A355" s="42"/>
      <c r="B355" s="59"/>
      <c r="C355" s="59"/>
      <c r="D355" s="68" t="s">
        <v>264</v>
      </c>
      <c r="E355" s="81">
        <f t="shared" si="36"/>
        <v>1200000</v>
      </c>
      <c r="F355" s="2">
        <v>1200000</v>
      </c>
      <c r="G355" s="2"/>
      <c r="H355" s="2"/>
      <c r="I355" s="2"/>
      <c r="J355" s="81">
        <f t="shared" si="34"/>
        <v>0</v>
      </c>
      <c r="K355" s="2"/>
      <c r="L355" s="2"/>
      <c r="M355" s="2"/>
      <c r="N355" s="2"/>
      <c r="O355" s="2"/>
      <c r="P355" s="87">
        <f t="shared" si="35"/>
        <v>1200000</v>
      </c>
    </row>
    <row r="356" spans="1:16" s="50" customFormat="1" ht="90">
      <c r="A356" s="42"/>
      <c r="B356" s="59" t="s">
        <v>95</v>
      </c>
      <c r="C356" s="67" t="s">
        <v>94</v>
      </c>
      <c r="D356" s="2" t="s">
        <v>96</v>
      </c>
      <c r="E356" s="85">
        <f t="shared" si="36"/>
        <v>1000000</v>
      </c>
      <c r="F356" s="2">
        <f>F357</f>
        <v>1000000</v>
      </c>
      <c r="G356" s="2"/>
      <c r="H356" s="2"/>
      <c r="I356" s="2"/>
      <c r="J356" s="81">
        <f t="shared" si="34"/>
        <v>0</v>
      </c>
      <c r="K356" s="2"/>
      <c r="L356" s="2"/>
      <c r="M356" s="2"/>
      <c r="N356" s="2"/>
      <c r="O356" s="2"/>
      <c r="P356" s="87">
        <f t="shared" si="35"/>
        <v>1000000</v>
      </c>
    </row>
    <row r="357" spans="1:16" s="50" customFormat="1" ht="119.25" customHeight="1">
      <c r="A357" s="42"/>
      <c r="B357" s="59"/>
      <c r="C357" s="67"/>
      <c r="D357" s="68" t="s">
        <v>264</v>
      </c>
      <c r="E357" s="85">
        <f t="shared" si="36"/>
        <v>1000000</v>
      </c>
      <c r="F357" s="2">
        <v>1000000</v>
      </c>
      <c r="G357" s="2"/>
      <c r="H357" s="2"/>
      <c r="I357" s="2"/>
      <c r="J357" s="81">
        <f t="shared" si="34"/>
        <v>0</v>
      </c>
      <c r="K357" s="2"/>
      <c r="L357" s="2"/>
      <c r="M357" s="2"/>
      <c r="N357" s="2"/>
      <c r="O357" s="2"/>
      <c r="P357" s="87">
        <f t="shared" si="35"/>
        <v>1000000</v>
      </c>
    </row>
    <row r="358" spans="1:16" s="50" customFormat="1" ht="90" hidden="1">
      <c r="A358" s="42"/>
      <c r="B358" s="59" t="s">
        <v>238</v>
      </c>
      <c r="C358" s="67" t="s">
        <v>94</v>
      </c>
      <c r="D358" s="69" t="s">
        <v>239</v>
      </c>
      <c r="E358" s="85">
        <f t="shared" si="36"/>
        <v>0</v>
      </c>
      <c r="F358" s="2">
        <f>F359</f>
        <v>0</v>
      </c>
      <c r="G358" s="2"/>
      <c r="H358" s="2"/>
      <c r="I358" s="2"/>
      <c r="J358" s="81">
        <f t="shared" si="34"/>
        <v>0</v>
      </c>
      <c r="K358" s="2"/>
      <c r="L358" s="2"/>
      <c r="M358" s="2"/>
      <c r="N358" s="2"/>
      <c r="O358" s="2"/>
      <c r="P358" s="87">
        <f t="shared" si="35"/>
        <v>0</v>
      </c>
    </row>
    <row r="359" spans="1:16" s="50" customFormat="1" ht="75" hidden="1">
      <c r="A359" s="42"/>
      <c r="B359" s="59"/>
      <c r="C359" s="67"/>
      <c r="D359" s="68" t="s">
        <v>266</v>
      </c>
      <c r="E359" s="85">
        <f t="shared" si="36"/>
        <v>0</v>
      </c>
      <c r="F359" s="2">
        <v>0</v>
      </c>
      <c r="G359" s="2"/>
      <c r="H359" s="2"/>
      <c r="I359" s="2"/>
      <c r="J359" s="81">
        <f t="shared" si="34"/>
        <v>0</v>
      </c>
      <c r="K359" s="2"/>
      <c r="L359" s="2"/>
      <c r="M359" s="2"/>
      <c r="N359" s="2"/>
      <c r="O359" s="2"/>
      <c r="P359" s="87">
        <f t="shared" si="35"/>
        <v>0</v>
      </c>
    </row>
    <row r="360" spans="1:16" s="50" customFormat="1" ht="90" hidden="1">
      <c r="A360" s="42"/>
      <c r="B360" s="59" t="s">
        <v>97</v>
      </c>
      <c r="C360" s="67" t="s">
        <v>94</v>
      </c>
      <c r="D360" s="2" t="s">
        <v>98</v>
      </c>
      <c r="E360" s="85">
        <f t="shared" si="36"/>
        <v>0</v>
      </c>
      <c r="F360" s="2">
        <f>F361</f>
        <v>0</v>
      </c>
      <c r="G360" s="2"/>
      <c r="H360" s="2"/>
      <c r="I360" s="2"/>
      <c r="J360" s="81">
        <f t="shared" si="34"/>
        <v>0</v>
      </c>
      <c r="K360" s="2"/>
      <c r="L360" s="2"/>
      <c r="M360" s="2"/>
      <c r="N360" s="2"/>
      <c r="O360" s="2"/>
      <c r="P360" s="87">
        <f t="shared" si="35"/>
        <v>0</v>
      </c>
    </row>
    <row r="361" spans="1:16" s="50" customFormat="1" ht="285" hidden="1">
      <c r="A361" s="42"/>
      <c r="B361" s="59"/>
      <c r="C361" s="67"/>
      <c r="D361" s="68" t="s">
        <v>265</v>
      </c>
      <c r="E361" s="85">
        <f t="shared" si="36"/>
        <v>0</v>
      </c>
      <c r="F361" s="2">
        <f>10000-10000</f>
        <v>0</v>
      </c>
      <c r="G361" s="2"/>
      <c r="H361" s="2"/>
      <c r="I361" s="2"/>
      <c r="J361" s="81">
        <f t="shared" si="34"/>
        <v>0</v>
      </c>
      <c r="K361" s="2"/>
      <c r="L361" s="2"/>
      <c r="M361" s="2"/>
      <c r="N361" s="2"/>
      <c r="O361" s="2"/>
      <c r="P361" s="87">
        <f t="shared" si="35"/>
        <v>0</v>
      </c>
    </row>
    <row r="362" spans="1:16" s="50" customFormat="1" ht="195" hidden="1">
      <c r="A362" s="42"/>
      <c r="B362" s="59" t="s">
        <v>99</v>
      </c>
      <c r="C362" s="67" t="s">
        <v>94</v>
      </c>
      <c r="D362" s="2" t="s">
        <v>100</v>
      </c>
      <c r="E362" s="85">
        <f t="shared" si="36"/>
        <v>0</v>
      </c>
      <c r="F362" s="2">
        <f>F363</f>
        <v>0</v>
      </c>
      <c r="G362" s="2"/>
      <c r="H362" s="2"/>
      <c r="I362" s="2"/>
      <c r="J362" s="81">
        <f t="shared" si="34"/>
        <v>0</v>
      </c>
      <c r="K362" s="2"/>
      <c r="L362" s="2"/>
      <c r="M362" s="2"/>
      <c r="N362" s="2"/>
      <c r="O362" s="2"/>
      <c r="P362" s="87">
        <f t="shared" si="35"/>
        <v>0</v>
      </c>
    </row>
    <row r="363" spans="1:16" s="50" customFormat="1" ht="135" hidden="1">
      <c r="A363" s="42"/>
      <c r="B363" s="59"/>
      <c r="C363" s="67"/>
      <c r="D363" s="68" t="s">
        <v>264</v>
      </c>
      <c r="E363" s="85">
        <f t="shared" si="36"/>
        <v>0</v>
      </c>
      <c r="F363" s="2">
        <v>0</v>
      </c>
      <c r="G363" s="2"/>
      <c r="H363" s="2"/>
      <c r="I363" s="2"/>
      <c r="J363" s="81">
        <f t="shared" si="34"/>
        <v>0</v>
      </c>
      <c r="K363" s="2"/>
      <c r="L363" s="2"/>
      <c r="M363" s="2"/>
      <c r="N363" s="2"/>
      <c r="O363" s="2"/>
      <c r="P363" s="87">
        <f t="shared" si="35"/>
        <v>0</v>
      </c>
    </row>
    <row r="364" spans="1:16" s="50" customFormat="1" ht="0.75" customHeight="1" hidden="1">
      <c r="A364" s="42"/>
      <c r="B364" s="59" t="s">
        <v>101</v>
      </c>
      <c r="C364" s="67" t="s">
        <v>94</v>
      </c>
      <c r="D364" s="2" t="s">
        <v>102</v>
      </c>
      <c r="E364" s="85">
        <f t="shared" si="36"/>
        <v>0</v>
      </c>
      <c r="F364" s="2">
        <f>F365</f>
        <v>0</v>
      </c>
      <c r="G364" s="2"/>
      <c r="H364" s="2"/>
      <c r="I364" s="2"/>
      <c r="J364" s="81">
        <f t="shared" si="34"/>
        <v>0</v>
      </c>
      <c r="K364" s="2"/>
      <c r="L364" s="2"/>
      <c r="M364" s="2"/>
      <c r="N364" s="2"/>
      <c r="O364" s="2"/>
      <c r="P364" s="87">
        <f t="shared" si="35"/>
        <v>0</v>
      </c>
    </row>
    <row r="365" spans="1:16" s="50" customFormat="1" ht="285" hidden="1">
      <c r="A365" s="42"/>
      <c r="B365" s="59"/>
      <c r="C365" s="67"/>
      <c r="D365" s="68" t="s">
        <v>265</v>
      </c>
      <c r="E365" s="85">
        <f t="shared" si="36"/>
        <v>0</v>
      </c>
      <c r="F365" s="2">
        <f>482000-482000</f>
        <v>0</v>
      </c>
      <c r="G365" s="2"/>
      <c r="H365" s="2"/>
      <c r="I365" s="2"/>
      <c r="J365" s="81">
        <f t="shared" si="34"/>
        <v>0</v>
      </c>
      <c r="K365" s="2"/>
      <c r="L365" s="2"/>
      <c r="M365" s="2"/>
      <c r="N365" s="2"/>
      <c r="O365" s="2"/>
      <c r="P365" s="87">
        <f t="shared" si="35"/>
        <v>0</v>
      </c>
    </row>
    <row r="366" spans="1:16" s="50" customFormat="1" ht="120">
      <c r="A366" s="42"/>
      <c r="B366" s="59" t="s">
        <v>103</v>
      </c>
      <c r="C366" s="67" t="s">
        <v>94</v>
      </c>
      <c r="D366" s="2" t="s">
        <v>104</v>
      </c>
      <c r="E366" s="85">
        <f t="shared" si="36"/>
        <v>1100000</v>
      </c>
      <c r="F366" s="2">
        <f>F367</f>
        <v>1100000</v>
      </c>
      <c r="G366" s="2"/>
      <c r="H366" s="2"/>
      <c r="I366" s="2"/>
      <c r="J366" s="81">
        <f t="shared" si="34"/>
        <v>0</v>
      </c>
      <c r="K366" s="2"/>
      <c r="L366" s="2"/>
      <c r="M366" s="2"/>
      <c r="N366" s="2"/>
      <c r="O366" s="2"/>
      <c r="P366" s="87">
        <f t="shared" si="35"/>
        <v>1100000</v>
      </c>
    </row>
    <row r="367" spans="1:16" s="50" customFormat="1" ht="135">
      <c r="A367" s="42"/>
      <c r="B367" s="59"/>
      <c r="C367" s="67"/>
      <c r="D367" s="68" t="s">
        <v>264</v>
      </c>
      <c r="E367" s="85">
        <f t="shared" si="36"/>
        <v>1100000</v>
      </c>
      <c r="F367" s="2">
        <v>1100000</v>
      </c>
      <c r="G367" s="2"/>
      <c r="H367" s="2"/>
      <c r="I367" s="2"/>
      <c r="J367" s="81">
        <f t="shared" si="34"/>
        <v>0</v>
      </c>
      <c r="K367" s="2"/>
      <c r="L367" s="2"/>
      <c r="M367" s="2"/>
      <c r="N367" s="2"/>
      <c r="O367" s="2"/>
      <c r="P367" s="87">
        <f t="shared" si="35"/>
        <v>1100000</v>
      </c>
    </row>
    <row r="368" spans="1:16" s="50" customFormat="1" ht="135" hidden="1">
      <c r="A368" s="42"/>
      <c r="B368" s="59" t="s">
        <v>105</v>
      </c>
      <c r="C368" s="67" t="s">
        <v>94</v>
      </c>
      <c r="D368" s="2" t="s">
        <v>106</v>
      </c>
      <c r="E368" s="85">
        <f t="shared" si="36"/>
        <v>0</v>
      </c>
      <c r="F368" s="2">
        <f>F369</f>
        <v>0</v>
      </c>
      <c r="G368" s="2"/>
      <c r="H368" s="2"/>
      <c r="I368" s="2"/>
      <c r="J368" s="81">
        <f t="shared" si="34"/>
        <v>0</v>
      </c>
      <c r="K368" s="2"/>
      <c r="L368" s="2"/>
      <c r="M368" s="2"/>
      <c r="N368" s="2"/>
      <c r="O368" s="2"/>
      <c r="P368" s="87">
        <f t="shared" si="35"/>
        <v>0</v>
      </c>
    </row>
    <row r="369" spans="1:16" s="50" customFormat="1" ht="75" hidden="1">
      <c r="A369" s="42"/>
      <c r="B369" s="59"/>
      <c r="C369" s="67"/>
      <c r="D369" s="68" t="s">
        <v>266</v>
      </c>
      <c r="E369" s="85">
        <f t="shared" si="36"/>
        <v>0</v>
      </c>
      <c r="F369" s="2">
        <f>900-900</f>
        <v>0</v>
      </c>
      <c r="G369" s="2"/>
      <c r="H369" s="2"/>
      <c r="I369" s="2"/>
      <c r="J369" s="81">
        <f t="shared" si="34"/>
        <v>0</v>
      </c>
      <c r="K369" s="2"/>
      <c r="L369" s="2"/>
      <c r="M369" s="2"/>
      <c r="N369" s="2"/>
      <c r="O369" s="2"/>
      <c r="P369" s="87">
        <f t="shared" si="35"/>
        <v>0</v>
      </c>
    </row>
    <row r="370" spans="1:16" s="50" customFormat="1" ht="15">
      <c r="A370" s="42"/>
      <c r="B370" s="59" t="s">
        <v>107</v>
      </c>
      <c r="C370" s="67" t="s">
        <v>48</v>
      </c>
      <c r="D370" s="2" t="s">
        <v>108</v>
      </c>
      <c r="E370" s="85">
        <f t="shared" si="36"/>
        <v>739000</v>
      </c>
      <c r="F370" s="2">
        <f>F371</f>
        <v>739000</v>
      </c>
      <c r="G370" s="2"/>
      <c r="H370" s="2"/>
      <c r="I370" s="2"/>
      <c r="J370" s="81">
        <f t="shared" si="34"/>
        <v>0</v>
      </c>
      <c r="K370" s="2"/>
      <c r="L370" s="2"/>
      <c r="M370" s="2"/>
      <c r="N370" s="2"/>
      <c r="O370" s="2"/>
      <c r="P370" s="87">
        <f t="shared" si="35"/>
        <v>739000</v>
      </c>
    </row>
    <row r="371" spans="1:16" s="50" customFormat="1" ht="105">
      <c r="A371" s="42"/>
      <c r="B371" s="59"/>
      <c r="C371" s="67"/>
      <c r="D371" s="68" t="s">
        <v>262</v>
      </c>
      <c r="E371" s="85">
        <f t="shared" si="36"/>
        <v>739000</v>
      </c>
      <c r="F371" s="2">
        <v>739000</v>
      </c>
      <c r="G371" s="2"/>
      <c r="H371" s="2"/>
      <c r="I371" s="2"/>
      <c r="J371" s="81">
        <f t="shared" si="34"/>
        <v>0</v>
      </c>
      <c r="K371" s="2"/>
      <c r="L371" s="2"/>
      <c r="M371" s="2"/>
      <c r="N371" s="2"/>
      <c r="O371" s="2"/>
      <c r="P371" s="87">
        <f t="shared" si="35"/>
        <v>739000</v>
      </c>
    </row>
    <row r="372" spans="1:16" s="50" customFormat="1" ht="30">
      <c r="A372" s="42"/>
      <c r="B372" s="59" t="s">
        <v>109</v>
      </c>
      <c r="C372" s="67" t="s">
        <v>48</v>
      </c>
      <c r="D372" s="2" t="s">
        <v>110</v>
      </c>
      <c r="E372" s="85">
        <f t="shared" si="36"/>
        <v>549300</v>
      </c>
      <c r="F372" s="2">
        <f>F373</f>
        <v>549300</v>
      </c>
      <c r="G372" s="2"/>
      <c r="H372" s="2"/>
      <c r="I372" s="2"/>
      <c r="J372" s="81">
        <f t="shared" si="34"/>
        <v>0</v>
      </c>
      <c r="K372" s="2"/>
      <c r="L372" s="2"/>
      <c r="M372" s="2"/>
      <c r="N372" s="2"/>
      <c r="O372" s="2"/>
      <c r="P372" s="87">
        <f t="shared" si="35"/>
        <v>549300</v>
      </c>
    </row>
    <row r="373" spans="1:16" s="50" customFormat="1" ht="105">
      <c r="A373" s="42"/>
      <c r="B373" s="59"/>
      <c r="C373" s="67"/>
      <c r="D373" s="68" t="s">
        <v>262</v>
      </c>
      <c r="E373" s="85">
        <f t="shared" si="36"/>
        <v>549300</v>
      </c>
      <c r="F373" s="2">
        <f>639000-89700</f>
        <v>549300</v>
      </c>
      <c r="G373" s="2"/>
      <c r="H373" s="2"/>
      <c r="I373" s="2"/>
      <c r="J373" s="81">
        <f t="shared" si="34"/>
        <v>0</v>
      </c>
      <c r="K373" s="2"/>
      <c r="L373" s="2"/>
      <c r="M373" s="2"/>
      <c r="N373" s="2"/>
      <c r="O373" s="2"/>
      <c r="P373" s="87">
        <f t="shared" si="35"/>
        <v>549300</v>
      </c>
    </row>
    <row r="374" spans="1:16" s="50" customFormat="1" ht="15">
      <c r="A374" s="42"/>
      <c r="B374" s="59" t="s">
        <v>111</v>
      </c>
      <c r="C374" s="67" t="s">
        <v>48</v>
      </c>
      <c r="D374" s="2" t="s">
        <v>112</v>
      </c>
      <c r="E374" s="85">
        <f t="shared" si="36"/>
        <v>34062200</v>
      </c>
      <c r="F374" s="2">
        <f>F375</f>
        <v>34062200</v>
      </c>
      <c r="G374" s="2"/>
      <c r="H374" s="2"/>
      <c r="I374" s="2"/>
      <c r="J374" s="81">
        <f t="shared" si="34"/>
        <v>0</v>
      </c>
      <c r="K374" s="2"/>
      <c r="L374" s="2"/>
      <c r="M374" s="2"/>
      <c r="N374" s="2"/>
      <c r="O374" s="2"/>
      <c r="P374" s="87">
        <f t="shared" si="35"/>
        <v>34062200</v>
      </c>
    </row>
    <row r="375" spans="1:16" s="50" customFormat="1" ht="105">
      <c r="A375" s="42"/>
      <c r="B375" s="59"/>
      <c r="C375" s="67"/>
      <c r="D375" s="68" t="s">
        <v>262</v>
      </c>
      <c r="E375" s="85">
        <f t="shared" si="36"/>
        <v>34062200</v>
      </c>
      <c r="F375" s="2">
        <f>41384000-1970200-3851600-1500000</f>
        <v>34062200</v>
      </c>
      <c r="G375" s="2"/>
      <c r="H375" s="2"/>
      <c r="I375" s="2"/>
      <c r="J375" s="81">
        <f t="shared" si="34"/>
        <v>0</v>
      </c>
      <c r="K375" s="2"/>
      <c r="L375" s="2"/>
      <c r="M375" s="2"/>
      <c r="N375" s="2"/>
      <c r="O375" s="2"/>
      <c r="P375" s="87">
        <f t="shared" si="35"/>
        <v>34062200</v>
      </c>
    </row>
    <row r="376" spans="1:16" s="50" customFormat="1" ht="30">
      <c r="A376" s="42"/>
      <c r="B376" s="59" t="s">
        <v>113</v>
      </c>
      <c r="C376" s="67" t="s">
        <v>48</v>
      </c>
      <c r="D376" s="2" t="s">
        <v>114</v>
      </c>
      <c r="E376" s="85">
        <f t="shared" si="36"/>
        <v>4040000</v>
      </c>
      <c r="F376" s="2">
        <f>F377</f>
        <v>4040000</v>
      </c>
      <c r="G376" s="2"/>
      <c r="H376" s="2"/>
      <c r="I376" s="2"/>
      <c r="J376" s="81">
        <f t="shared" si="34"/>
        <v>0</v>
      </c>
      <c r="K376" s="2"/>
      <c r="L376" s="2"/>
      <c r="M376" s="2"/>
      <c r="N376" s="2"/>
      <c r="O376" s="2"/>
      <c r="P376" s="87">
        <f t="shared" si="35"/>
        <v>4040000</v>
      </c>
    </row>
    <row r="377" spans="1:16" s="50" customFormat="1" ht="105">
      <c r="A377" s="42"/>
      <c r="B377" s="59"/>
      <c r="C377" s="67"/>
      <c r="D377" s="68" t="s">
        <v>262</v>
      </c>
      <c r="E377" s="85">
        <f t="shared" si="36"/>
        <v>4040000</v>
      </c>
      <c r="F377" s="2">
        <f>3695000+345000</f>
        <v>4040000</v>
      </c>
      <c r="G377" s="2"/>
      <c r="H377" s="2"/>
      <c r="I377" s="2"/>
      <c r="J377" s="81">
        <f t="shared" si="34"/>
        <v>0</v>
      </c>
      <c r="K377" s="2"/>
      <c r="L377" s="2"/>
      <c r="M377" s="2"/>
      <c r="N377" s="2"/>
      <c r="O377" s="2"/>
      <c r="P377" s="87">
        <f t="shared" si="35"/>
        <v>4040000</v>
      </c>
    </row>
    <row r="378" spans="1:16" s="50" customFormat="1" ht="15">
      <c r="A378" s="42"/>
      <c r="B378" s="59" t="s">
        <v>115</v>
      </c>
      <c r="C378" s="67" t="s">
        <v>48</v>
      </c>
      <c r="D378" s="2" t="s">
        <v>116</v>
      </c>
      <c r="E378" s="85">
        <f t="shared" si="36"/>
        <v>9785200</v>
      </c>
      <c r="F378" s="2">
        <f>F379</f>
        <v>9785200</v>
      </c>
      <c r="G378" s="2"/>
      <c r="H378" s="2"/>
      <c r="I378" s="2"/>
      <c r="J378" s="81">
        <f t="shared" si="34"/>
        <v>0</v>
      </c>
      <c r="K378" s="2"/>
      <c r="L378" s="2"/>
      <c r="M378" s="2"/>
      <c r="N378" s="2"/>
      <c r="O378" s="2"/>
      <c r="P378" s="87">
        <f t="shared" si="35"/>
        <v>9785200</v>
      </c>
    </row>
    <row r="379" spans="1:16" s="50" customFormat="1" ht="105">
      <c r="A379" s="42"/>
      <c r="B379" s="59"/>
      <c r="C379" s="67"/>
      <c r="D379" s="68" t="s">
        <v>262</v>
      </c>
      <c r="E379" s="85">
        <f t="shared" si="36"/>
        <v>9785200</v>
      </c>
      <c r="F379" s="2">
        <f>8129000-474000+200+130000+500000+1500000</f>
        <v>9785200</v>
      </c>
      <c r="G379" s="2"/>
      <c r="H379" s="2"/>
      <c r="I379" s="2"/>
      <c r="J379" s="81">
        <f t="shared" si="34"/>
        <v>0</v>
      </c>
      <c r="K379" s="2"/>
      <c r="L379" s="2"/>
      <c r="M379" s="2"/>
      <c r="N379" s="2"/>
      <c r="O379" s="2"/>
      <c r="P379" s="87">
        <f t="shared" si="35"/>
        <v>9785200</v>
      </c>
    </row>
    <row r="380" spans="1:16" s="50" customFormat="1" ht="15">
      <c r="A380" s="42"/>
      <c r="B380" s="59" t="s">
        <v>117</v>
      </c>
      <c r="C380" s="67" t="s">
        <v>48</v>
      </c>
      <c r="D380" s="2" t="s">
        <v>118</v>
      </c>
      <c r="E380" s="85">
        <f t="shared" si="36"/>
        <v>608930</v>
      </c>
      <c r="F380" s="2">
        <f>F381</f>
        <v>608930</v>
      </c>
      <c r="G380" s="2"/>
      <c r="H380" s="2"/>
      <c r="I380" s="2"/>
      <c r="J380" s="81">
        <f t="shared" si="34"/>
        <v>0</v>
      </c>
      <c r="K380" s="2"/>
      <c r="L380" s="2"/>
      <c r="M380" s="2"/>
      <c r="N380" s="2"/>
      <c r="O380" s="2"/>
      <c r="P380" s="87">
        <f t="shared" si="35"/>
        <v>608930</v>
      </c>
    </row>
    <row r="381" spans="1:16" s="50" customFormat="1" ht="105">
      <c r="A381" s="42"/>
      <c r="B381" s="59"/>
      <c r="C381" s="67"/>
      <c r="D381" s="68" t="s">
        <v>262</v>
      </c>
      <c r="E381" s="85">
        <f t="shared" si="36"/>
        <v>608930</v>
      </c>
      <c r="F381" s="2">
        <f>1478000-370370-198700-300000</f>
        <v>608930</v>
      </c>
      <c r="G381" s="2"/>
      <c r="H381" s="2"/>
      <c r="I381" s="2"/>
      <c r="J381" s="81">
        <f t="shared" si="34"/>
        <v>0</v>
      </c>
      <c r="K381" s="2"/>
      <c r="L381" s="2"/>
      <c r="M381" s="2"/>
      <c r="N381" s="2"/>
      <c r="O381" s="2"/>
      <c r="P381" s="87">
        <f t="shared" si="35"/>
        <v>608930</v>
      </c>
    </row>
    <row r="382" spans="1:16" s="50" customFormat="1" ht="15">
      <c r="A382" s="42"/>
      <c r="B382" s="59" t="s">
        <v>119</v>
      </c>
      <c r="C382" s="67" t="s">
        <v>48</v>
      </c>
      <c r="D382" s="2" t="s">
        <v>120</v>
      </c>
      <c r="E382" s="85">
        <f t="shared" si="36"/>
        <v>150430</v>
      </c>
      <c r="F382" s="2">
        <f>F383</f>
        <v>150430</v>
      </c>
      <c r="G382" s="2"/>
      <c r="H382" s="2"/>
      <c r="I382" s="2"/>
      <c r="J382" s="81">
        <f t="shared" si="34"/>
        <v>0</v>
      </c>
      <c r="K382" s="2"/>
      <c r="L382" s="2"/>
      <c r="M382" s="2"/>
      <c r="N382" s="2"/>
      <c r="O382" s="2"/>
      <c r="P382" s="87">
        <f t="shared" si="35"/>
        <v>150430</v>
      </c>
    </row>
    <row r="383" spans="1:16" s="50" customFormat="1" ht="105">
      <c r="A383" s="42"/>
      <c r="B383" s="59"/>
      <c r="C383" s="67"/>
      <c r="D383" s="68" t="s">
        <v>262</v>
      </c>
      <c r="E383" s="85">
        <f t="shared" si="36"/>
        <v>150430</v>
      </c>
      <c r="F383" s="2">
        <f>100000+50430</f>
        <v>150430</v>
      </c>
      <c r="G383" s="2"/>
      <c r="H383" s="2"/>
      <c r="I383" s="2"/>
      <c r="J383" s="81">
        <f t="shared" si="34"/>
        <v>0</v>
      </c>
      <c r="K383" s="2"/>
      <c r="L383" s="2"/>
      <c r="M383" s="2"/>
      <c r="N383" s="2"/>
      <c r="O383" s="2"/>
      <c r="P383" s="87">
        <f t="shared" si="35"/>
        <v>150430</v>
      </c>
    </row>
    <row r="384" spans="1:16" s="50" customFormat="1" ht="30">
      <c r="A384" s="42"/>
      <c r="B384" s="59" t="s">
        <v>121</v>
      </c>
      <c r="C384" s="67" t="s">
        <v>48</v>
      </c>
      <c r="D384" s="2" t="s">
        <v>122</v>
      </c>
      <c r="E384" s="85">
        <f t="shared" si="36"/>
        <v>6372910</v>
      </c>
      <c r="F384" s="2">
        <f>F385</f>
        <v>6372910</v>
      </c>
      <c r="G384" s="2"/>
      <c r="H384" s="2"/>
      <c r="I384" s="2"/>
      <c r="J384" s="81">
        <f t="shared" si="34"/>
        <v>0</v>
      </c>
      <c r="K384" s="2"/>
      <c r="L384" s="2"/>
      <c r="M384" s="2"/>
      <c r="N384" s="2"/>
      <c r="O384" s="2"/>
      <c r="P384" s="87">
        <f t="shared" si="35"/>
        <v>6372910</v>
      </c>
    </row>
    <row r="385" spans="1:16" s="50" customFormat="1" ht="105">
      <c r="A385" s="42"/>
      <c r="B385" s="59"/>
      <c r="C385" s="67"/>
      <c r="D385" s="68" t="s">
        <v>262</v>
      </c>
      <c r="E385" s="85">
        <f t="shared" si="36"/>
        <v>6372910</v>
      </c>
      <c r="F385" s="2">
        <f>4434000-211090+2150000</f>
        <v>6372910</v>
      </c>
      <c r="G385" s="2"/>
      <c r="H385" s="2"/>
      <c r="I385" s="2"/>
      <c r="J385" s="81">
        <f t="shared" si="34"/>
        <v>0</v>
      </c>
      <c r="K385" s="2"/>
      <c r="L385" s="2"/>
      <c r="M385" s="2"/>
      <c r="N385" s="2"/>
      <c r="O385" s="2"/>
      <c r="P385" s="87">
        <f t="shared" si="35"/>
        <v>6372910</v>
      </c>
    </row>
    <row r="386" spans="1:16" s="50" customFormat="1" ht="30">
      <c r="A386" s="42"/>
      <c r="B386" s="59" t="s">
        <v>124</v>
      </c>
      <c r="C386" s="67" t="s">
        <v>123</v>
      </c>
      <c r="D386" s="2" t="s">
        <v>125</v>
      </c>
      <c r="E386" s="85">
        <f t="shared" si="36"/>
        <v>52919200</v>
      </c>
      <c r="F386" s="2">
        <f>F387</f>
        <v>52919200</v>
      </c>
      <c r="G386" s="2"/>
      <c r="H386" s="2"/>
      <c r="I386" s="2"/>
      <c r="J386" s="81">
        <f t="shared" si="34"/>
        <v>0</v>
      </c>
      <c r="K386" s="2"/>
      <c r="L386" s="2"/>
      <c r="M386" s="2"/>
      <c r="N386" s="2"/>
      <c r="O386" s="2"/>
      <c r="P386" s="87">
        <f t="shared" si="35"/>
        <v>52919200</v>
      </c>
    </row>
    <row r="387" spans="1:16" s="50" customFormat="1" ht="135">
      <c r="A387" s="42"/>
      <c r="B387" s="59"/>
      <c r="C387" s="67"/>
      <c r="D387" s="68" t="s">
        <v>264</v>
      </c>
      <c r="E387" s="85">
        <f t="shared" si="36"/>
        <v>52919200</v>
      </c>
      <c r="F387" s="2">
        <f>68614900-18508700+5313000-2500000</f>
        <v>52919200</v>
      </c>
      <c r="G387" s="2"/>
      <c r="H387" s="2"/>
      <c r="I387" s="2"/>
      <c r="J387" s="81">
        <f t="shared" si="34"/>
        <v>0</v>
      </c>
      <c r="K387" s="2"/>
      <c r="L387" s="2"/>
      <c r="M387" s="2"/>
      <c r="N387" s="2"/>
      <c r="O387" s="2"/>
      <c r="P387" s="87">
        <f t="shared" si="35"/>
        <v>52919200</v>
      </c>
    </row>
    <row r="388" spans="1:16" s="50" customFormat="1" ht="45">
      <c r="A388" s="42"/>
      <c r="B388" s="59" t="s">
        <v>126</v>
      </c>
      <c r="C388" s="67" t="s">
        <v>123</v>
      </c>
      <c r="D388" s="2" t="s">
        <v>127</v>
      </c>
      <c r="E388" s="85">
        <f>F388++I388</f>
        <v>42060.74</v>
      </c>
      <c r="F388" s="2">
        <f>F389</f>
        <v>42060.74</v>
      </c>
      <c r="G388" s="2"/>
      <c r="H388" s="2"/>
      <c r="I388" s="2"/>
      <c r="J388" s="81">
        <f t="shared" si="34"/>
        <v>0</v>
      </c>
      <c r="K388" s="2"/>
      <c r="L388" s="2"/>
      <c r="M388" s="2"/>
      <c r="N388" s="2"/>
      <c r="O388" s="2"/>
      <c r="P388" s="87">
        <f t="shared" si="35"/>
        <v>42060.74</v>
      </c>
    </row>
    <row r="389" spans="1:16" s="50" customFormat="1" ht="75">
      <c r="A389" s="42"/>
      <c r="B389" s="59"/>
      <c r="C389" s="67"/>
      <c r="D389" s="68" t="s">
        <v>266</v>
      </c>
      <c r="E389" s="85">
        <f t="shared" si="36"/>
        <v>42060.74</v>
      </c>
      <c r="F389" s="2">
        <f>16100+6200+15735+4025.74</f>
        <v>42060.74</v>
      </c>
      <c r="G389" s="2"/>
      <c r="H389" s="2"/>
      <c r="I389" s="2"/>
      <c r="J389" s="81">
        <f t="shared" si="34"/>
        <v>0</v>
      </c>
      <c r="K389" s="2"/>
      <c r="L389" s="2"/>
      <c r="M389" s="2"/>
      <c r="N389" s="2"/>
      <c r="O389" s="2"/>
      <c r="P389" s="87">
        <f t="shared" si="35"/>
        <v>42060.74</v>
      </c>
    </row>
    <row r="390" spans="1:16" s="50" customFormat="1" ht="60" hidden="1">
      <c r="A390" s="42"/>
      <c r="B390" s="59" t="s">
        <v>128</v>
      </c>
      <c r="C390" s="67" t="s">
        <v>123</v>
      </c>
      <c r="D390" s="2" t="s">
        <v>129</v>
      </c>
      <c r="E390" s="85">
        <f t="shared" si="36"/>
        <v>0</v>
      </c>
      <c r="F390" s="2">
        <f>F391</f>
        <v>0</v>
      </c>
      <c r="G390" s="2"/>
      <c r="H390" s="2"/>
      <c r="I390" s="2"/>
      <c r="J390" s="81">
        <f t="shared" si="34"/>
        <v>0</v>
      </c>
      <c r="K390" s="2"/>
      <c r="L390" s="2"/>
      <c r="M390" s="2"/>
      <c r="N390" s="2"/>
      <c r="O390" s="2"/>
      <c r="P390" s="87">
        <f t="shared" si="35"/>
        <v>0</v>
      </c>
    </row>
    <row r="391" spans="1:16" s="50" customFormat="1" ht="135" hidden="1">
      <c r="A391" s="42"/>
      <c r="B391" s="59"/>
      <c r="C391" s="67"/>
      <c r="D391" s="68" t="s">
        <v>264</v>
      </c>
      <c r="E391" s="85">
        <f t="shared" si="36"/>
        <v>0</v>
      </c>
      <c r="F391" s="2"/>
      <c r="G391" s="2"/>
      <c r="H391" s="2"/>
      <c r="I391" s="2"/>
      <c r="J391" s="81">
        <f t="shared" si="34"/>
        <v>0</v>
      </c>
      <c r="K391" s="2"/>
      <c r="L391" s="2"/>
      <c r="M391" s="2"/>
      <c r="N391" s="2"/>
      <c r="O391" s="2"/>
      <c r="P391" s="87">
        <f t="shared" si="35"/>
        <v>0</v>
      </c>
    </row>
    <row r="392" spans="1:16" s="50" customFormat="1" ht="15" hidden="1">
      <c r="A392" s="42"/>
      <c r="B392" s="59" t="s">
        <v>131</v>
      </c>
      <c r="C392" s="67" t="s">
        <v>130</v>
      </c>
      <c r="D392" s="2" t="s">
        <v>132</v>
      </c>
      <c r="E392" s="85">
        <f t="shared" si="36"/>
        <v>0</v>
      </c>
      <c r="F392" s="2"/>
      <c r="G392" s="2"/>
      <c r="H392" s="2"/>
      <c r="I392" s="2"/>
      <c r="J392" s="81">
        <f t="shared" si="34"/>
        <v>0</v>
      </c>
      <c r="K392" s="2"/>
      <c r="L392" s="2"/>
      <c r="M392" s="2"/>
      <c r="N392" s="2"/>
      <c r="O392" s="2"/>
      <c r="P392" s="87">
        <f t="shared" si="35"/>
        <v>0</v>
      </c>
    </row>
    <row r="393" spans="1:16" s="50" customFormat="1" ht="30" hidden="1">
      <c r="A393" s="42"/>
      <c r="B393" s="59"/>
      <c r="C393" s="67"/>
      <c r="D393" s="2" t="s">
        <v>279</v>
      </c>
      <c r="E393" s="85">
        <f t="shared" si="36"/>
        <v>0</v>
      </c>
      <c r="F393" s="2"/>
      <c r="G393" s="2"/>
      <c r="H393" s="2"/>
      <c r="I393" s="2"/>
      <c r="J393" s="81">
        <f t="shared" si="34"/>
        <v>0</v>
      </c>
      <c r="K393" s="2"/>
      <c r="L393" s="2"/>
      <c r="M393" s="2"/>
      <c r="N393" s="2"/>
      <c r="O393" s="2"/>
      <c r="P393" s="87">
        <f t="shared" si="35"/>
        <v>0</v>
      </c>
    </row>
    <row r="394" spans="1:16" s="50" customFormat="1" ht="30">
      <c r="A394" s="42"/>
      <c r="B394" s="59" t="s">
        <v>134</v>
      </c>
      <c r="C394" s="67" t="s">
        <v>133</v>
      </c>
      <c r="D394" s="2" t="s">
        <v>135</v>
      </c>
      <c r="E394" s="85">
        <f t="shared" si="36"/>
        <v>3356000</v>
      </c>
      <c r="F394" s="2">
        <f>F395</f>
        <v>3356000</v>
      </c>
      <c r="G394" s="2"/>
      <c r="H394" s="2"/>
      <c r="I394" s="2"/>
      <c r="J394" s="81">
        <f t="shared" si="34"/>
        <v>0</v>
      </c>
      <c r="K394" s="2"/>
      <c r="L394" s="2"/>
      <c r="M394" s="2"/>
      <c r="N394" s="2"/>
      <c r="O394" s="2"/>
      <c r="P394" s="87">
        <f t="shared" si="35"/>
        <v>3356000</v>
      </c>
    </row>
    <row r="395" spans="1:16" s="50" customFormat="1" ht="105">
      <c r="A395" s="42"/>
      <c r="B395" s="59"/>
      <c r="C395" s="67"/>
      <c r="D395" s="68" t="s">
        <v>262</v>
      </c>
      <c r="E395" s="85">
        <f t="shared" si="36"/>
        <v>3356000</v>
      </c>
      <c r="F395" s="2">
        <f>2956000+600000-200000</f>
        <v>3356000</v>
      </c>
      <c r="G395" s="2"/>
      <c r="H395" s="2"/>
      <c r="I395" s="2"/>
      <c r="J395" s="81">
        <f t="shared" si="34"/>
        <v>0</v>
      </c>
      <c r="K395" s="2"/>
      <c r="L395" s="2"/>
      <c r="M395" s="2"/>
      <c r="N395" s="2"/>
      <c r="O395" s="2"/>
      <c r="P395" s="87">
        <f t="shared" si="35"/>
        <v>3356000</v>
      </c>
    </row>
    <row r="396" spans="1:16" s="50" customFormat="1" ht="75" hidden="1">
      <c r="A396" s="42"/>
      <c r="B396" s="59" t="s">
        <v>136</v>
      </c>
      <c r="C396" s="67" t="s">
        <v>123</v>
      </c>
      <c r="D396" s="2" t="s">
        <v>137</v>
      </c>
      <c r="E396" s="85">
        <f t="shared" si="36"/>
        <v>0</v>
      </c>
      <c r="F396" s="2">
        <f>F397</f>
        <v>0</v>
      </c>
      <c r="G396" s="2"/>
      <c r="H396" s="2"/>
      <c r="I396" s="2"/>
      <c r="J396" s="81">
        <f t="shared" si="34"/>
        <v>0</v>
      </c>
      <c r="K396" s="2"/>
      <c r="L396" s="2"/>
      <c r="M396" s="2"/>
      <c r="N396" s="2"/>
      <c r="O396" s="2"/>
      <c r="P396" s="87">
        <f t="shared" si="35"/>
        <v>0</v>
      </c>
    </row>
    <row r="397" spans="1:16" s="50" customFormat="1" ht="75" hidden="1">
      <c r="A397" s="42"/>
      <c r="B397" s="59"/>
      <c r="C397" s="67"/>
      <c r="D397" s="68" t="s">
        <v>266</v>
      </c>
      <c r="E397" s="85">
        <f t="shared" si="36"/>
        <v>0</v>
      </c>
      <c r="F397" s="2">
        <v>0</v>
      </c>
      <c r="G397" s="2"/>
      <c r="H397" s="2"/>
      <c r="I397" s="2"/>
      <c r="J397" s="81">
        <f t="shared" si="34"/>
        <v>0</v>
      </c>
      <c r="K397" s="2"/>
      <c r="L397" s="2"/>
      <c r="M397" s="2"/>
      <c r="N397" s="2"/>
      <c r="O397" s="2"/>
      <c r="P397" s="87">
        <f t="shared" si="35"/>
        <v>0</v>
      </c>
    </row>
    <row r="398" spans="1:16" s="50" customFormat="1" ht="90">
      <c r="A398" s="42"/>
      <c r="B398" s="59" t="s">
        <v>138</v>
      </c>
      <c r="C398" s="67" t="s">
        <v>133</v>
      </c>
      <c r="D398" s="2" t="s">
        <v>139</v>
      </c>
      <c r="E398" s="85">
        <f t="shared" si="36"/>
        <v>284010</v>
      </c>
      <c r="F398" s="2">
        <v>284010</v>
      </c>
      <c r="G398" s="2"/>
      <c r="H398" s="2"/>
      <c r="I398" s="2"/>
      <c r="J398" s="81">
        <f t="shared" si="34"/>
        <v>0</v>
      </c>
      <c r="K398" s="2"/>
      <c r="L398" s="2"/>
      <c r="M398" s="2"/>
      <c r="N398" s="2"/>
      <c r="O398" s="2"/>
      <c r="P398" s="87">
        <f t="shared" si="35"/>
        <v>284010</v>
      </c>
    </row>
    <row r="399" spans="1:16" s="50" customFormat="1" ht="90">
      <c r="A399" s="42"/>
      <c r="B399" s="59" t="s">
        <v>140</v>
      </c>
      <c r="C399" s="67" t="s">
        <v>123</v>
      </c>
      <c r="D399" s="2" t="s">
        <v>141</v>
      </c>
      <c r="E399" s="85">
        <f t="shared" si="36"/>
        <v>518060</v>
      </c>
      <c r="F399" s="2">
        <v>518060</v>
      </c>
      <c r="G399" s="2"/>
      <c r="H399" s="2"/>
      <c r="I399" s="2"/>
      <c r="J399" s="81">
        <f t="shared" si="34"/>
        <v>0</v>
      </c>
      <c r="K399" s="2"/>
      <c r="L399" s="2"/>
      <c r="M399" s="2"/>
      <c r="N399" s="2"/>
      <c r="O399" s="2"/>
      <c r="P399" s="87">
        <f t="shared" si="35"/>
        <v>518060</v>
      </c>
    </row>
    <row r="400" spans="1:16" s="50" customFormat="1" ht="30" hidden="1">
      <c r="A400" s="42"/>
      <c r="B400" s="59" t="s">
        <v>142</v>
      </c>
      <c r="C400" s="67" t="s">
        <v>86</v>
      </c>
      <c r="D400" s="2" t="s">
        <v>143</v>
      </c>
      <c r="E400" s="85">
        <f t="shared" si="36"/>
        <v>0</v>
      </c>
      <c r="F400" s="2">
        <v>0</v>
      </c>
      <c r="G400" s="2"/>
      <c r="H400" s="2"/>
      <c r="I400" s="2"/>
      <c r="J400" s="81">
        <f t="shared" si="34"/>
        <v>0</v>
      </c>
      <c r="K400" s="2"/>
      <c r="L400" s="2"/>
      <c r="M400" s="2"/>
      <c r="N400" s="2"/>
      <c r="O400" s="2"/>
      <c r="P400" s="87">
        <f t="shared" si="35"/>
        <v>0</v>
      </c>
    </row>
    <row r="401" spans="1:16" s="50" customFormat="1" ht="15" hidden="1">
      <c r="A401" s="42"/>
      <c r="B401" s="59" t="s">
        <v>144</v>
      </c>
      <c r="C401" s="67" t="s">
        <v>130</v>
      </c>
      <c r="D401" s="2" t="s">
        <v>145</v>
      </c>
      <c r="E401" s="85">
        <f t="shared" si="36"/>
        <v>0</v>
      </c>
      <c r="F401" s="2">
        <v>0</v>
      </c>
      <c r="G401" s="2">
        <v>0</v>
      </c>
      <c r="H401" s="2">
        <v>0</v>
      </c>
      <c r="I401" s="2"/>
      <c r="J401" s="81">
        <f t="shared" si="34"/>
        <v>0</v>
      </c>
      <c r="K401" s="2"/>
      <c r="L401" s="2"/>
      <c r="M401" s="2"/>
      <c r="N401" s="2"/>
      <c r="O401" s="2"/>
      <c r="P401" s="87">
        <f t="shared" si="35"/>
        <v>0</v>
      </c>
    </row>
    <row r="402" spans="1:16" s="50" customFormat="1" ht="30">
      <c r="A402" s="42"/>
      <c r="B402" s="59" t="s">
        <v>146</v>
      </c>
      <c r="C402" s="67" t="s">
        <v>133</v>
      </c>
      <c r="D402" s="2" t="s">
        <v>147</v>
      </c>
      <c r="E402" s="85">
        <f t="shared" si="36"/>
        <v>10898260</v>
      </c>
      <c r="F402" s="2">
        <f>F403</f>
        <v>10898260</v>
      </c>
      <c r="G402" s="2"/>
      <c r="H402" s="2"/>
      <c r="I402" s="2"/>
      <c r="J402" s="81">
        <f t="shared" si="34"/>
        <v>0</v>
      </c>
      <c r="K402" s="2"/>
      <c r="L402" s="2"/>
      <c r="M402" s="2"/>
      <c r="N402" s="2"/>
      <c r="O402" s="2"/>
      <c r="P402" s="87">
        <f t="shared" si="35"/>
        <v>10898260</v>
      </c>
    </row>
    <row r="403" spans="1:16" s="50" customFormat="1" ht="105">
      <c r="A403" s="42"/>
      <c r="B403" s="59"/>
      <c r="C403" s="67"/>
      <c r="D403" s="68" t="s">
        <v>262</v>
      </c>
      <c r="E403" s="85">
        <f t="shared" si="36"/>
        <v>10898260</v>
      </c>
      <c r="F403" s="2">
        <f>10346000-492540+1044800</f>
        <v>10898260</v>
      </c>
      <c r="G403" s="2"/>
      <c r="H403" s="2"/>
      <c r="I403" s="2"/>
      <c r="J403" s="81">
        <f t="shared" si="34"/>
        <v>0</v>
      </c>
      <c r="K403" s="2"/>
      <c r="L403" s="2"/>
      <c r="M403" s="2"/>
      <c r="N403" s="2"/>
      <c r="O403" s="2"/>
      <c r="P403" s="87">
        <f t="shared" si="35"/>
        <v>10898260</v>
      </c>
    </row>
    <row r="404" spans="1:16" s="47" customFormat="1" ht="15">
      <c r="A404" s="54"/>
      <c r="B404" s="66" t="s">
        <v>131</v>
      </c>
      <c r="C404" s="66" t="s">
        <v>130</v>
      </c>
      <c r="D404" s="56" t="s">
        <v>132</v>
      </c>
      <c r="E404" s="87">
        <f>F404</f>
        <v>33840</v>
      </c>
      <c r="F404" s="56">
        <v>33840</v>
      </c>
      <c r="G404" s="56"/>
      <c r="H404" s="56"/>
      <c r="I404" s="56"/>
      <c r="J404" s="81">
        <f t="shared" si="34"/>
        <v>0</v>
      </c>
      <c r="K404" s="56"/>
      <c r="L404" s="56"/>
      <c r="M404" s="56"/>
      <c r="N404" s="56"/>
      <c r="O404" s="56"/>
      <c r="P404" s="105">
        <f t="shared" si="35"/>
        <v>33840</v>
      </c>
    </row>
    <row r="405" spans="1:16" s="47" customFormat="1" ht="30">
      <c r="A405" s="54"/>
      <c r="B405" s="66" t="s">
        <v>312</v>
      </c>
      <c r="C405" s="66" t="s">
        <v>315</v>
      </c>
      <c r="D405" s="56" t="s">
        <v>316</v>
      </c>
      <c r="E405" s="87">
        <f>F405</f>
        <v>4119450</v>
      </c>
      <c r="F405" s="56">
        <f>4491780-423830+50000+1500</f>
        <v>4119450</v>
      </c>
      <c r="G405" s="56">
        <v>2943070</v>
      </c>
      <c r="H405" s="56">
        <v>321250</v>
      </c>
      <c r="I405" s="56"/>
      <c r="J405" s="81">
        <f t="shared" si="34"/>
        <v>44400</v>
      </c>
      <c r="K405" s="56">
        <v>44400</v>
      </c>
      <c r="L405" s="56">
        <v>30400</v>
      </c>
      <c r="M405" s="56"/>
      <c r="N405" s="56"/>
      <c r="O405" s="56"/>
      <c r="P405" s="105">
        <f t="shared" si="35"/>
        <v>4163850</v>
      </c>
    </row>
    <row r="406" spans="1:16" s="47" customFormat="1" ht="30">
      <c r="A406" s="54"/>
      <c r="B406" s="66" t="s">
        <v>142</v>
      </c>
      <c r="C406" s="66" t="s">
        <v>86</v>
      </c>
      <c r="D406" s="56" t="s">
        <v>143</v>
      </c>
      <c r="E406" s="87">
        <f>F406+I406</f>
        <v>55000</v>
      </c>
      <c r="F406" s="56">
        <f>16920+33080+5000</f>
        <v>55000</v>
      </c>
      <c r="G406" s="56"/>
      <c r="H406" s="56"/>
      <c r="I406" s="56"/>
      <c r="J406" s="81">
        <f t="shared" si="34"/>
        <v>0</v>
      </c>
      <c r="K406" s="56"/>
      <c r="L406" s="56"/>
      <c r="M406" s="56"/>
      <c r="N406" s="56"/>
      <c r="O406" s="56"/>
      <c r="P406" s="105">
        <f t="shared" si="35"/>
        <v>55000</v>
      </c>
    </row>
    <row r="407" spans="1:16" s="60" customFormat="1" ht="15" hidden="1">
      <c r="A407" s="42"/>
      <c r="B407" s="51">
        <v>250404</v>
      </c>
      <c r="C407" s="59" t="s">
        <v>185</v>
      </c>
      <c r="D407" s="2" t="s">
        <v>56</v>
      </c>
      <c r="E407" s="81">
        <f>F407</f>
        <v>0</v>
      </c>
      <c r="F407" s="2"/>
      <c r="G407" s="2"/>
      <c r="H407" s="2"/>
      <c r="I407" s="2"/>
      <c r="J407" s="81">
        <f aca="true" t="shared" si="37" ref="J407:J412">K407+N407</f>
        <v>0</v>
      </c>
      <c r="K407" s="2"/>
      <c r="L407" s="2"/>
      <c r="M407" s="2"/>
      <c r="N407" s="2"/>
      <c r="O407" s="2"/>
      <c r="P407" s="87">
        <f t="shared" si="35"/>
        <v>0</v>
      </c>
    </row>
    <row r="408" spans="1:16" ht="24" customHeight="1">
      <c r="A408" s="33" t="s">
        <v>154</v>
      </c>
      <c r="B408" s="32"/>
      <c r="C408" s="34"/>
      <c r="D408" s="11" t="s">
        <v>359</v>
      </c>
      <c r="E408" s="1">
        <f aca="true" t="shared" si="38" ref="E408:E421">F408+I408</f>
        <v>3546016</v>
      </c>
      <c r="F408" s="1">
        <f>SUM(F409:F412)</f>
        <v>3546016</v>
      </c>
      <c r="G408" s="1">
        <f>SUM(G409:G412)</f>
        <v>1781528</v>
      </c>
      <c r="H408" s="1">
        <f>SUM(H409:H412)</f>
        <v>360222</v>
      </c>
      <c r="I408" s="1">
        <f>SUM(I409:I412)</f>
        <v>0</v>
      </c>
      <c r="J408" s="1">
        <f t="shared" si="37"/>
        <v>507835</v>
      </c>
      <c r="K408" s="1">
        <f>SUM(K409:K412)</f>
        <v>0</v>
      </c>
      <c r="L408" s="1">
        <f>SUM(L409:L412)</f>
        <v>0</v>
      </c>
      <c r="M408" s="1">
        <f>SUM(M409:M412)</f>
        <v>0</v>
      </c>
      <c r="N408" s="1">
        <f>SUM(N409:N412)</f>
        <v>507835</v>
      </c>
      <c r="O408" s="1">
        <f>SUM(O409:O412)</f>
        <v>507835</v>
      </c>
      <c r="P408" s="1">
        <f aca="true" t="shared" si="39" ref="P408:P413">E408+J408</f>
        <v>4053851</v>
      </c>
    </row>
    <row r="409" spans="1:16" ht="15">
      <c r="A409" s="3"/>
      <c r="B409" s="4" t="s">
        <v>18</v>
      </c>
      <c r="C409" s="5" t="s">
        <v>17</v>
      </c>
      <c r="D409" s="6" t="s">
        <v>19</v>
      </c>
      <c r="E409" s="81">
        <f t="shared" si="38"/>
        <v>634916</v>
      </c>
      <c r="F409" s="83">
        <f>639157-58508+14733+38334+1200</f>
        <v>634916</v>
      </c>
      <c r="G409" s="83">
        <f>409145+11963+9700</f>
        <v>430808</v>
      </c>
      <c r="H409" s="83">
        <v>46202</v>
      </c>
      <c r="I409" s="83"/>
      <c r="J409" s="81">
        <f t="shared" si="37"/>
        <v>0</v>
      </c>
      <c r="K409" s="83"/>
      <c r="L409" s="83"/>
      <c r="M409" s="83"/>
      <c r="N409" s="83">
        <f>12000-12000</f>
        <v>0</v>
      </c>
      <c r="O409" s="83">
        <f>12000-12000</f>
        <v>0</v>
      </c>
      <c r="P409" s="100">
        <f t="shared" si="39"/>
        <v>634916</v>
      </c>
    </row>
    <row r="410" spans="1:16" ht="45">
      <c r="A410" s="3"/>
      <c r="B410" s="4" t="s">
        <v>155</v>
      </c>
      <c r="C410" s="5" t="s">
        <v>48</v>
      </c>
      <c r="D410" s="6" t="s">
        <v>156</v>
      </c>
      <c r="E410" s="81">
        <f t="shared" si="38"/>
        <v>2766160</v>
      </c>
      <c r="F410" s="83">
        <f>2895120-193200+4000+14250+590+26820+3170+410+15000</f>
        <v>2766160</v>
      </c>
      <c r="G410" s="83">
        <v>1350720</v>
      </c>
      <c r="H410" s="83">
        <v>314020</v>
      </c>
      <c r="I410" s="83"/>
      <c r="J410" s="81">
        <f t="shared" si="37"/>
        <v>7835</v>
      </c>
      <c r="K410" s="83"/>
      <c r="L410" s="83"/>
      <c r="M410" s="83"/>
      <c r="N410" s="83">
        <f>4000-4000+7835</f>
        <v>7835</v>
      </c>
      <c r="O410" s="83">
        <f>4000-4000+7835</f>
        <v>7835</v>
      </c>
      <c r="P410" s="100">
        <f t="shared" si="39"/>
        <v>2773995</v>
      </c>
    </row>
    <row r="411" spans="1:16" ht="15">
      <c r="A411" s="21"/>
      <c r="B411" s="4" t="s">
        <v>55</v>
      </c>
      <c r="C411" s="5" t="s">
        <v>48</v>
      </c>
      <c r="D411" s="6" t="s">
        <v>56</v>
      </c>
      <c r="E411" s="81">
        <f t="shared" si="38"/>
        <v>35000</v>
      </c>
      <c r="F411" s="84">
        <v>35000</v>
      </c>
      <c r="G411" s="84"/>
      <c r="H411" s="84"/>
      <c r="I411" s="84"/>
      <c r="J411" s="81">
        <f t="shared" si="37"/>
        <v>0</v>
      </c>
      <c r="K411" s="84"/>
      <c r="L411" s="84"/>
      <c r="M411" s="84"/>
      <c r="N411" s="84"/>
      <c r="O411" s="84"/>
      <c r="P411" s="100">
        <f t="shared" si="39"/>
        <v>35000</v>
      </c>
    </row>
    <row r="412" spans="1:16" ht="15">
      <c r="A412" s="21"/>
      <c r="B412" s="23" t="s">
        <v>157</v>
      </c>
      <c r="C412" s="24" t="s">
        <v>48</v>
      </c>
      <c r="D412" s="25" t="s">
        <v>158</v>
      </c>
      <c r="E412" s="81">
        <f t="shared" si="38"/>
        <v>109940</v>
      </c>
      <c r="F412" s="84">
        <f>102140+9000-1200</f>
        <v>109940</v>
      </c>
      <c r="G412" s="84"/>
      <c r="H412" s="84"/>
      <c r="I412" s="84"/>
      <c r="J412" s="81">
        <f t="shared" si="37"/>
        <v>500000</v>
      </c>
      <c r="K412" s="84"/>
      <c r="L412" s="84"/>
      <c r="M412" s="84"/>
      <c r="N412" s="84">
        <v>500000</v>
      </c>
      <c r="O412" s="89">
        <v>500000</v>
      </c>
      <c r="P412" s="100">
        <f t="shared" si="39"/>
        <v>609940</v>
      </c>
    </row>
    <row r="413" spans="1:16" s="47" customFormat="1" ht="30">
      <c r="A413" s="118" t="s">
        <v>317</v>
      </c>
      <c r="B413" s="32"/>
      <c r="C413" s="32"/>
      <c r="D413" s="78" t="s">
        <v>342</v>
      </c>
      <c r="E413" s="99">
        <f t="shared" si="38"/>
        <v>585169</v>
      </c>
      <c r="F413" s="99">
        <f>F414+F415</f>
        <v>585169</v>
      </c>
      <c r="G413" s="99">
        <f aca="true" t="shared" si="40" ref="G413:O413">G414+G415</f>
        <v>427864</v>
      </c>
      <c r="H413" s="99">
        <f t="shared" si="40"/>
        <v>24577</v>
      </c>
      <c r="I413" s="99">
        <f t="shared" si="40"/>
        <v>0</v>
      </c>
      <c r="J413" s="99">
        <f t="shared" si="40"/>
        <v>0</v>
      </c>
      <c r="K413" s="99">
        <f t="shared" si="40"/>
        <v>0</v>
      </c>
      <c r="L413" s="99">
        <f t="shared" si="40"/>
        <v>0</v>
      </c>
      <c r="M413" s="99">
        <f t="shared" si="40"/>
        <v>0</v>
      </c>
      <c r="N413" s="99">
        <f t="shared" si="40"/>
        <v>0</v>
      </c>
      <c r="O413" s="99">
        <f t="shared" si="40"/>
        <v>0</v>
      </c>
      <c r="P413" s="101">
        <f t="shared" si="39"/>
        <v>585169</v>
      </c>
    </row>
    <row r="414" spans="1:16" s="47" customFormat="1" ht="15">
      <c r="A414" s="42"/>
      <c r="B414" s="40" t="s">
        <v>318</v>
      </c>
      <c r="C414" s="40" t="s">
        <v>319</v>
      </c>
      <c r="D414" s="48" t="s">
        <v>19</v>
      </c>
      <c r="E414" s="86">
        <f t="shared" si="38"/>
        <v>566269</v>
      </c>
      <c r="F414" s="94">
        <f>726107-71692-89646+1500</f>
        <v>566269</v>
      </c>
      <c r="G414" s="94">
        <f>501344-73480</f>
        <v>427864</v>
      </c>
      <c r="H414" s="94">
        <v>24577</v>
      </c>
      <c r="I414" s="94"/>
      <c r="J414" s="86"/>
      <c r="K414" s="94"/>
      <c r="L414" s="94"/>
      <c r="M414" s="94"/>
      <c r="N414" s="94"/>
      <c r="O414" s="94"/>
      <c r="P414" s="102">
        <f>SUM(E414,J414)</f>
        <v>566269</v>
      </c>
    </row>
    <row r="415" spans="1:16" s="47" customFormat="1" ht="15">
      <c r="A415" s="95"/>
      <c r="B415" s="63" t="s">
        <v>157</v>
      </c>
      <c r="C415" s="64" t="s">
        <v>48</v>
      </c>
      <c r="D415" s="65" t="s">
        <v>158</v>
      </c>
      <c r="E415" s="86">
        <f t="shared" si="38"/>
        <v>18900</v>
      </c>
      <c r="F415" s="94">
        <v>18900</v>
      </c>
      <c r="G415" s="94"/>
      <c r="H415" s="94"/>
      <c r="I415" s="94"/>
      <c r="J415" s="86"/>
      <c r="K415" s="94"/>
      <c r="L415" s="94"/>
      <c r="M415" s="94"/>
      <c r="N415" s="94"/>
      <c r="O415" s="94"/>
      <c r="P415" s="102">
        <f>SUM(E415,J415)</f>
        <v>18900</v>
      </c>
    </row>
    <row r="416" spans="1:16" s="49" customFormat="1" ht="30">
      <c r="A416" s="131" t="s">
        <v>320</v>
      </c>
      <c r="B416" s="32"/>
      <c r="C416" s="132"/>
      <c r="D416" s="35" t="s">
        <v>346</v>
      </c>
      <c r="E416" s="1">
        <f t="shared" si="38"/>
        <v>595670</v>
      </c>
      <c r="F416" s="1">
        <f>F417+F418</f>
        <v>595670</v>
      </c>
      <c r="G416" s="1">
        <f>G417+G418</f>
        <v>443552</v>
      </c>
      <c r="H416" s="1">
        <f>H417+H418</f>
        <v>24356</v>
      </c>
      <c r="I416" s="1">
        <f>I417+I418</f>
        <v>0</v>
      </c>
      <c r="J416" s="1">
        <f aca="true" t="shared" si="41" ref="J416:J421">K416+N416</f>
        <v>0</v>
      </c>
      <c r="K416" s="1">
        <f>K417+K418</f>
        <v>0</v>
      </c>
      <c r="L416" s="1">
        <f>L417+L418</f>
        <v>0</v>
      </c>
      <c r="M416" s="1">
        <f>M417+M418</f>
        <v>0</v>
      </c>
      <c r="N416" s="1">
        <f>N417+N418</f>
        <v>0</v>
      </c>
      <c r="O416" s="1">
        <f>O417+O418</f>
        <v>0</v>
      </c>
      <c r="P416" s="103">
        <f aca="true" t="shared" si="42" ref="P416:P421">E416+J416</f>
        <v>595670</v>
      </c>
    </row>
    <row r="417" spans="1:16" s="49" customFormat="1" ht="15">
      <c r="A417" s="70"/>
      <c r="B417" s="71" t="s">
        <v>18</v>
      </c>
      <c r="C417" s="72" t="s">
        <v>17</v>
      </c>
      <c r="D417" s="73" t="s">
        <v>19</v>
      </c>
      <c r="E417" s="97">
        <f t="shared" si="38"/>
        <v>592290</v>
      </c>
      <c r="F417" s="98">
        <f>720014-72886-59351+4513</f>
        <v>592290</v>
      </c>
      <c r="G417" s="98">
        <f>509695-48648-17495</f>
        <v>443552</v>
      </c>
      <c r="H417" s="98">
        <f>0+24356</f>
        <v>24356</v>
      </c>
      <c r="I417" s="98"/>
      <c r="J417" s="97">
        <f t="shared" si="41"/>
        <v>0</v>
      </c>
      <c r="K417" s="98"/>
      <c r="L417" s="98"/>
      <c r="M417" s="98"/>
      <c r="N417" s="98"/>
      <c r="O417" s="98"/>
      <c r="P417" s="106">
        <f t="shared" si="42"/>
        <v>592290</v>
      </c>
    </row>
    <row r="418" spans="1:16" s="49" customFormat="1" ht="15">
      <c r="A418" s="42"/>
      <c r="B418" s="63" t="s">
        <v>157</v>
      </c>
      <c r="C418" s="64" t="s">
        <v>48</v>
      </c>
      <c r="D418" s="65" t="s">
        <v>158</v>
      </c>
      <c r="E418" s="81">
        <f t="shared" si="38"/>
        <v>3380</v>
      </c>
      <c r="F418" s="2">
        <v>3380</v>
      </c>
      <c r="G418" s="2"/>
      <c r="H418" s="2"/>
      <c r="I418" s="2"/>
      <c r="J418" s="81">
        <f t="shared" si="41"/>
        <v>0</v>
      </c>
      <c r="K418" s="2"/>
      <c r="L418" s="2"/>
      <c r="M418" s="2"/>
      <c r="N418" s="2"/>
      <c r="O418" s="2"/>
      <c r="P418" s="100">
        <f t="shared" si="42"/>
        <v>3380</v>
      </c>
    </row>
    <row r="419" spans="1:16" s="47" customFormat="1" ht="30">
      <c r="A419" s="129" t="s">
        <v>321</v>
      </c>
      <c r="B419" s="130"/>
      <c r="C419" s="130"/>
      <c r="D419" s="77" t="s">
        <v>347</v>
      </c>
      <c r="E419" s="77">
        <f t="shared" si="38"/>
        <v>586985</v>
      </c>
      <c r="F419" s="77">
        <f>F420+F421</f>
        <v>586985</v>
      </c>
      <c r="G419" s="77">
        <f>G420+G421</f>
        <v>457865</v>
      </c>
      <c r="H419" s="77">
        <f>H420+H421</f>
        <v>0</v>
      </c>
      <c r="I419" s="77">
        <f>I420+I421</f>
        <v>0</v>
      </c>
      <c r="J419" s="77">
        <f t="shared" si="41"/>
        <v>0</v>
      </c>
      <c r="K419" s="77">
        <f>K420+K421</f>
        <v>0</v>
      </c>
      <c r="L419" s="77">
        <f>L420+L421</f>
        <v>0</v>
      </c>
      <c r="M419" s="77">
        <f>M420+M421</f>
        <v>0</v>
      </c>
      <c r="N419" s="77">
        <f>N420+N421</f>
        <v>0</v>
      </c>
      <c r="O419" s="77">
        <f>O420+O421</f>
        <v>0</v>
      </c>
      <c r="P419" s="104">
        <f t="shared" si="42"/>
        <v>586985</v>
      </c>
    </row>
    <row r="420" spans="1:16" s="47" customFormat="1" ht="15">
      <c r="A420" s="54"/>
      <c r="B420" s="66" t="s">
        <v>18</v>
      </c>
      <c r="C420" s="66" t="s">
        <v>17</v>
      </c>
      <c r="D420" s="56" t="s">
        <v>19</v>
      </c>
      <c r="E420" s="87">
        <f t="shared" si="38"/>
        <v>572325</v>
      </c>
      <c r="F420" s="56">
        <f>695852-71778-70249+1500+17000</f>
        <v>572325</v>
      </c>
      <c r="G420" s="56">
        <f>501946-57581+13500</f>
        <v>457865</v>
      </c>
      <c r="H420" s="56">
        <v>0</v>
      </c>
      <c r="I420" s="56"/>
      <c r="J420" s="87">
        <f t="shared" si="41"/>
        <v>0</v>
      </c>
      <c r="K420" s="56"/>
      <c r="L420" s="56"/>
      <c r="M420" s="56"/>
      <c r="N420" s="56"/>
      <c r="O420" s="56"/>
      <c r="P420" s="105">
        <f>E420+J420</f>
        <v>572325</v>
      </c>
    </row>
    <row r="421" spans="1:16" s="47" customFormat="1" ht="15">
      <c r="A421" s="74"/>
      <c r="B421" s="75" t="s">
        <v>157</v>
      </c>
      <c r="C421" s="75" t="s">
        <v>48</v>
      </c>
      <c r="D421" s="76" t="s">
        <v>158</v>
      </c>
      <c r="E421" s="87">
        <f t="shared" si="38"/>
        <v>14660</v>
      </c>
      <c r="F421" s="76">
        <v>14660</v>
      </c>
      <c r="G421" s="76"/>
      <c r="H421" s="76"/>
      <c r="I421" s="76"/>
      <c r="J421" s="87">
        <f t="shared" si="41"/>
        <v>0</v>
      </c>
      <c r="K421" s="76"/>
      <c r="L421" s="76"/>
      <c r="M421" s="76"/>
      <c r="N421" s="76"/>
      <c r="O421" s="76"/>
      <c r="P421" s="107">
        <f t="shared" si="42"/>
        <v>14660</v>
      </c>
    </row>
    <row r="422" spans="1:16" ht="23.25" customHeight="1">
      <c r="A422" s="33" t="s">
        <v>159</v>
      </c>
      <c r="B422" s="32"/>
      <c r="C422" s="34"/>
      <c r="D422" s="35" t="s">
        <v>357</v>
      </c>
      <c r="E422" s="1">
        <f>F422+I422</f>
        <v>22358074</v>
      </c>
      <c r="F422" s="1">
        <f>SUM(F423:F432)</f>
        <v>22358074</v>
      </c>
      <c r="G422" s="1">
        <f>SUM(G423:G432)</f>
        <v>9255555</v>
      </c>
      <c r="H422" s="1">
        <f>SUM(H423:H432)</f>
        <v>1614893</v>
      </c>
      <c r="I422" s="1">
        <f>SUM(I423:I432)</f>
        <v>0</v>
      </c>
      <c r="J422" s="1">
        <f aca="true" t="shared" si="43" ref="J422:J444">K422+N422</f>
        <v>1697500</v>
      </c>
      <c r="K422" s="1">
        <f>SUM(K423:K432)</f>
        <v>1321800</v>
      </c>
      <c r="L422" s="1">
        <f>SUM(L423:L432)</f>
        <v>601000</v>
      </c>
      <c r="M422" s="1">
        <f>SUM(M423:M432)</f>
        <v>3900</v>
      </c>
      <c r="N422" s="1">
        <f>SUM(N423:N432)</f>
        <v>375700</v>
      </c>
      <c r="O422" s="1">
        <f>SUM(O423:O432)</f>
        <v>163000</v>
      </c>
      <c r="P422" s="1">
        <f>E422+J422</f>
        <v>24055574</v>
      </c>
    </row>
    <row r="423" spans="1:16" ht="15">
      <c r="A423" s="26"/>
      <c r="B423" s="27" t="s">
        <v>18</v>
      </c>
      <c r="C423" s="28" t="s">
        <v>17</v>
      </c>
      <c r="D423" s="29" t="s">
        <v>19</v>
      </c>
      <c r="E423" s="81">
        <f aca="true" t="shared" si="44" ref="E423:E432">F423+I423</f>
        <v>201577</v>
      </c>
      <c r="F423" s="82">
        <f>427406-41832-20851-163146</f>
        <v>201577</v>
      </c>
      <c r="G423" s="82">
        <f>292535-17091-118410</f>
        <v>157034</v>
      </c>
      <c r="H423" s="82">
        <f>16484-9603</f>
        <v>6881</v>
      </c>
      <c r="I423" s="82"/>
      <c r="J423" s="81">
        <f t="shared" si="43"/>
        <v>0</v>
      </c>
      <c r="K423" s="82"/>
      <c r="L423" s="82"/>
      <c r="M423" s="82"/>
      <c r="N423" s="82"/>
      <c r="O423" s="82"/>
      <c r="P423" s="81">
        <f>E423+J423</f>
        <v>201577</v>
      </c>
    </row>
    <row r="424" spans="1:16" ht="15">
      <c r="A424" s="3"/>
      <c r="B424" s="4" t="s">
        <v>161</v>
      </c>
      <c r="C424" s="5" t="s">
        <v>160</v>
      </c>
      <c r="D424" s="6" t="s">
        <v>162</v>
      </c>
      <c r="E424" s="81">
        <f t="shared" si="44"/>
        <v>8288712</v>
      </c>
      <c r="F424" s="83">
        <f>16672000-1500000+300000-7183288</f>
        <v>8288712</v>
      </c>
      <c r="G424" s="83"/>
      <c r="H424" s="83"/>
      <c r="I424" s="83"/>
      <c r="J424" s="81">
        <f t="shared" si="43"/>
        <v>0</v>
      </c>
      <c r="K424" s="83"/>
      <c r="L424" s="83"/>
      <c r="M424" s="83"/>
      <c r="N424" s="83"/>
      <c r="O424" s="83"/>
      <c r="P424" s="81">
        <f aca="true" t="shared" si="45" ref="P424:P432">E424+J424</f>
        <v>8288712</v>
      </c>
    </row>
    <row r="425" spans="1:16" ht="30">
      <c r="A425" s="3"/>
      <c r="B425" s="4" t="s">
        <v>164</v>
      </c>
      <c r="C425" s="5" t="s">
        <v>163</v>
      </c>
      <c r="D425" s="6" t="s">
        <v>165</v>
      </c>
      <c r="E425" s="81">
        <f t="shared" si="44"/>
        <v>64312</v>
      </c>
      <c r="F425" s="83">
        <f>747200-300000-382888</f>
        <v>64312</v>
      </c>
      <c r="G425" s="83"/>
      <c r="H425" s="83"/>
      <c r="I425" s="83"/>
      <c r="J425" s="81">
        <f t="shared" si="43"/>
        <v>0</v>
      </c>
      <c r="K425" s="83"/>
      <c r="L425" s="83"/>
      <c r="M425" s="83"/>
      <c r="N425" s="83"/>
      <c r="O425" s="83"/>
      <c r="P425" s="81">
        <f t="shared" si="45"/>
        <v>64312</v>
      </c>
    </row>
    <row r="426" spans="1:16" ht="15">
      <c r="A426" s="3"/>
      <c r="B426" s="4" t="s">
        <v>167</v>
      </c>
      <c r="C426" s="5" t="s">
        <v>166</v>
      </c>
      <c r="D426" s="6" t="s">
        <v>168</v>
      </c>
      <c r="E426" s="81">
        <f t="shared" si="44"/>
        <v>2088153</v>
      </c>
      <c r="F426" s="83">
        <f>4899382-391046-2420183</f>
        <v>2088153</v>
      </c>
      <c r="G426" s="83">
        <f>2734587-1476237</f>
        <v>1258350</v>
      </c>
      <c r="H426" s="83">
        <f>641140-307828</f>
        <v>333312</v>
      </c>
      <c r="I426" s="83"/>
      <c r="J426" s="81">
        <f t="shared" si="43"/>
        <v>103300</v>
      </c>
      <c r="K426" s="83">
        <f>300</f>
        <v>300</v>
      </c>
      <c r="L426" s="83"/>
      <c r="M426" s="83"/>
      <c r="N426" s="83">
        <f>100000+3000</f>
        <v>103000</v>
      </c>
      <c r="O426" s="83">
        <f>100000+3000</f>
        <v>103000</v>
      </c>
      <c r="P426" s="81">
        <f t="shared" si="45"/>
        <v>2191453</v>
      </c>
    </row>
    <row r="427" spans="1:16" ht="15">
      <c r="A427" s="3"/>
      <c r="B427" s="4" t="s">
        <v>169</v>
      </c>
      <c r="C427" s="5" t="s">
        <v>166</v>
      </c>
      <c r="D427" s="6" t="s">
        <v>170</v>
      </c>
      <c r="E427" s="81">
        <f t="shared" si="44"/>
        <v>1180242</v>
      </c>
      <c r="F427" s="83">
        <f>2914611-171692-1562677</f>
        <v>1180242</v>
      </c>
      <c r="G427" s="83">
        <f>1200642-638158</f>
        <v>562484</v>
      </c>
      <c r="H427" s="83">
        <f>435856-239849</f>
        <v>196007</v>
      </c>
      <c r="I427" s="83"/>
      <c r="J427" s="81">
        <f t="shared" si="43"/>
        <v>70000</v>
      </c>
      <c r="K427" s="83">
        <f>60000</f>
        <v>60000</v>
      </c>
      <c r="L427" s="83">
        <f>1000</f>
        <v>1000</v>
      </c>
      <c r="M427" s="83">
        <f>1100</f>
        <v>1100</v>
      </c>
      <c r="N427" s="83">
        <f>10000</f>
        <v>10000</v>
      </c>
      <c r="O427" s="83"/>
      <c r="P427" s="81">
        <f t="shared" si="45"/>
        <v>1250242</v>
      </c>
    </row>
    <row r="428" spans="1:16" ht="15">
      <c r="A428" s="3"/>
      <c r="B428" s="4" t="s">
        <v>171</v>
      </c>
      <c r="C428" s="5" t="s">
        <v>33</v>
      </c>
      <c r="D428" s="6" t="s">
        <v>172</v>
      </c>
      <c r="E428" s="81">
        <f t="shared" si="44"/>
        <v>10262525</v>
      </c>
      <c r="F428" s="83">
        <f>18922707-1628842-7031340</f>
        <v>10262525</v>
      </c>
      <c r="G428" s="83">
        <f>11390503-4315557</f>
        <v>7074946</v>
      </c>
      <c r="H428" s="83">
        <f>2397431-1331787</f>
        <v>1065644</v>
      </c>
      <c r="I428" s="83"/>
      <c r="J428" s="81">
        <f t="shared" si="43"/>
        <v>1464200</v>
      </c>
      <c r="K428" s="83">
        <f>1261500</f>
        <v>1261500</v>
      </c>
      <c r="L428" s="83">
        <f>600000</f>
        <v>600000</v>
      </c>
      <c r="M428" s="83">
        <f>2800</f>
        <v>2800</v>
      </c>
      <c r="N428" s="83">
        <f>202700</f>
        <v>202700</v>
      </c>
      <c r="O428" s="83"/>
      <c r="P428" s="81">
        <f t="shared" si="45"/>
        <v>11726725</v>
      </c>
    </row>
    <row r="429" spans="1:16" ht="15">
      <c r="A429" s="3"/>
      <c r="B429" s="4" t="s">
        <v>174</v>
      </c>
      <c r="C429" s="5" t="s">
        <v>173</v>
      </c>
      <c r="D429" s="6" t="s">
        <v>175</v>
      </c>
      <c r="E429" s="81">
        <f t="shared" si="44"/>
        <v>272553</v>
      </c>
      <c r="F429" s="83">
        <f>531100-42620-215927</f>
        <v>272553</v>
      </c>
      <c r="G429" s="83">
        <f>297668-94927</f>
        <v>202741</v>
      </c>
      <c r="H429" s="83">
        <f>30973-17924</f>
        <v>13049</v>
      </c>
      <c r="I429" s="83"/>
      <c r="J429" s="81">
        <f t="shared" si="43"/>
        <v>0</v>
      </c>
      <c r="K429" s="83"/>
      <c r="L429" s="83"/>
      <c r="M429" s="83"/>
      <c r="N429" s="83"/>
      <c r="O429" s="83"/>
      <c r="P429" s="81">
        <f t="shared" si="45"/>
        <v>272553</v>
      </c>
    </row>
    <row r="430" spans="1:16" ht="45" hidden="1">
      <c r="A430" s="3"/>
      <c r="B430" s="42" t="s">
        <v>275</v>
      </c>
      <c r="C430" s="19" t="s">
        <v>33</v>
      </c>
      <c r="D430" s="6" t="s">
        <v>259</v>
      </c>
      <c r="E430" s="81">
        <f t="shared" si="44"/>
        <v>0</v>
      </c>
      <c r="F430" s="83"/>
      <c r="G430" s="83"/>
      <c r="H430" s="83"/>
      <c r="I430" s="83"/>
      <c r="J430" s="81">
        <f t="shared" si="43"/>
        <v>0</v>
      </c>
      <c r="K430" s="83"/>
      <c r="L430" s="83"/>
      <c r="M430" s="83"/>
      <c r="N430" s="83"/>
      <c r="O430" s="83"/>
      <c r="P430" s="81">
        <f t="shared" si="45"/>
        <v>0</v>
      </c>
    </row>
    <row r="431" spans="1:16" ht="54" customHeight="1">
      <c r="A431" s="3"/>
      <c r="B431" s="4">
        <v>180409</v>
      </c>
      <c r="C431" s="5" t="s">
        <v>242</v>
      </c>
      <c r="D431" s="6" t="s">
        <v>245</v>
      </c>
      <c r="E431" s="81">
        <f t="shared" si="44"/>
        <v>0</v>
      </c>
      <c r="F431" s="83"/>
      <c r="G431" s="83"/>
      <c r="H431" s="83"/>
      <c r="I431" s="83"/>
      <c r="J431" s="81">
        <f t="shared" si="43"/>
        <v>60000</v>
      </c>
      <c r="K431" s="83"/>
      <c r="L431" s="83"/>
      <c r="M431" s="83"/>
      <c r="N431" s="83">
        <f>0+300000+60000+35000-335000</f>
        <v>60000</v>
      </c>
      <c r="O431" s="83">
        <f>0+300000+60000+35000-335000</f>
        <v>60000</v>
      </c>
      <c r="P431" s="81">
        <f t="shared" si="45"/>
        <v>60000</v>
      </c>
    </row>
    <row r="432" spans="1:16" ht="15">
      <c r="A432" s="3"/>
      <c r="B432" s="4">
        <v>200700</v>
      </c>
      <c r="C432" s="5" t="s">
        <v>214</v>
      </c>
      <c r="D432" s="6" t="s">
        <v>284</v>
      </c>
      <c r="E432" s="81">
        <f t="shared" si="44"/>
        <v>0</v>
      </c>
      <c r="F432" s="83"/>
      <c r="G432" s="83"/>
      <c r="H432" s="83"/>
      <c r="I432" s="83"/>
      <c r="J432" s="81">
        <f t="shared" si="43"/>
        <v>0</v>
      </c>
      <c r="K432" s="83"/>
      <c r="L432" s="83"/>
      <c r="M432" s="83"/>
      <c r="N432" s="83"/>
      <c r="O432" s="83"/>
      <c r="P432" s="81">
        <f t="shared" si="45"/>
        <v>0</v>
      </c>
    </row>
    <row r="433" spans="1:16" ht="30">
      <c r="A433" s="33" t="s">
        <v>176</v>
      </c>
      <c r="B433" s="32"/>
      <c r="C433" s="34"/>
      <c r="D433" s="35" t="s">
        <v>374</v>
      </c>
      <c r="E433" s="1">
        <f>F433+I422</f>
        <v>835189</v>
      </c>
      <c r="F433" s="1">
        <f aca="true" t="shared" si="46" ref="F433:O433">F434</f>
        <v>835189</v>
      </c>
      <c r="G433" s="1">
        <f t="shared" si="46"/>
        <v>520930</v>
      </c>
      <c r="H433" s="1">
        <f t="shared" si="46"/>
        <v>167858</v>
      </c>
      <c r="I433" s="1">
        <f t="shared" si="46"/>
        <v>0</v>
      </c>
      <c r="J433" s="1">
        <f t="shared" si="46"/>
        <v>10000</v>
      </c>
      <c r="K433" s="1">
        <f t="shared" si="46"/>
        <v>10000</v>
      </c>
      <c r="L433" s="1">
        <f t="shared" si="46"/>
        <v>0</v>
      </c>
      <c r="M433" s="1">
        <f t="shared" si="46"/>
        <v>0</v>
      </c>
      <c r="N433" s="1">
        <f t="shared" si="46"/>
        <v>0</v>
      </c>
      <c r="O433" s="1">
        <f t="shared" si="46"/>
        <v>0</v>
      </c>
      <c r="P433" s="1">
        <f aca="true" t="shared" si="47" ref="P433:P441">E433+J433</f>
        <v>845189</v>
      </c>
    </row>
    <row r="434" spans="1:16" ht="15">
      <c r="A434" s="3"/>
      <c r="B434" s="4" t="s">
        <v>18</v>
      </c>
      <c r="C434" s="5" t="s">
        <v>17</v>
      </c>
      <c r="D434" s="6" t="s">
        <v>19</v>
      </c>
      <c r="E434" s="81">
        <f aca="true" t="shared" si="48" ref="E434:E448">F434+I434</f>
        <v>835189</v>
      </c>
      <c r="F434" s="83">
        <f>875235-71036+29490+1500</f>
        <v>835189</v>
      </c>
      <c r="G434" s="83">
        <f>496758+24172</f>
        <v>520930</v>
      </c>
      <c r="H434" s="83">
        <v>167858</v>
      </c>
      <c r="I434" s="83"/>
      <c r="J434" s="81">
        <f t="shared" si="43"/>
        <v>10000</v>
      </c>
      <c r="K434" s="83">
        <v>10000</v>
      </c>
      <c r="L434" s="83"/>
      <c r="M434" s="83"/>
      <c r="N434" s="83"/>
      <c r="O434" s="83"/>
      <c r="P434" s="81">
        <f t="shared" si="47"/>
        <v>845189</v>
      </c>
    </row>
    <row r="435" spans="1:16" s="114" customFormat="1" ht="17.25" customHeight="1">
      <c r="A435" s="33">
        <v>31</v>
      </c>
      <c r="B435" s="32"/>
      <c r="C435" s="34"/>
      <c r="D435" s="35" t="s">
        <v>373</v>
      </c>
      <c r="E435" s="1">
        <f>F435+I424</f>
        <v>300000</v>
      </c>
      <c r="F435" s="1">
        <f>F436</f>
        <v>300000</v>
      </c>
      <c r="G435" s="1">
        <f>G436</f>
        <v>146136</v>
      </c>
      <c r="H435" s="1">
        <f>H436</f>
        <v>20106</v>
      </c>
      <c r="I435" s="1">
        <f>I436</f>
        <v>0</v>
      </c>
      <c r="J435" s="81">
        <f>K435+N435</f>
        <v>0</v>
      </c>
      <c r="K435" s="1">
        <f>K436</f>
        <v>0</v>
      </c>
      <c r="L435" s="1">
        <f>L436</f>
        <v>0</v>
      </c>
      <c r="M435" s="1">
        <f>M436</f>
        <v>0</v>
      </c>
      <c r="N435" s="1">
        <f>N436</f>
        <v>0</v>
      </c>
      <c r="O435" s="1">
        <f>O436</f>
        <v>0</v>
      </c>
      <c r="P435" s="1">
        <f>E435+J435</f>
        <v>300000</v>
      </c>
    </row>
    <row r="436" spans="1:16" s="39" customFormat="1" ht="15">
      <c r="A436" s="40"/>
      <c r="B436" s="15" t="s">
        <v>18</v>
      </c>
      <c r="C436" s="7" t="s">
        <v>17</v>
      </c>
      <c r="D436" s="8" t="s">
        <v>19</v>
      </c>
      <c r="E436" s="81">
        <f>F436+I436</f>
        <v>300000</v>
      </c>
      <c r="F436" s="2">
        <f>260000+40000</f>
        <v>300000</v>
      </c>
      <c r="G436" s="2">
        <v>146136</v>
      </c>
      <c r="H436" s="2">
        <v>20106</v>
      </c>
      <c r="I436" s="2"/>
      <c r="J436" s="81">
        <f>K436+N436</f>
        <v>0</v>
      </c>
      <c r="K436" s="2"/>
      <c r="L436" s="2"/>
      <c r="M436" s="2"/>
      <c r="N436" s="2"/>
      <c r="O436" s="2"/>
      <c r="P436" s="81">
        <f>E436+J436</f>
        <v>300000</v>
      </c>
    </row>
    <row r="437" spans="1:16" ht="30">
      <c r="A437" s="33" t="s">
        <v>177</v>
      </c>
      <c r="B437" s="32"/>
      <c r="C437" s="34"/>
      <c r="D437" s="11" t="s">
        <v>367</v>
      </c>
      <c r="E437" s="1">
        <f t="shared" si="48"/>
        <v>3690861</v>
      </c>
      <c r="F437" s="1">
        <f>SUM(F438:F439)</f>
        <v>3690861</v>
      </c>
      <c r="G437" s="1">
        <f>SUM(G438:G439)</f>
        <v>1948540</v>
      </c>
      <c r="H437" s="1">
        <f>SUM(H438:H439)</f>
        <v>226703</v>
      </c>
      <c r="I437" s="1">
        <f>SUM(I438:I439)</f>
        <v>0</v>
      </c>
      <c r="J437" s="1">
        <f t="shared" si="43"/>
        <v>1787700</v>
      </c>
      <c r="K437" s="1">
        <f>SUM(K438:K439)</f>
        <v>7700</v>
      </c>
      <c r="L437" s="1">
        <f>SUM(L438:L439)</f>
        <v>0</v>
      </c>
      <c r="M437" s="1">
        <f>SUM(M438:M439)</f>
        <v>0</v>
      </c>
      <c r="N437" s="1">
        <f>SUM(N438:N439)</f>
        <v>1780000</v>
      </c>
      <c r="O437" s="1">
        <f>SUM(O438:O439)</f>
        <v>1780000</v>
      </c>
      <c r="P437" s="1">
        <f t="shared" si="47"/>
        <v>5478561</v>
      </c>
    </row>
    <row r="438" spans="1:16" ht="15">
      <c r="A438" s="3"/>
      <c r="B438" s="4" t="s">
        <v>18</v>
      </c>
      <c r="C438" s="5" t="s">
        <v>17</v>
      </c>
      <c r="D438" s="6" t="s">
        <v>19</v>
      </c>
      <c r="E438" s="81">
        <f t="shared" si="48"/>
        <v>3685661</v>
      </c>
      <c r="F438" s="83">
        <f>3692245-215215-1000000+130000+541631+70000+50000+17000+400000</f>
        <v>3685661</v>
      </c>
      <c r="G438" s="83">
        <f>1504580+443960</f>
        <v>1948540</v>
      </c>
      <c r="H438" s="83">
        <f>141450+85253</f>
        <v>226703</v>
      </c>
      <c r="I438" s="83"/>
      <c r="J438" s="81">
        <f t="shared" si="43"/>
        <v>1787700</v>
      </c>
      <c r="K438" s="83">
        <v>7700</v>
      </c>
      <c r="L438" s="83"/>
      <c r="M438" s="83"/>
      <c r="N438" s="83">
        <f>1270000-40000-50000+600000</f>
        <v>1780000</v>
      </c>
      <c r="O438" s="83">
        <f>1270000-40000-50000+600000</f>
        <v>1780000</v>
      </c>
      <c r="P438" s="81">
        <f t="shared" si="47"/>
        <v>5473361</v>
      </c>
    </row>
    <row r="439" spans="1:16" ht="30">
      <c r="A439" s="3"/>
      <c r="B439" s="4" t="s">
        <v>179</v>
      </c>
      <c r="C439" s="5" t="s">
        <v>178</v>
      </c>
      <c r="D439" s="6" t="s">
        <v>180</v>
      </c>
      <c r="E439" s="81">
        <f t="shared" si="48"/>
        <v>5200</v>
      </c>
      <c r="F439" s="2">
        <f>30200+5000-30000</f>
        <v>5200</v>
      </c>
      <c r="G439" s="83"/>
      <c r="H439" s="83"/>
      <c r="I439" s="83"/>
      <c r="J439" s="81">
        <f t="shared" si="43"/>
        <v>0</v>
      </c>
      <c r="K439" s="83"/>
      <c r="L439" s="83"/>
      <c r="M439" s="83"/>
      <c r="N439" s="83"/>
      <c r="O439" s="83"/>
      <c r="P439" s="81">
        <f t="shared" si="47"/>
        <v>5200</v>
      </c>
    </row>
    <row r="440" spans="1:16" ht="45">
      <c r="A440" s="33" t="s">
        <v>181</v>
      </c>
      <c r="B440" s="32"/>
      <c r="C440" s="34"/>
      <c r="D440" s="11" t="s">
        <v>366</v>
      </c>
      <c r="E440" s="1">
        <f>F440+I440</f>
        <v>4284332</v>
      </c>
      <c r="F440" s="1">
        <f>F441+F445+F447+F448+F442+F443</f>
        <v>4234332</v>
      </c>
      <c r="G440" s="1">
        <f>G441+G445+G447+G448+G442+G443</f>
        <v>2336873</v>
      </c>
      <c r="H440" s="1">
        <f>H441+H445+H447+H448+H442+H443</f>
        <v>183921</v>
      </c>
      <c r="I440" s="1">
        <f>I441+I445+I447+I448+I442+I443</f>
        <v>50000</v>
      </c>
      <c r="J440" s="1">
        <f>K440+N440</f>
        <v>1130000</v>
      </c>
      <c r="K440" s="1">
        <f>K441+K445+K447+K448+K442+K443</f>
        <v>0</v>
      </c>
      <c r="L440" s="1">
        <f>L441+L445+L447+L448+L442+L443</f>
        <v>0</v>
      </c>
      <c r="M440" s="1">
        <f>M441+M445+M447+M448+M442+M443</f>
        <v>0</v>
      </c>
      <c r="N440" s="1">
        <f>N441+N445+N447+N448+N442+N443</f>
        <v>1130000</v>
      </c>
      <c r="O440" s="1">
        <f>O441+O445+O447+O448+O442+O443</f>
        <v>1130000</v>
      </c>
      <c r="P440" s="1">
        <f>E440+J440</f>
        <v>5414332</v>
      </c>
    </row>
    <row r="441" spans="1:16" ht="15">
      <c r="A441" s="3"/>
      <c r="B441" s="4" t="s">
        <v>18</v>
      </c>
      <c r="C441" s="5" t="s">
        <v>17</v>
      </c>
      <c r="D441" s="6" t="s">
        <v>19</v>
      </c>
      <c r="E441" s="81">
        <f t="shared" si="48"/>
        <v>3384332</v>
      </c>
      <c r="F441" s="83">
        <f>3375687-298363+305508+1500</f>
        <v>3384332</v>
      </c>
      <c r="G441" s="83">
        <f>2086457+250416</f>
        <v>2336873</v>
      </c>
      <c r="H441" s="83">
        <v>183921</v>
      </c>
      <c r="I441" s="83"/>
      <c r="J441" s="81">
        <f t="shared" si="43"/>
        <v>36000</v>
      </c>
      <c r="K441" s="83"/>
      <c r="L441" s="83"/>
      <c r="M441" s="83"/>
      <c r="N441" s="83">
        <v>36000</v>
      </c>
      <c r="O441" s="83">
        <v>36000</v>
      </c>
      <c r="P441" s="81">
        <f t="shared" si="47"/>
        <v>3420332</v>
      </c>
    </row>
    <row r="442" spans="1:16" ht="15">
      <c r="A442" s="3"/>
      <c r="B442" s="4">
        <v>150101</v>
      </c>
      <c r="C442" s="19" t="s">
        <v>242</v>
      </c>
      <c r="D442" s="6" t="s">
        <v>258</v>
      </c>
      <c r="E442" s="81">
        <f t="shared" si="48"/>
        <v>0</v>
      </c>
      <c r="F442" s="83"/>
      <c r="G442" s="83"/>
      <c r="H442" s="83"/>
      <c r="I442" s="83"/>
      <c r="J442" s="81">
        <f t="shared" si="43"/>
        <v>0</v>
      </c>
      <c r="K442" s="83"/>
      <c r="L442" s="83"/>
      <c r="M442" s="83"/>
      <c r="N442" s="83">
        <f>711113-711113</f>
        <v>0</v>
      </c>
      <c r="O442" s="83">
        <f>711113-711113</f>
        <v>0</v>
      </c>
      <c r="P442" s="81">
        <f aca="true" t="shared" si="49" ref="P442:P448">E442+J442</f>
        <v>0</v>
      </c>
    </row>
    <row r="443" spans="1:16" ht="30">
      <c r="A443" s="3"/>
      <c r="B443" s="4">
        <v>150118</v>
      </c>
      <c r="C443" s="42" t="s">
        <v>123</v>
      </c>
      <c r="D443" s="6" t="s">
        <v>289</v>
      </c>
      <c r="E443" s="81">
        <f t="shared" si="48"/>
        <v>0</v>
      </c>
      <c r="F443" s="83"/>
      <c r="G443" s="83"/>
      <c r="H443" s="83"/>
      <c r="I443" s="83"/>
      <c r="J443" s="81">
        <f t="shared" si="43"/>
        <v>900000</v>
      </c>
      <c r="K443" s="83"/>
      <c r="L443" s="83"/>
      <c r="M443" s="83"/>
      <c r="N443" s="83">
        <f>0+900000</f>
        <v>900000</v>
      </c>
      <c r="O443" s="83">
        <f>0+900000</f>
        <v>900000</v>
      </c>
      <c r="P443" s="81">
        <f t="shared" si="49"/>
        <v>900000</v>
      </c>
    </row>
    <row r="444" spans="1:16" ht="135" hidden="1">
      <c r="A444" s="3"/>
      <c r="B444" s="4"/>
      <c r="C444" s="19"/>
      <c r="D444" s="6" t="s">
        <v>290</v>
      </c>
      <c r="E444" s="81">
        <f t="shared" si="48"/>
        <v>0</v>
      </c>
      <c r="F444" s="83"/>
      <c r="G444" s="83"/>
      <c r="H444" s="83"/>
      <c r="I444" s="83"/>
      <c r="J444" s="81">
        <f t="shared" si="43"/>
        <v>0</v>
      </c>
      <c r="K444" s="83"/>
      <c r="L444" s="83"/>
      <c r="M444" s="83"/>
      <c r="N444" s="83"/>
      <c r="O444" s="83"/>
      <c r="P444" s="81">
        <f>E444+J444</f>
        <v>0</v>
      </c>
    </row>
    <row r="445" spans="1:16" ht="15">
      <c r="A445" s="3"/>
      <c r="B445" s="4" t="s">
        <v>183</v>
      </c>
      <c r="C445" s="5" t="s">
        <v>182</v>
      </c>
      <c r="D445" s="6" t="s">
        <v>184</v>
      </c>
      <c r="E445" s="81">
        <f>F445+I445</f>
        <v>50000</v>
      </c>
      <c r="F445" s="2"/>
      <c r="G445" s="83"/>
      <c r="H445" s="83"/>
      <c r="I445" s="83">
        <f>672000+878000+39300-39300-200000-1300000</f>
        <v>50000</v>
      </c>
      <c r="J445" s="81">
        <f aca="true" t="shared" si="50" ref="J445:J452">K445+N445</f>
        <v>94000</v>
      </c>
      <c r="K445" s="83"/>
      <c r="L445" s="83"/>
      <c r="M445" s="83"/>
      <c r="N445" s="83">
        <f>0+94000</f>
        <v>94000</v>
      </c>
      <c r="O445" s="83">
        <f>0+94000</f>
        <v>94000</v>
      </c>
      <c r="P445" s="81">
        <f t="shared" si="49"/>
        <v>144000</v>
      </c>
    </row>
    <row r="446" spans="1:16" ht="99.75" customHeight="1">
      <c r="A446" s="3"/>
      <c r="B446" s="4"/>
      <c r="C446" s="5" t="s">
        <v>182</v>
      </c>
      <c r="D446" s="8" t="s">
        <v>341</v>
      </c>
      <c r="E446" s="81">
        <f t="shared" si="48"/>
        <v>0</v>
      </c>
      <c r="F446" s="2"/>
      <c r="G446" s="83"/>
      <c r="H446" s="83"/>
      <c r="I446" s="83">
        <f>39300-39300</f>
        <v>0</v>
      </c>
      <c r="J446" s="81">
        <f t="shared" si="50"/>
        <v>0</v>
      </c>
      <c r="K446" s="83"/>
      <c r="L446" s="83"/>
      <c r="M446" s="83"/>
      <c r="N446" s="83"/>
      <c r="O446" s="83"/>
      <c r="P446" s="81">
        <f t="shared" si="49"/>
        <v>0</v>
      </c>
    </row>
    <row r="447" spans="1:16" ht="15">
      <c r="A447" s="3"/>
      <c r="B447" s="4" t="s">
        <v>186</v>
      </c>
      <c r="C447" s="5" t="s">
        <v>185</v>
      </c>
      <c r="D447" s="6" t="s">
        <v>56</v>
      </c>
      <c r="E447" s="81">
        <f t="shared" si="48"/>
        <v>850000</v>
      </c>
      <c r="F447" s="2">
        <f>100000+750000</f>
        <v>850000</v>
      </c>
      <c r="G447" s="83"/>
      <c r="H447" s="83"/>
      <c r="I447" s="83"/>
      <c r="J447" s="81">
        <f t="shared" si="50"/>
        <v>0</v>
      </c>
      <c r="K447" s="83"/>
      <c r="L447" s="83"/>
      <c r="M447" s="83"/>
      <c r="N447" s="83"/>
      <c r="O447" s="83"/>
      <c r="P447" s="81">
        <f t="shared" si="49"/>
        <v>850000</v>
      </c>
    </row>
    <row r="448" spans="1:16" ht="75">
      <c r="A448" s="3"/>
      <c r="B448" s="4">
        <v>250500</v>
      </c>
      <c r="C448" s="19" t="s">
        <v>242</v>
      </c>
      <c r="D448" s="6" t="s">
        <v>283</v>
      </c>
      <c r="E448" s="81">
        <f t="shared" si="48"/>
        <v>0</v>
      </c>
      <c r="F448" s="2"/>
      <c r="G448" s="83"/>
      <c r="H448" s="83"/>
      <c r="I448" s="83"/>
      <c r="J448" s="81">
        <f t="shared" si="50"/>
        <v>100000</v>
      </c>
      <c r="K448" s="83"/>
      <c r="L448" s="83"/>
      <c r="M448" s="83"/>
      <c r="N448" s="83">
        <f>0+100000</f>
        <v>100000</v>
      </c>
      <c r="O448" s="83">
        <f>0+100000</f>
        <v>100000</v>
      </c>
      <c r="P448" s="81">
        <f t="shared" si="49"/>
        <v>100000</v>
      </c>
    </row>
    <row r="449" spans="1:16" s="114" customFormat="1" ht="30">
      <c r="A449" s="33" t="s">
        <v>187</v>
      </c>
      <c r="B449" s="32"/>
      <c r="C449" s="34"/>
      <c r="D449" s="35" t="s">
        <v>360</v>
      </c>
      <c r="E449" s="1">
        <f>F449+I449</f>
        <v>154721461.94</v>
      </c>
      <c r="F449" s="1">
        <f>F450+F451+F452+F454+F455+F457+F458+F462+F463+F464+F466+F467+F468+F471+F473+F475+F477+F479+F480+F481</f>
        <v>151321461.94</v>
      </c>
      <c r="G449" s="1">
        <f>G450+G451+G452+G454+G455+G457+G458+G462+G463+G464+G466+G467+G468+G473+G475+G477+G479+G480+G481</f>
        <v>3264736</v>
      </c>
      <c r="H449" s="1">
        <f>H450+H451+H452+H454+H455+H457+H458+H462+H463+H464+H466+H467+H468+H473+H475+H477+H479+H480+H481</f>
        <v>33764436</v>
      </c>
      <c r="I449" s="1">
        <f>I450+I451+I452+I454+I455+I457+I458+I462+I463+I464+I466+I467+I468+I473+I475+I477+I479+I480+I481</f>
        <v>3400000</v>
      </c>
      <c r="J449" s="1">
        <f>K449+N449</f>
        <v>104686778.88</v>
      </c>
      <c r="K449" s="1">
        <f>K450+K451+K452+K454+K455+K457+K458+K462+K463+K464+K466+K467+K468+K473+K475+K477+K479+K480+K481</f>
        <v>1082700</v>
      </c>
      <c r="L449" s="1">
        <f>L450+L451+L452+L454+L455+L457+L458+L462+L463+L464+L466+L467+L468+L473+L475+L477+L479+L480+L481</f>
        <v>0</v>
      </c>
      <c r="M449" s="1">
        <f>M450+M451+M452+M454+M455+M457+M458+M462+M463+M464+M466+M467+M468+M473+M475+M477+M479+M480+M481</f>
        <v>40000</v>
      </c>
      <c r="N449" s="1">
        <f>N450+N451+N452+N454+N455+N457+N458+N462+N463+N464+N466+N467+N468+N473+N475+N477+N479+N480+N481</f>
        <v>103604078.88</v>
      </c>
      <c r="O449" s="1">
        <f>O450+O451+O452+O454+O455+O457+O458+O462+O463+O464+O466+O467+O468+O473+O475+O477+O479+O480+O481</f>
        <v>89376351</v>
      </c>
      <c r="P449" s="1">
        <f>E449+J449</f>
        <v>259408240.82</v>
      </c>
    </row>
    <row r="450" spans="1:16" ht="20.25" customHeight="1">
      <c r="A450" s="3"/>
      <c r="B450" s="4" t="s">
        <v>18</v>
      </c>
      <c r="C450" s="5" t="s">
        <v>17</v>
      </c>
      <c r="D450" s="6" t="s">
        <v>19</v>
      </c>
      <c r="E450" s="81">
        <f aca="true" t="shared" si="51" ref="E450:E481">F450+I450</f>
        <v>4904254</v>
      </c>
      <c r="F450" s="2">
        <f>4862780-447577+190000+87580+15000+72200+52831+19940+51500</f>
        <v>4904254</v>
      </c>
      <c r="G450" s="83">
        <f>3192949+71787</f>
        <v>3264736</v>
      </c>
      <c r="H450" s="83">
        <f>207486+72200</f>
        <v>279686</v>
      </c>
      <c r="I450" s="83"/>
      <c r="J450" s="81">
        <f t="shared" si="50"/>
        <v>659175</v>
      </c>
      <c r="K450" s="83">
        <v>82700</v>
      </c>
      <c r="L450" s="83"/>
      <c r="M450" s="83">
        <v>40000</v>
      </c>
      <c r="N450" s="83">
        <f>800000+1000000+300000-1420000-180000-52831+129306</f>
        <v>576475</v>
      </c>
      <c r="O450" s="83">
        <f>800000+1000000+300000-1420000-180000-52831+129306</f>
        <v>576475</v>
      </c>
      <c r="P450" s="81">
        <f>E450+J450</f>
        <v>5563429</v>
      </c>
    </row>
    <row r="451" spans="1:16" s="47" customFormat="1" ht="21.75" customHeight="1">
      <c r="A451" s="42"/>
      <c r="B451" s="42" t="s">
        <v>336</v>
      </c>
      <c r="C451" s="42" t="s">
        <v>337</v>
      </c>
      <c r="D451" s="45" t="s">
        <v>338</v>
      </c>
      <c r="E451" s="86">
        <f>SUM(F451,I451)</f>
        <v>391600</v>
      </c>
      <c r="F451" s="94">
        <f>0+391600</f>
        <v>391600</v>
      </c>
      <c r="G451" s="94"/>
      <c r="H451" s="94"/>
      <c r="I451" s="83"/>
      <c r="J451" s="86">
        <f>SUM(K451,N451)</f>
        <v>0</v>
      </c>
      <c r="K451" s="94"/>
      <c r="L451" s="94"/>
      <c r="M451" s="94"/>
      <c r="N451" s="94"/>
      <c r="O451" s="94"/>
      <c r="P451" s="102">
        <f>SUM(E451,J451)</f>
        <v>391600</v>
      </c>
    </row>
    <row r="452" spans="1:16" ht="19.5" customHeight="1">
      <c r="A452" s="3"/>
      <c r="B452" s="4" t="s">
        <v>189</v>
      </c>
      <c r="C452" s="5" t="s">
        <v>188</v>
      </c>
      <c r="D452" s="6" t="s">
        <v>190</v>
      </c>
      <c r="E452" s="81">
        <f t="shared" si="51"/>
        <v>18074223.46</v>
      </c>
      <c r="F452" s="2">
        <f>16599000-1000000-160480+1700000-200000+10000+148515+300000+85500+55773+122768+5450+29450+5050000+34320.5-200000+20000+13900+5820-310000+5000000-5000000+106835+37133-3000000+1400-1500000-97920+45890.5+41092.46+4000+125776</f>
        <v>18074223.46</v>
      </c>
      <c r="G452" s="83"/>
      <c r="H452" s="83"/>
      <c r="I452" s="83"/>
      <c r="J452" s="81">
        <f t="shared" si="50"/>
        <v>2272414</v>
      </c>
      <c r="K452" s="83"/>
      <c r="L452" s="83"/>
      <c r="M452" s="83"/>
      <c r="N452" s="83">
        <f>800000+200000+1000000+51485+9000+19250+200000+192250+88600-573000+200000+115000-31295+45900-44776</f>
        <v>2272414</v>
      </c>
      <c r="O452" s="83">
        <f>800000+200000+1000000+51485+9000+19250+200000+192250+88600-573000+200000+115000-31295+45900-44776</f>
        <v>2272414</v>
      </c>
      <c r="P452" s="81">
        <f aca="true" t="shared" si="52" ref="P452:P458">E452+J452</f>
        <v>20346637.46</v>
      </c>
    </row>
    <row r="453" spans="1:16" ht="27.75" customHeight="1" hidden="1">
      <c r="A453" s="3"/>
      <c r="B453" s="4"/>
      <c r="C453" s="5"/>
      <c r="D453" s="6" t="s">
        <v>278</v>
      </c>
      <c r="E453" s="81">
        <f t="shared" si="51"/>
        <v>0</v>
      </c>
      <c r="F453" s="2"/>
      <c r="G453" s="83"/>
      <c r="H453" s="83"/>
      <c r="I453" s="83"/>
      <c r="J453" s="81"/>
      <c r="K453" s="83"/>
      <c r="L453" s="83"/>
      <c r="M453" s="83"/>
      <c r="N453" s="83">
        <v>0</v>
      </c>
      <c r="O453" s="83">
        <v>0</v>
      </c>
      <c r="P453" s="81">
        <f t="shared" si="52"/>
        <v>0</v>
      </c>
    </row>
    <row r="454" spans="1:16" ht="30">
      <c r="A454" s="3"/>
      <c r="B454" s="4">
        <v>100102</v>
      </c>
      <c r="C454" s="5" t="s">
        <v>188</v>
      </c>
      <c r="D454" s="6" t="s">
        <v>240</v>
      </c>
      <c r="E454" s="81">
        <f t="shared" si="51"/>
        <v>0</v>
      </c>
      <c r="F454" s="2"/>
      <c r="G454" s="83"/>
      <c r="H454" s="83"/>
      <c r="I454" s="83"/>
      <c r="J454" s="81">
        <f aca="true" t="shared" si="53" ref="J454:J472">K454+N454</f>
        <v>9707000</v>
      </c>
      <c r="K454" s="83"/>
      <c r="L454" s="83"/>
      <c r="M454" s="83"/>
      <c r="N454" s="83">
        <f>285000+9165000+200000+850000-400000-395000-250000+310000-58000</f>
        <v>9707000</v>
      </c>
      <c r="O454" s="83">
        <f>9165000+200000+850000-400000-395000-250000+310000-58000</f>
        <v>9422000</v>
      </c>
      <c r="P454" s="81">
        <f t="shared" si="52"/>
        <v>9707000</v>
      </c>
    </row>
    <row r="455" spans="1:16" ht="18.75" customHeight="1">
      <c r="A455" s="3"/>
      <c r="B455" s="15">
        <v>100201</v>
      </c>
      <c r="C455" s="7" t="s">
        <v>191</v>
      </c>
      <c r="D455" s="8" t="s">
        <v>271</v>
      </c>
      <c r="E455" s="81">
        <f t="shared" si="51"/>
        <v>25000</v>
      </c>
      <c r="F455" s="2">
        <v>25000</v>
      </c>
      <c r="G455" s="83"/>
      <c r="H455" s="83"/>
      <c r="I455" s="83"/>
      <c r="J455" s="81">
        <f t="shared" si="53"/>
        <v>5044702</v>
      </c>
      <c r="K455" s="83"/>
      <c r="L455" s="83"/>
      <c r="M455" s="83"/>
      <c r="N455" s="83">
        <f>5000000+43400+1302</f>
        <v>5044702</v>
      </c>
      <c r="O455" s="83">
        <f>5000000+43400+1302</f>
        <v>5044702</v>
      </c>
      <c r="P455" s="81">
        <f t="shared" si="52"/>
        <v>5069702</v>
      </c>
    </row>
    <row r="456" spans="1:16" ht="57.75" customHeight="1">
      <c r="A456" s="3"/>
      <c r="B456" s="4"/>
      <c r="C456" s="5"/>
      <c r="D456" s="6" t="s">
        <v>295</v>
      </c>
      <c r="E456" s="81">
        <f t="shared" si="51"/>
        <v>0</v>
      </c>
      <c r="F456" s="2"/>
      <c r="G456" s="83"/>
      <c r="H456" s="83"/>
      <c r="I456" s="83"/>
      <c r="J456" s="81">
        <f t="shared" si="53"/>
        <v>43400</v>
      </c>
      <c r="K456" s="83"/>
      <c r="L456" s="83"/>
      <c r="M456" s="83"/>
      <c r="N456" s="83">
        <v>43400</v>
      </c>
      <c r="O456" s="83">
        <v>43400</v>
      </c>
      <c r="P456" s="81">
        <f t="shared" si="52"/>
        <v>43400</v>
      </c>
    </row>
    <row r="457" spans="1:16" ht="22.5" customHeight="1">
      <c r="A457" s="3"/>
      <c r="B457" s="4">
        <v>100202</v>
      </c>
      <c r="C457" s="5" t="s">
        <v>191</v>
      </c>
      <c r="D457" s="6" t="s">
        <v>241</v>
      </c>
      <c r="E457" s="81">
        <f t="shared" si="51"/>
        <v>7900</v>
      </c>
      <c r="F457" s="2">
        <v>7900</v>
      </c>
      <c r="G457" s="83"/>
      <c r="H457" s="83"/>
      <c r="I457" s="83"/>
      <c r="J457" s="81">
        <f t="shared" si="53"/>
        <v>0</v>
      </c>
      <c r="K457" s="83"/>
      <c r="L457" s="83"/>
      <c r="M457" s="83"/>
      <c r="N457" s="83">
        <v>0</v>
      </c>
      <c r="O457" s="83">
        <v>0</v>
      </c>
      <c r="P457" s="81">
        <f t="shared" si="52"/>
        <v>7900</v>
      </c>
    </row>
    <row r="458" spans="1:16" ht="15">
      <c r="A458" s="3"/>
      <c r="B458" s="4" t="s">
        <v>192</v>
      </c>
      <c r="C458" s="5" t="s">
        <v>191</v>
      </c>
      <c r="D458" s="6" t="s">
        <v>193</v>
      </c>
      <c r="E458" s="81">
        <f>F458+I458</f>
        <v>78525762.48</v>
      </c>
      <c r="F458" s="2">
        <f>35648600+1000000-8400000+2315340-601000+24166750+2400000+2000000+3560930+6000000+50000+113000+136168+76232+50000+1200000+1200000+200000+19000+6241886+250000+79114+4741-4741+105023.48+100000+64719+550000</f>
        <v>78525762.48</v>
      </c>
      <c r="G458" s="2"/>
      <c r="H458" s="111">
        <f>3318000+24166750+6000000</f>
        <v>33484750</v>
      </c>
      <c r="I458" s="2">
        <f>391600-391600</f>
        <v>0</v>
      </c>
      <c r="J458" s="81">
        <f t="shared" si="53"/>
        <v>8861642</v>
      </c>
      <c r="K458" s="83"/>
      <c r="L458" s="83"/>
      <c r="M458" s="83"/>
      <c r="N458" s="83">
        <f>1706000-200000+6733250-30000+200000-122757+49500+100000-103200+37000-136168-199000-477900-200000+573000+499000+440000+15000+50000+60000-114114+9750+50000-77719</f>
        <v>8861642</v>
      </c>
      <c r="O458" s="83">
        <f>1706000-200000+6733250-30000+200000-122757+49500+100000-103200+37000-136168-199000-477900-200000+573000+499000+440000+15000+50000+60000-114114+9750+50000-77719</f>
        <v>8861642</v>
      </c>
      <c r="P458" s="81">
        <f t="shared" si="52"/>
        <v>87387404.48</v>
      </c>
    </row>
    <row r="459" spans="1:16" ht="45" hidden="1">
      <c r="A459" s="3"/>
      <c r="B459" s="4"/>
      <c r="C459" s="5"/>
      <c r="D459" s="6" t="s">
        <v>285</v>
      </c>
      <c r="E459" s="81">
        <f t="shared" si="51"/>
        <v>0</v>
      </c>
      <c r="F459" s="2"/>
      <c r="G459" s="83"/>
      <c r="H459" s="83"/>
      <c r="I459" s="83"/>
      <c r="J459" s="81">
        <f t="shared" si="53"/>
        <v>0</v>
      </c>
      <c r="K459" s="83"/>
      <c r="L459" s="83"/>
      <c r="M459" s="83"/>
      <c r="N459" s="83"/>
      <c r="O459" s="83"/>
      <c r="P459" s="81">
        <f aca="true" t="shared" si="54" ref="P459:P480">E459+J459</f>
        <v>0</v>
      </c>
    </row>
    <row r="460" spans="1:16" ht="33" customHeight="1" hidden="1">
      <c r="A460" s="3"/>
      <c r="B460" s="4"/>
      <c r="C460" s="5"/>
      <c r="D460" s="6" t="s">
        <v>269</v>
      </c>
      <c r="E460" s="81">
        <f t="shared" si="51"/>
        <v>0</v>
      </c>
      <c r="F460" s="2"/>
      <c r="G460" s="83"/>
      <c r="H460" s="83"/>
      <c r="I460" s="83"/>
      <c r="J460" s="81">
        <f t="shared" si="53"/>
        <v>0</v>
      </c>
      <c r="K460" s="83"/>
      <c r="L460" s="83"/>
      <c r="M460" s="83"/>
      <c r="N460" s="83"/>
      <c r="O460" s="83"/>
      <c r="P460" s="81">
        <f t="shared" si="54"/>
        <v>0</v>
      </c>
    </row>
    <row r="461" spans="1:16" ht="63.75" customHeight="1">
      <c r="A461" s="3"/>
      <c r="B461" s="4"/>
      <c r="C461" s="5"/>
      <c r="D461" s="6" t="s">
        <v>376</v>
      </c>
      <c r="E461" s="81">
        <f t="shared" si="51"/>
        <v>0</v>
      </c>
      <c r="F461" s="2"/>
      <c r="G461" s="83"/>
      <c r="H461" s="83"/>
      <c r="I461" s="83"/>
      <c r="J461" s="81">
        <f t="shared" si="53"/>
        <v>440000</v>
      </c>
      <c r="K461" s="83"/>
      <c r="L461" s="83"/>
      <c r="M461" s="83"/>
      <c r="N461" s="83">
        <v>440000</v>
      </c>
      <c r="O461" s="83">
        <v>440000</v>
      </c>
      <c r="P461" s="81">
        <f t="shared" si="54"/>
        <v>440000</v>
      </c>
    </row>
    <row r="462" spans="1:16" ht="30">
      <c r="A462" s="3"/>
      <c r="B462" s="4" t="s">
        <v>194</v>
      </c>
      <c r="C462" s="5" t="s">
        <v>191</v>
      </c>
      <c r="D462" s="6" t="s">
        <v>195</v>
      </c>
      <c r="E462" s="81">
        <f t="shared" si="51"/>
        <v>3400000</v>
      </c>
      <c r="F462" s="2"/>
      <c r="G462" s="83"/>
      <c r="H462" s="83"/>
      <c r="I462" s="83">
        <v>3400000</v>
      </c>
      <c r="J462" s="81">
        <f t="shared" si="53"/>
        <v>0</v>
      </c>
      <c r="K462" s="83"/>
      <c r="L462" s="83"/>
      <c r="M462" s="83"/>
      <c r="N462" s="83"/>
      <c r="O462" s="83"/>
      <c r="P462" s="81">
        <f t="shared" si="54"/>
        <v>3400000</v>
      </c>
    </row>
    <row r="463" spans="1:16" ht="60">
      <c r="A463" s="3"/>
      <c r="B463" s="4">
        <v>100302</v>
      </c>
      <c r="C463" s="7" t="s">
        <v>191</v>
      </c>
      <c r="D463" s="8" t="s">
        <v>196</v>
      </c>
      <c r="E463" s="81">
        <f t="shared" si="51"/>
        <v>3132750</v>
      </c>
      <c r="F463" s="2">
        <f>3366000+143850-100000-13300-250000-13800</f>
        <v>3132750</v>
      </c>
      <c r="G463" s="83"/>
      <c r="H463" s="83"/>
      <c r="I463" s="83"/>
      <c r="J463" s="81">
        <f t="shared" si="53"/>
        <v>13300</v>
      </c>
      <c r="K463" s="83"/>
      <c r="L463" s="83"/>
      <c r="M463" s="83"/>
      <c r="N463" s="83">
        <f>0+13300</f>
        <v>13300</v>
      </c>
      <c r="O463" s="83">
        <f>0+13300</f>
        <v>13300</v>
      </c>
      <c r="P463" s="81">
        <f t="shared" si="54"/>
        <v>3146050</v>
      </c>
    </row>
    <row r="464" spans="1:16" ht="22.5" customHeight="1">
      <c r="A464" s="3"/>
      <c r="B464" s="4">
        <v>150101</v>
      </c>
      <c r="C464" s="5" t="s">
        <v>242</v>
      </c>
      <c r="D464" s="6" t="s">
        <v>243</v>
      </c>
      <c r="E464" s="81">
        <f t="shared" si="51"/>
        <v>0</v>
      </c>
      <c r="F464" s="2"/>
      <c r="G464" s="83"/>
      <c r="H464" s="83"/>
      <c r="I464" s="83"/>
      <c r="J464" s="81">
        <f t="shared" si="53"/>
        <v>13700901</v>
      </c>
      <c r="K464" s="83"/>
      <c r="L464" s="83"/>
      <c r="M464" s="83"/>
      <c r="N464" s="83">
        <f>1318237+10359100-850000+30000+326118+87000+1957955+103114+200000-200000+10000+359377</f>
        <v>13700901</v>
      </c>
      <c r="O464" s="83">
        <f>1318237+10359100-850000+30000+326118+87000+1957955+103114+200000-200000+10000+359377</f>
        <v>13700901</v>
      </c>
      <c r="P464" s="81">
        <f t="shared" si="54"/>
        <v>13700901</v>
      </c>
    </row>
    <row r="465" spans="1:16" ht="48" customHeight="1">
      <c r="A465" s="3"/>
      <c r="B465" s="4"/>
      <c r="C465" s="5" t="s">
        <v>242</v>
      </c>
      <c r="D465" s="6" t="s">
        <v>339</v>
      </c>
      <c r="E465" s="81">
        <f t="shared" si="51"/>
        <v>0</v>
      </c>
      <c r="F465" s="2"/>
      <c r="G465" s="83"/>
      <c r="H465" s="83"/>
      <c r="I465" s="83"/>
      <c r="J465" s="81">
        <f t="shared" si="53"/>
        <v>87000</v>
      </c>
      <c r="K465" s="83"/>
      <c r="L465" s="83"/>
      <c r="M465" s="83"/>
      <c r="N465" s="83">
        <v>87000</v>
      </c>
      <c r="O465" s="83">
        <v>87000</v>
      </c>
      <c r="P465" s="81">
        <f t="shared" si="54"/>
        <v>87000</v>
      </c>
    </row>
    <row r="466" spans="1:16" ht="45">
      <c r="A466" s="3"/>
      <c r="B466" s="4">
        <v>150110</v>
      </c>
      <c r="C466" s="5" t="s">
        <v>27</v>
      </c>
      <c r="D466" s="6" t="s">
        <v>244</v>
      </c>
      <c r="E466" s="81">
        <f t="shared" si="51"/>
        <v>0</v>
      </c>
      <c r="F466" s="2"/>
      <c r="G466" s="83"/>
      <c r="H466" s="83"/>
      <c r="I466" s="83"/>
      <c r="J466" s="81">
        <f t="shared" si="53"/>
        <v>3366257</v>
      </c>
      <c r="K466" s="83"/>
      <c r="L466" s="83"/>
      <c r="M466" s="83"/>
      <c r="N466" s="83">
        <f>0+2718000+776000-295000-32743+200000</f>
        <v>3366257</v>
      </c>
      <c r="O466" s="83">
        <f>0+2718000+776000-295000-32743+200000</f>
        <v>3366257</v>
      </c>
      <c r="P466" s="81">
        <f t="shared" si="54"/>
        <v>3366257</v>
      </c>
    </row>
    <row r="467" spans="1:16" ht="47.25" customHeight="1">
      <c r="A467" s="3"/>
      <c r="B467" s="19" t="s">
        <v>275</v>
      </c>
      <c r="C467" s="19" t="s">
        <v>33</v>
      </c>
      <c r="D467" s="6" t="s">
        <v>259</v>
      </c>
      <c r="E467" s="81">
        <f t="shared" si="51"/>
        <v>0</v>
      </c>
      <c r="F467" s="83"/>
      <c r="G467" s="83"/>
      <c r="H467" s="83"/>
      <c r="I467" s="83"/>
      <c r="J467" s="81">
        <f t="shared" si="53"/>
        <v>80000</v>
      </c>
      <c r="K467" s="83"/>
      <c r="L467" s="83"/>
      <c r="M467" s="83"/>
      <c r="N467" s="83">
        <v>80000</v>
      </c>
      <c r="O467" s="83">
        <v>80000</v>
      </c>
      <c r="P467" s="81">
        <f t="shared" si="54"/>
        <v>80000</v>
      </c>
    </row>
    <row r="468" spans="1:16" ht="48.75" customHeight="1">
      <c r="A468" s="3"/>
      <c r="B468" s="4" t="s">
        <v>198</v>
      </c>
      <c r="C468" s="5" t="s">
        <v>197</v>
      </c>
      <c r="D468" s="6" t="s">
        <v>199</v>
      </c>
      <c r="E468" s="81">
        <f t="shared" si="51"/>
        <v>42994415</v>
      </c>
      <c r="F468" s="2">
        <f>15300200-1000000+15000000+30000-1000000+10000000+3000000+1500000+164215</f>
        <v>42994415</v>
      </c>
      <c r="G468" s="83"/>
      <c r="H468" s="83"/>
      <c r="I468" s="83"/>
      <c r="J468" s="81">
        <f t="shared" si="53"/>
        <v>3814727.88</v>
      </c>
      <c r="K468" s="83"/>
      <c r="L468" s="83"/>
      <c r="M468" s="83"/>
      <c r="N468" s="83">
        <f>630000+3224700-30000-10000+27.88</f>
        <v>3814727.88</v>
      </c>
      <c r="O468" s="2">
        <f>630000+3224700-424700-30000-10000</f>
        <v>3390000</v>
      </c>
      <c r="P468" s="81">
        <f t="shared" si="54"/>
        <v>46809142.88</v>
      </c>
    </row>
    <row r="469" spans="1:16" ht="15" hidden="1">
      <c r="A469" s="3"/>
      <c r="B469" s="4" t="s">
        <v>198</v>
      </c>
      <c r="C469" s="5" t="s">
        <v>197</v>
      </c>
      <c r="D469" s="6" t="s">
        <v>277</v>
      </c>
      <c r="E469" s="81">
        <f t="shared" si="51"/>
        <v>0</v>
      </c>
      <c r="F469" s="2"/>
      <c r="G469" s="83"/>
      <c r="H469" s="83"/>
      <c r="I469" s="83"/>
      <c r="J469" s="81">
        <f t="shared" si="53"/>
        <v>0</v>
      </c>
      <c r="K469" s="83"/>
      <c r="L469" s="83"/>
      <c r="M469" s="83"/>
      <c r="N469" s="83"/>
      <c r="O469" s="83"/>
      <c r="P469" s="81">
        <f t="shared" si="54"/>
        <v>0</v>
      </c>
    </row>
    <row r="470" spans="1:16" ht="1.5" customHeight="1" hidden="1">
      <c r="A470" s="3"/>
      <c r="B470" s="4">
        <v>180107</v>
      </c>
      <c r="C470" s="19" t="s">
        <v>282</v>
      </c>
      <c r="D470" s="6" t="s">
        <v>249</v>
      </c>
      <c r="E470" s="81">
        <f t="shared" si="51"/>
        <v>0</v>
      </c>
      <c r="F470" s="2"/>
      <c r="G470" s="83"/>
      <c r="H470" s="83"/>
      <c r="I470" s="83"/>
      <c r="J470" s="81">
        <f t="shared" si="53"/>
        <v>0</v>
      </c>
      <c r="K470" s="83"/>
      <c r="L470" s="83"/>
      <c r="M470" s="83"/>
      <c r="N470" s="83"/>
      <c r="O470" s="83"/>
      <c r="P470" s="81">
        <f t="shared" si="54"/>
        <v>0</v>
      </c>
    </row>
    <row r="471" spans="1:16" ht="15">
      <c r="A471" s="3"/>
      <c r="B471" s="4">
        <v>180107</v>
      </c>
      <c r="C471" s="19" t="s">
        <v>282</v>
      </c>
      <c r="D471" s="6" t="s">
        <v>249</v>
      </c>
      <c r="E471" s="81">
        <f t="shared" si="51"/>
        <v>6000</v>
      </c>
      <c r="F471" s="2">
        <v>6000</v>
      </c>
      <c r="G471" s="83"/>
      <c r="H471" s="83"/>
      <c r="I471" s="83"/>
      <c r="J471" s="81">
        <f t="shared" si="53"/>
        <v>0</v>
      </c>
      <c r="K471" s="83"/>
      <c r="L471" s="83"/>
      <c r="M471" s="83"/>
      <c r="N471" s="83"/>
      <c r="O471" s="83"/>
      <c r="P471" s="81">
        <f t="shared" si="54"/>
        <v>6000</v>
      </c>
    </row>
    <row r="472" spans="1:16" ht="78.75" customHeight="1">
      <c r="A472" s="3"/>
      <c r="B472" s="4"/>
      <c r="C472" s="19"/>
      <c r="D472" s="8" t="s">
        <v>380</v>
      </c>
      <c r="E472" s="81">
        <f t="shared" si="51"/>
        <v>6000</v>
      </c>
      <c r="F472" s="2">
        <v>6000</v>
      </c>
      <c r="G472" s="83"/>
      <c r="H472" s="83"/>
      <c r="I472" s="83"/>
      <c r="J472" s="81">
        <f t="shared" si="53"/>
        <v>0</v>
      </c>
      <c r="K472" s="83"/>
      <c r="L472" s="83"/>
      <c r="M472" s="83"/>
      <c r="N472" s="83"/>
      <c r="O472" s="83"/>
      <c r="P472" s="81">
        <f t="shared" si="54"/>
        <v>6000</v>
      </c>
    </row>
    <row r="473" spans="1:16" ht="60">
      <c r="A473" s="3"/>
      <c r="B473" s="4">
        <v>180409</v>
      </c>
      <c r="C473" s="5" t="s">
        <v>242</v>
      </c>
      <c r="D473" s="6" t="s">
        <v>245</v>
      </c>
      <c r="E473" s="81">
        <f t="shared" si="51"/>
        <v>0</v>
      </c>
      <c r="F473" s="2"/>
      <c r="G473" s="83"/>
      <c r="H473" s="83"/>
      <c r="I473" s="83"/>
      <c r="J473" s="81">
        <f aca="true" t="shared" si="55" ref="J473:J501">K473+N473</f>
        <v>36965760</v>
      </c>
      <c r="K473" s="83"/>
      <c r="L473" s="83"/>
      <c r="M473" s="83"/>
      <c r="N473" s="2">
        <f>400000+9825100+100000+20000000+702301-165000-149246-1001000+1000000+5000000+423141-300000+28100+300000+802364</f>
        <v>36965760</v>
      </c>
      <c r="O473" s="2">
        <f>400000+9825100+100000+20000000+702301-165000-149246-1001000+1000000+5000000+423141-300000+28100+300000+802364</f>
        <v>36965760</v>
      </c>
      <c r="P473" s="81">
        <f t="shared" si="54"/>
        <v>36965760</v>
      </c>
    </row>
    <row r="474" spans="1:16" ht="15" hidden="1">
      <c r="A474" s="3"/>
      <c r="B474" s="4">
        <v>200700</v>
      </c>
      <c r="C474" s="5" t="s">
        <v>214</v>
      </c>
      <c r="D474" s="6" t="s">
        <v>284</v>
      </c>
      <c r="E474" s="81">
        <f t="shared" si="51"/>
        <v>0</v>
      </c>
      <c r="F474" s="2">
        <f>200000-200000</f>
        <v>0</v>
      </c>
      <c r="G474" s="83"/>
      <c r="H474" s="83"/>
      <c r="I474" s="83"/>
      <c r="J474" s="81">
        <f t="shared" si="55"/>
        <v>0</v>
      </c>
      <c r="K474" s="83"/>
      <c r="L474" s="83"/>
      <c r="M474" s="83"/>
      <c r="N474" s="2">
        <f>199000-199000</f>
        <v>0</v>
      </c>
      <c r="O474" s="2">
        <f>199000-199000</f>
        <v>0</v>
      </c>
      <c r="P474" s="81">
        <f t="shared" si="54"/>
        <v>0</v>
      </c>
    </row>
    <row r="475" spans="1:16" ht="30">
      <c r="A475" s="3"/>
      <c r="B475" s="4">
        <v>240601</v>
      </c>
      <c r="C475" s="5" t="s">
        <v>205</v>
      </c>
      <c r="D475" s="6" t="s">
        <v>207</v>
      </c>
      <c r="E475" s="81">
        <f t="shared" si="51"/>
        <v>0</v>
      </c>
      <c r="F475" s="2"/>
      <c r="G475" s="83"/>
      <c r="H475" s="83"/>
      <c r="I475" s="83"/>
      <c r="J475" s="81">
        <f t="shared" si="55"/>
        <v>801000</v>
      </c>
      <c r="K475" s="83">
        <v>801000</v>
      </c>
      <c r="L475" s="83"/>
      <c r="M475" s="83"/>
      <c r="N475" s="83"/>
      <c r="O475" s="83"/>
      <c r="P475" s="81">
        <f t="shared" si="54"/>
        <v>801000</v>
      </c>
    </row>
    <row r="476" spans="1:16" ht="30" hidden="1">
      <c r="A476" s="3"/>
      <c r="B476" s="4"/>
      <c r="C476" s="5"/>
      <c r="D476" s="6" t="s">
        <v>286</v>
      </c>
      <c r="E476" s="81">
        <f t="shared" si="51"/>
        <v>0</v>
      </c>
      <c r="F476" s="2"/>
      <c r="G476" s="83"/>
      <c r="H476" s="83" t="s">
        <v>231</v>
      </c>
      <c r="I476" s="83"/>
      <c r="J476" s="81">
        <f t="shared" si="55"/>
        <v>0</v>
      </c>
      <c r="K476" s="83"/>
      <c r="L476" s="83"/>
      <c r="M476" s="83"/>
      <c r="N476" s="83"/>
      <c r="O476" s="83"/>
      <c r="P476" s="81">
        <f t="shared" si="54"/>
        <v>0</v>
      </c>
    </row>
    <row r="477" spans="1:16" ht="15">
      <c r="A477" s="3"/>
      <c r="B477" s="4">
        <v>240602</v>
      </c>
      <c r="C477" s="5" t="s">
        <v>208</v>
      </c>
      <c r="D477" s="6" t="s">
        <v>210</v>
      </c>
      <c r="E477" s="81">
        <f t="shared" si="51"/>
        <v>0</v>
      </c>
      <c r="F477" s="2"/>
      <c r="G477" s="83"/>
      <c r="H477" s="83"/>
      <c r="I477" s="83"/>
      <c r="J477" s="81">
        <f t="shared" si="55"/>
        <v>13717000</v>
      </c>
      <c r="K477" s="83">
        <f>199000</f>
        <v>199000</v>
      </c>
      <c r="L477" s="83"/>
      <c r="M477" s="83"/>
      <c r="N477" s="83">
        <f>199000+3508529+10009471-199000</f>
        <v>13518000</v>
      </c>
      <c r="O477" s="83"/>
      <c r="P477" s="81">
        <f t="shared" si="54"/>
        <v>13717000</v>
      </c>
    </row>
    <row r="478" spans="1:16" ht="30">
      <c r="A478" s="3"/>
      <c r="B478" s="4"/>
      <c r="C478" s="5" t="s">
        <v>208</v>
      </c>
      <c r="D478" s="6" t="s">
        <v>286</v>
      </c>
      <c r="E478" s="81">
        <f>F478+I478</f>
        <v>0</v>
      </c>
      <c r="F478" s="2"/>
      <c r="G478" s="83"/>
      <c r="H478" s="83" t="s">
        <v>231</v>
      </c>
      <c r="I478" s="83"/>
      <c r="J478" s="81">
        <f>K478+N478</f>
        <v>13518000</v>
      </c>
      <c r="K478" s="83"/>
      <c r="L478" s="83"/>
      <c r="M478" s="83"/>
      <c r="N478" s="83">
        <f>3508529+10009471</f>
        <v>13518000</v>
      </c>
      <c r="O478" s="83"/>
      <c r="P478" s="81">
        <f>E478+J478</f>
        <v>13518000</v>
      </c>
    </row>
    <row r="479" spans="1:16" ht="30">
      <c r="A479" s="3"/>
      <c r="B479" s="4">
        <v>250324</v>
      </c>
      <c r="C479" s="5" t="s">
        <v>46</v>
      </c>
      <c r="D479" s="6" t="s">
        <v>287</v>
      </c>
      <c r="E479" s="81">
        <f t="shared" si="51"/>
        <v>0</v>
      </c>
      <c r="F479" s="2"/>
      <c r="G479" s="83"/>
      <c r="H479" s="83"/>
      <c r="I479" s="83"/>
      <c r="J479" s="81">
        <f t="shared" si="55"/>
        <v>2500000</v>
      </c>
      <c r="K479" s="83"/>
      <c r="L479" s="83"/>
      <c r="M479" s="83"/>
      <c r="N479" s="83">
        <f>0+2500000</f>
        <v>2500000</v>
      </c>
      <c r="O479" s="83">
        <f>0+2500000</f>
        <v>2500000</v>
      </c>
      <c r="P479" s="81">
        <f t="shared" si="54"/>
        <v>2500000</v>
      </c>
    </row>
    <row r="480" spans="1:16" ht="15">
      <c r="A480" s="3"/>
      <c r="B480" s="4">
        <v>250380</v>
      </c>
      <c r="C480" s="5" t="s">
        <v>46</v>
      </c>
      <c r="D480" s="6" t="s">
        <v>246</v>
      </c>
      <c r="E480" s="81">
        <f t="shared" si="51"/>
        <v>0</v>
      </c>
      <c r="F480" s="83">
        <f>0+500000-500000</f>
        <v>0</v>
      </c>
      <c r="G480" s="83"/>
      <c r="H480" s="83"/>
      <c r="I480" s="83"/>
      <c r="J480" s="81">
        <f t="shared" si="55"/>
        <v>2600000</v>
      </c>
      <c r="K480" s="83"/>
      <c r="L480" s="83"/>
      <c r="M480" s="83"/>
      <c r="N480" s="2">
        <f>0+6400000+656300-4456300</f>
        <v>2600000</v>
      </c>
      <c r="O480" s="2">
        <f>0+6400000+656300-4456300</f>
        <v>2600000</v>
      </c>
      <c r="P480" s="81">
        <f t="shared" si="54"/>
        <v>2600000</v>
      </c>
    </row>
    <row r="481" spans="1:16" ht="15">
      <c r="A481" s="3"/>
      <c r="B481" s="4" t="s">
        <v>186</v>
      </c>
      <c r="C481" s="5" t="s">
        <v>185</v>
      </c>
      <c r="D481" s="6" t="s">
        <v>56</v>
      </c>
      <c r="E481" s="81">
        <f t="shared" si="51"/>
        <v>3259557</v>
      </c>
      <c r="F481" s="2">
        <f>1825300+16630+2000000+1827+31000-380000+47700-282900</f>
        <v>3259557</v>
      </c>
      <c r="G481" s="83"/>
      <c r="H481" s="83"/>
      <c r="I481" s="83"/>
      <c r="J481" s="81">
        <f t="shared" si="55"/>
        <v>582900</v>
      </c>
      <c r="K481" s="83"/>
      <c r="L481" s="83"/>
      <c r="M481" s="83"/>
      <c r="N481" s="83">
        <f>0+400000+182900</f>
        <v>582900</v>
      </c>
      <c r="O481" s="83">
        <f>0+400000+182900</f>
        <v>582900</v>
      </c>
      <c r="P481" s="81">
        <f>E481+J481</f>
        <v>3842457</v>
      </c>
    </row>
    <row r="482" spans="1:16" ht="30">
      <c r="A482" s="33" t="s">
        <v>200</v>
      </c>
      <c r="B482" s="32"/>
      <c r="C482" s="34"/>
      <c r="D482" s="11" t="s">
        <v>365</v>
      </c>
      <c r="E482" s="1">
        <f>F482+I482</f>
        <v>2508653</v>
      </c>
      <c r="F482" s="1">
        <f>SUM(F483:F487)</f>
        <v>2508653</v>
      </c>
      <c r="G482" s="1">
        <f>SUM(G483:G487)</f>
        <v>1025354</v>
      </c>
      <c r="H482" s="1">
        <f>SUM(H483:H487)</f>
        <v>202401</v>
      </c>
      <c r="I482" s="1">
        <f>SUM(I483:I485)</f>
        <v>0</v>
      </c>
      <c r="J482" s="1">
        <f t="shared" si="55"/>
        <v>2173000</v>
      </c>
      <c r="K482" s="1">
        <f>SUM(K483:K485)</f>
        <v>0</v>
      </c>
      <c r="L482" s="1">
        <f>SUM(L483:L485)</f>
        <v>0</v>
      </c>
      <c r="M482" s="1">
        <f>SUM(M483:M485)</f>
        <v>0</v>
      </c>
      <c r="N482" s="1">
        <f>SUM(N483:N487)</f>
        <v>2173000</v>
      </c>
      <c r="O482" s="1">
        <f>SUM(O483:O487)</f>
        <v>2173000</v>
      </c>
      <c r="P482" s="1">
        <f>E482+J482</f>
        <v>4681653</v>
      </c>
    </row>
    <row r="483" spans="1:16" ht="14.25" customHeight="1">
      <c r="A483" s="3"/>
      <c r="B483" s="4" t="s">
        <v>18</v>
      </c>
      <c r="C483" s="5" t="s">
        <v>17</v>
      </c>
      <c r="D483" s="6" t="s">
        <v>19</v>
      </c>
      <c r="E483" s="81">
        <f aca="true" t="shared" si="56" ref="E483:E500">F483+I483</f>
        <v>1923253</v>
      </c>
      <c r="F483" s="83">
        <f>1755365-140014+56402+1500+250000</f>
        <v>1923253</v>
      </c>
      <c r="G483" s="83">
        <f>979123+46231</f>
        <v>1025354</v>
      </c>
      <c r="H483" s="83">
        <v>202401</v>
      </c>
      <c r="I483" s="83"/>
      <c r="J483" s="81">
        <f t="shared" si="55"/>
        <v>36000</v>
      </c>
      <c r="K483" s="83"/>
      <c r="L483" s="83"/>
      <c r="M483" s="83"/>
      <c r="N483" s="83">
        <v>36000</v>
      </c>
      <c r="O483" s="83">
        <v>36000</v>
      </c>
      <c r="P483" s="81">
        <f aca="true" t="shared" si="57" ref="P483:P492">E483+J483</f>
        <v>1959253</v>
      </c>
    </row>
    <row r="484" spans="1:16" ht="15">
      <c r="A484" s="3"/>
      <c r="B484" s="4">
        <v>150101</v>
      </c>
      <c r="C484" s="19" t="s">
        <v>242</v>
      </c>
      <c r="D484" s="6" t="s">
        <v>258</v>
      </c>
      <c r="E484" s="81">
        <f t="shared" si="56"/>
        <v>0</v>
      </c>
      <c r="F484" s="83"/>
      <c r="G484" s="83"/>
      <c r="H484" s="83"/>
      <c r="I484" s="83"/>
      <c r="J484" s="81">
        <f t="shared" si="55"/>
        <v>576000</v>
      </c>
      <c r="K484" s="83"/>
      <c r="L484" s="83"/>
      <c r="M484" s="83"/>
      <c r="N484" s="83">
        <f>0+576000</f>
        <v>576000</v>
      </c>
      <c r="O484" s="83">
        <f>0+576000</f>
        <v>576000</v>
      </c>
      <c r="P484" s="81">
        <f t="shared" si="57"/>
        <v>576000</v>
      </c>
    </row>
    <row r="485" spans="1:16" ht="30.75" customHeight="1">
      <c r="A485" s="3"/>
      <c r="B485" s="4" t="s">
        <v>202</v>
      </c>
      <c r="C485" s="5" t="s">
        <v>201</v>
      </c>
      <c r="D485" s="6" t="s">
        <v>203</v>
      </c>
      <c r="E485" s="81">
        <f t="shared" si="56"/>
        <v>85400</v>
      </c>
      <c r="F485" s="83">
        <v>85400</v>
      </c>
      <c r="G485" s="83"/>
      <c r="H485" s="83"/>
      <c r="I485" s="83"/>
      <c r="J485" s="81">
        <f t="shared" si="55"/>
        <v>1561000</v>
      </c>
      <c r="K485" s="83"/>
      <c r="L485" s="83"/>
      <c r="M485" s="83"/>
      <c r="N485" s="83">
        <f>2414600-826000-27600</f>
        <v>1561000</v>
      </c>
      <c r="O485" s="83">
        <f>2414600-826000-27600</f>
        <v>1561000</v>
      </c>
      <c r="P485" s="81">
        <f t="shared" si="57"/>
        <v>1646400</v>
      </c>
    </row>
    <row r="486" spans="1:16" ht="12.75" customHeight="1" hidden="1">
      <c r="A486" s="3"/>
      <c r="B486" s="4" t="s">
        <v>186</v>
      </c>
      <c r="C486" s="5" t="s">
        <v>185</v>
      </c>
      <c r="D486" s="6" t="s">
        <v>56</v>
      </c>
      <c r="E486" s="81">
        <f t="shared" si="56"/>
        <v>0</v>
      </c>
      <c r="F486" s="2"/>
      <c r="G486" s="83"/>
      <c r="H486" s="83"/>
      <c r="I486" s="83"/>
      <c r="J486" s="81">
        <f t="shared" si="55"/>
        <v>0</v>
      </c>
      <c r="K486" s="83"/>
      <c r="L486" s="83"/>
      <c r="M486" s="83"/>
      <c r="N486" s="83"/>
      <c r="O486" s="83"/>
      <c r="P486" s="81">
        <f t="shared" si="57"/>
        <v>0</v>
      </c>
    </row>
    <row r="487" spans="1:16" ht="15">
      <c r="A487" s="3"/>
      <c r="B487" s="4">
        <v>250380</v>
      </c>
      <c r="C487" s="5" t="s">
        <v>46</v>
      </c>
      <c r="D487" s="6" t="s">
        <v>246</v>
      </c>
      <c r="E487" s="81">
        <f t="shared" si="56"/>
        <v>500000</v>
      </c>
      <c r="F487" s="2">
        <f>500000</f>
        <v>500000</v>
      </c>
      <c r="G487" s="83"/>
      <c r="H487" s="83"/>
      <c r="I487" s="83"/>
      <c r="J487" s="81">
        <f t="shared" si="55"/>
        <v>0</v>
      </c>
      <c r="K487" s="83"/>
      <c r="L487" s="83"/>
      <c r="M487" s="83"/>
      <c r="N487" s="83"/>
      <c r="O487" s="83"/>
      <c r="P487" s="81">
        <f t="shared" si="57"/>
        <v>500000</v>
      </c>
    </row>
    <row r="488" spans="1:16" s="114" customFormat="1" ht="30">
      <c r="A488" s="32">
        <v>4801</v>
      </c>
      <c r="B488" s="32"/>
      <c r="C488" s="34"/>
      <c r="D488" s="35" t="s">
        <v>343</v>
      </c>
      <c r="E488" s="1">
        <f>F488+I475</f>
        <v>474875</v>
      </c>
      <c r="F488" s="1">
        <f>F489</f>
        <v>474875</v>
      </c>
      <c r="G488" s="1">
        <f>G489</f>
        <v>269488</v>
      </c>
      <c r="H488" s="1">
        <f>H489</f>
        <v>46200</v>
      </c>
      <c r="I488" s="1">
        <f>I489</f>
        <v>0</v>
      </c>
      <c r="J488" s="81">
        <f t="shared" si="55"/>
        <v>17000</v>
      </c>
      <c r="K488" s="1">
        <f>K489</f>
        <v>0</v>
      </c>
      <c r="L488" s="1">
        <f>L489</f>
        <v>0</v>
      </c>
      <c r="M488" s="1">
        <f>M489</f>
        <v>0</v>
      </c>
      <c r="N488" s="1">
        <f>N489</f>
        <v>17000</v>
      </c>
      <c r="O488" s="1">
        <f>O489</f>
        <v>17000</v>
      </c>
      <c r="P488" s="1">
        <f t="shared" si="57"/>
        <v>491875</v>
      </c>
    </row>
    <row r="489" spans="1:16" s="39" customFormat="1" ht="15">
      <c r="A489" s="40"/>
      <c r="B489" s="15" t="s">
        <v>18</v>
      </c>
      <c r="C489" s="7" t="s">
        <v>17</v>
      </c>
      <c r="D489" s="8" t="s">
        <v>19</v>
      </c>
      <c r="E489" s="81">
        <f>F489+I489</f>
        <v>474875</v>
      </c>
      <c r="F489" s="2">
        <f>328775+144600+1500</f>
        <v>474875</v>
      </c>
      <c r="G489" s="2">
        <v>269488</v>
      </c>
      <c r="H489" s="2">
        <v>46200</v>
      </c>
      <c r="I489" s="2"/>
      <c r="J489" s="81">
        <f t="shared" si="55"/>
        <v>17000</v>
      </c>
      <c r="K489" s="2"/>
      <c r="L489" s="2"/>
      <c r="M489" s="2"/>
      <c r="N489" s="2">
        <v>17000</v>
      </c>
      <c r="O489" s="2">
        <v>17000</v>
      </c>
      <c r="P489" s="81">
        <f t="shared" si="57"/>
        <v>491875</v>
      </c>
    </row>
    <row r="490" spans="1:16" ht="37.5" customHeight="1">
      <c r="A490" s="33" t="s">
        <v>204</v>
      </c>
      <c r="B490" s="32"/>
      <c r="C490" s="34"/>
      <c r="D490" s="35" t="s">
        <v>372</v>
      </c>
      <c r="E490" s="1">
        <f>F490+I490</f>
        <v>1060124</v>
      </c>
      <c r="F490" s="1">
        <f>SUM(F491:F499)</f>
        <v>1060124</v>
      </c>
      <c r="G490" s="1">
        <f>SUM(G491:G499)</f>
        <v>726652</v>
      </c>
      <c r="H490" s="1">
        <f>SUM(H491:H499)</f>
        <v>64377</v>
      </c>
      <c r="I490" s="1">
        <f>SUM(I491:I499)</f>
        <v>0</v>
      </c>
      <c r="J490" s="1">
        <f>K490+N490</f>
        <v>9854700</v>
      </c>
      <c r="K490" s="1">
        <f>SUM(K491:K499)</f>
        <v>2878700</v>
      </c>
      <c r="L490" s="1">
        <f>SUM(L491:L499)</f>
        <v>0</v>
      </c>
      <c r="M490" s="1">
        <f>SUM(M491:M499)</f>
        <v>0</v>
      </c>
      <c r="N490" s="1">
        <f>SUM(N491:N499)</f>
        <v>6976000</v>
      </c>
      <c r="O490" s="1">
        <f>SUM(O491:O499)</f>
        <v>450000</v>
      </c>
      <c r="P490" s="1">
        <f>E490+J490</f>
        <v>10914824</v>
      </c>
    </row>
    <row r="491" spans="1:16" ht="15">
      <c r="A491" s="3"/>
      <c r="B491" s="4" t="s">
        <v>18</v>
      </c>
      <c r="C491" s="5" t="s">
        <v>17</v>
      </c>
      <c r="D491" s="6" t="s">
        <v>19</v>
      </c>
      <c r="E491" s="81">
        <f t="shared" si="56"/>
        <v>1019024</v>
      </c>
      <c r="F491" s="83">
        <f>937968-84663+65637+100082</f>
        <v>1019024</v>
      </c>
      <c r="G491" s="83">
        <f>592046+53801+80805</f>
        <v>726652</v>
      </c>
      <c r="H491" s="83">
        <v>64377</v>
      </c>
      <c r="I491" s="83"/>
      <c r="J491" s="81">
        <f t="shared" si="55"/>
        <v>0</v>
      </c>
      <c r="K491" s="83"/>
      <c r="L491" s="83"/>
      <c r="M491" s="83"/>
      <c r="N491" s="83"/>
      <c r="O491" s="83"/>
      <c r="P491" s="81">
        <f t="shared" si="57"/>
        <v>1019024</v>
      </c>
    </row>
    <row r="492" spans="1:16" ht="58.5" customHeight="1">
      <c r="A492" s="3"/>
      <c r="B492" s="4">
        <v>180409</v>
      </c>
      <c r="C492" s="19" t="s">
        <v>242</v>
      </c>
      <c r="D492" s="6" t="s">
        <v>245</v>
      </c>
      <c r="E492" s="81">
        <f t="shared" si="56"/>
        <v>0</v>
      </c>
      <c r="F492" s="83"/>
      <c r="G492" s="83"/>
      <c r="H492" s="83"/>
      <c r="I492" s="83"/>
      <c r="J492" s="81">
        <f>K492+N492</f>
        <v>450000</v>
      </c>
      <c r="K492" s="83"/>
      <c r="L492" s="83"/>
      <c r="M492" s="83"/>
      <c r="N492" s="83">
        <f>450000</f>
        <v>450000</v>
      </c>
      <c r="O492" s="83">
        <v>450000</v>
      </c>
      <c r="P492" s="81">
        <f t="shared" si="57"/>
        <v>450000</v>
      </c>
    </row>
    <row r="493" spans="1:16" ht="15" hidden="1">
      <c r="A493" s="3"/>
      <c r="B493" s="4">
        <v>200700</v>
      </c>
      <c r="C493" s="5" t="s">
        <v>214</v>
      </c>
      <c r="D493" s="6" t="s">
        <v>284</v>
      </c>
      <c r="E493" s="81">
        <f>F493+I493</f>
        <v>0</v>
      </c>
      <c r="F493" s="2">
        <f>2678700-200000-2478700</f>
        <v>0</v>
      </c>
      <c r="G493" s="83"/>
      <c r="H493" s="83"/>
      <c r="I493" s="83"/>
      <c r="J493" s="81">
        <f t="shared" si="55"/>
        <v>0</v>
      </c>
      <c r="K493" s="83"/>
      <c r="L493" s="83"/>
      <c r="M493" s="83"/>
      <c r="N493" s="2">
        <f>5197500-5197500</f>
        <v>0</v>
      </c>
      <c r="O493" s="2">
        <f>5197500-5197500</f>
        <v>0</v>
      </c>
      <c r="P493" s="81">
        <f aca="true" t="shared" si="58" ref="P493:P499">E493+J493</f>
        <v>0</v>
      </c>
    </row>
    <row r="494" spans="1:16" ht="1.5" customHeight="1">
      <c r="A494" s="3"/>
      <c r="B494" s="4">
        <v>210105</v>
      </c>
      <c r="C494" s="7" t="s">
        <v>221</v>
      </c>
      <c r="D494" s="6" t="s">
        <v>223</v>
      </c>
      <c r="E494" s="81">
        <f>F494+I494</f>
        <v>0</v>
      </c>
      <c r="F494" s="2">
        <f>220000-220000</f>
        <v>0</v>
      </c>
      <c r="G494" s="83"/>
      <c r="H494" s="83"/>
      <c r="I494" s="83"/>
      <c r="J494" s="81">
        <f t="shared" si="55"/>
        <v>0</v>
      </c>
      <c r="K494" s="83"/>
      <c r="L494" s="83"/>
      <c r="M494" s="83"/>
      <c r="N494" s="2"/>
      <c r="O494" s="2"/>
      <c r="P494" s="81">
        <f t="shared" si="58"/>
        <v>0</v>
      </c>
    </row>
    <row r="495" spans="1:16" ht="30">
      <c r="A495" s="3"/>
      <c r="B495" s="4" t="s">
        <v>206</v>
      </c>
      <c r="C495" s="5" t="s">
        <v>205</v>
      </c>
      <c r="D495" s="6" t="s">
        <v>207</v>
      </c>
      <c r="E495" s="81">
        <f t="shared" si="56"/>
        <v>0</v>
      </c>
      <c r="F495" s="2"/>
      <c r="G495" s="83"/>
      <c r="H495" s="83"/>
      <c r="I495" s="83"/>
      <c r="J495" s="81">
        <f t="shared" si="55"/>
        <v>6189200</v>
      </c>
      <c r="K495" s="83">
        <v>795700</v>
      </c>
      <c r="L495" s="83"/>
      <c r="M495" s="83"/>
      <c r="N495" s="83">
        <f>5197500+196000</f>
        <v>5393500</v>
      </c>
      <c r="O495" s="83"/>
      <c r="P495" s="81">
        <f t="shared" si="58"/>
        <v>6189200</v>
      </c>
    </row>
    <row r="496" spans="1:16" ht="15">
      <c r="A496" s="3"/>
      <c r="B496" s="4" t="s">
        <v>209</v>
      </c>
      <c r="C496" s="5" t="s">
        <v>208</v>
      </c>
      <c r="D496" s="6" t="s">
        <v>210</v>
      </c>
      <c r="E496" s="81">
        <f t="shared" si="56"/>
        <v>0</v>
      </c>
      <c r="F496" s="2"/>
      <c r="G496" s="83"/>
      <c r="H496" s="83"/>
      <c r="I496" s="83"/>
      <c r="J496" s="81">
        <f t="shared" si="55"/>
        <v>2632500</v>
      </c>
      <c r="K496" s="83">
        <v>1500000</v>
      </c>
      <c r="L496" s="83"/>
      <c r="M496" s="83"/>
      <c r="N496" s="83">
        <f>0+1132500</f>
        <v>1132500</v>
      </c>
      <c r="O496" s="83"/>
      <c r="P496" s="81">
        <f t="shared" si="58"/>
        <v>2632500</v>
      </c>
    </row>
    <row r="497" spans="1:16" ht="30">
      <c r="A497" s="3"/>
      <c r="B497" s="4" t="s">
        <v>212</v>
      </c>
      <c r="C497" s="5" t="s">
        <v>211</v>
      </c>
      <c r="D497" s="6" t="s">
        <v>213</v>
      </c>
      <c r="E497" s="81">
        <f t="shared" si="56"/>
        <v>0</v>
      </c>
      <c r="F497" s="2"/>
      <c r="G497" s="83"/>
      <c r="H497" s="83"/>
      <c r="I497" s="83"/>
      <c r="J497" s="81">
        <f t="shared" si="55"/>
        <v>520000</v>
      </c>
      <c r="K497" s="83">
        <f>120000+400000</f>
        <v>520000</v>
      </c>
      <c r="L497" s="83"/>
      <c r="M497" s="83"/>
      <c r="N497" s="83"/>
      <c r="O497" s="83"/>
      <c r="P497" s="81">
        <f t="shared" si="58"/>
        <v>520000</v>
      </c>
    </row>
    <row r="498" spans="1:16" ht="30">
      <c r="A498" s="3"/>
      <c r="B498" s="4" t="s">
        <v>215</v>
      </c>
      <c r="C498" s="5" t="s">
        <v>214</v>
      </c>
      <c r="D498" s="6" t="s">
        <v>216</v>
      </c>
      <c r="E498" s="81">
        <f t="shared" si="56"/>
        <v>0</v>
      </c>
      <c r="F498" s="2"/>
      <c r="G498" s="83"/>
      <c r="H498" s="83"/>
      <c r="I498" s="83"/>
      <c r="J498" s="81">
        <f t="shared" si="55"/>
        <v>63000</v>
      </c>
      <c r="K498" s="83">
        <f>43000+20000</f>
        <v>63000</v>
      </c>
      <c r="L498" s="83"/>
      <c r="M498" s="83"/>
      <c r="N498" s="83">
        <f>20000-20000</f>
        <v>0</v>
      </c>
      <c r="O498" s="83"/>
      <c r="P498" s="81">
        <f t="shared" si="58"/>
        <v>63000</v>
      </c>
    </row>
    <row r="499" spans="1:16" ht="15">
      <c r="A499" s="3"/>
      <c r="B499" s="4">
        <v>250404</v>
      </c>
      <c r="C499" s="5" t="s">
        <v>185</v>
      </c>
      <c r="D499" s="6" t="s">
        <v>56</v>
      </c>
      <c r="E499" s="81">
        <f t="shared" si="56"/>
        <v>41100</v>
      </c>
      <c r="F499" s="2">
        <f>15000+26100</f>
        <v>41100</v>
      </c>
      <c r="G499" s="83"/>
      <c r="H499" s="83"/>
      <c r="I499" s="83"/>
      <c r="J499" s="81">
        <f t="shared" si="55"/>
        <v>0</v>
      </c>
      <c r="K499" s="83"/>
      <c r="L499" s="83"/>
      <c r="M499" s="83"/>
      <c r="N499" s="83"/>
      <c r="O499" s="83"/>
      <c r="P499" s="81">
        <f t="shared" si="58"/>
        <v>41100</v>
      </c>
    </row>
    <row r="500" spans="1:16" ht="33" customHeight="1">
      <c r="A500" s="33" t="s">
        <v>217</v>
      </c>
      <c r="B500" s="32"/>
      <c r="C500" s="34"/>
      <c r="D500" s="11" t="s">
        <v>364</v>
      </c>
      <c r="E500" s="1">
        <f t="shared" si="56"/>
        <v>34733524</v>
      </c>
      <c r="F500" s="1">
        <f>SUM(F501:F505)</f>
        <v>1047224</v>
      </c>
      <c r="G500" s="1">
        <f>SUM(G501:G505)</f>
        <v>586826</v>
      </c>
      <c r="H500" s="1">
        <f>SUM(H501:H505)</f>
        <v>73433</v>
      </c>
      <c r="I500" s="1">
        <f>SUM(I501:I505)</f>
        <v>33686300</v>
      </c>
      <c r="J500" s="1">
        <f>K500+N500</f>
        <v>33590000</v>
      </c>
      <c r="K500" s="1">
        <f>SUM(K501:K505)</f>
        <v>10000</v>
      </c>
      <c r="L500" s="1">
        <f>SUM(L501:L505)</f>
        <v>0</v>
      </c>
      <c r="M500" s="1">
        <f>SUM(M501:M505)</f>
        <v>0</v>
      </c>
      <c r="N500" s="1">
        <f>SUM(N501:N505)</f>
        <v>33580000</v>
      </c>
      <c r="O500" s="1">
        <f>SUM(O501:O505)</f>
        <v>33580000</v>
      </c>
      <c r="P500" s="1">
        <f>E500+J500</f>
        <v>68323524</v>
      </c>
    </row>
    <row r="501" spans="1:16" ht="15">
      <c r="A501" s="3"/>
      <c r="B501" s="4" t="s">
        <v>18</v>
      </c>
      <c r="C501" s="5" t="s">
        <v>17</v>
      </c>
      <c r="D501" s="6" t="s">
        <v>19</v>
      </c>
      <c r="E501" s="81">
        <f aca="true" t="shared" si="59" ref="E501:E507">F501+I501</f>
        <v>999997</v>
      </c>
      <c r="F501" s="83">
        <f>1729551-143702+89000-656028-40624+21800</f>
        <v>999997</v>
      </c>
      <c r="G501" s="83">
        <f>1004909-418083</f>
        <v>586826</v>
      </c>
      <c r="H501" s="83">
        <f>108773-35340</f>
        <v>73433</v>
      </c>
      <c r="I501" s="83"/>
      <c r="J501" s="81">
        <f t="shared" si="55"/>
        <v>0</v>
      </c>
      <c r="K501" s="83"/>
      <c r="L501" s="83"/>
      <c r="M501" s="83"/>
      <c r="N501" s="83">
        <f>101000-101000</f>
        <v>0</v>
      </c>
      <c r="O501" s="83">
        <f>101000-101000</f>
        <v>0</v>
      </c>
      <c r="P501" s="81">
        <f>E501+J501</f>
        <v>999997</v>
      </c>
    </row>
    <row r="502" spans="1:16" ht="30">
      <c r="A502" s="3"/>
      <c r="B502" s="4">
        <v>170103</v>
      </c>
      <c r="C502" s="5" t="s">
        <v>247</v>
      </c>
      <c r="D502" s="6" t="s">
        <v>248</v>
      </c>
      <c r="E502" s="81">
        <f t="shared" si="59"/>
        <v>0</v>
      </c>
      <c r="F502" s="2"/>
      <c r="G502" s="83"/>
      <c r="H502" s="83"/>
      <c r="I502" s="83"/>
      <c r="J502" s="81">
        <f aca="true" t="shared" si="60" ref="J502:J531">K502+N502</f>
        <v>10000</v>
      </c>
      <c r="K502" s="83">
        <v>10000</v>
      </c>
      <c r="L502" s="83"/>
      <c r="M502" s="83"/>
      <c r="N502" s="83"/>
      <c r="O502" s="83"/>
      <c r="P502" s="81">
        <f aca="true" t="shared" si="61" ref="P502:P507">E502+J502</f>
        <v>10000</v>
      </c>
    </row>
    <row r="503" spans="1:16" ht="15">
      <c r="A503" s="3"/>
      <c r="B503" s="4" t="s">
        <v>219</v>
      </c>
      <c r="C503" s="5" t="s">
        <v>218</v>
      </c>
      <c r="D503" s="6" t="s">
        <v>220</v>
      </c>
      <c r="E503" s="81">
        <f t="shared" si="59"/>
        <v>33686300</v>
      </c>
      <c r="F503" s="2"/>
      <c r="G503" s="83"/>
      <c r="H503" s="83"/>
      <c r="I503" s="83">
        <f>17000000+15000000-2500000-1500000+5686300</f>
        <v>33686300</v>
      </c>
      <c r="J503" s="81">
        <f t="shared" si="60"/>
        <v>0</v>
      </c>
      <c r="K503" s="83"/>
      <c r="L503" s="83"/>
      <c r="M503" s="83"/>
      <c r="N503" s="83"/>
      <c r="O503" s="83"/>
      <c r="P503" s="81">
        <f t="shared" si="61"/>
        <v>33686300</v>
      </c>
    </row>
    <row r="504" spans="1:16" ht="52.5" customHeight="1">
      <c r="A504" s="3"/>
      <c r="B504" s="4">
        <v>180409</v>
      </c>
      <c r="C504" s="5" t="s">
        <v>242</v>
      </c>
      <c r="D504" s="6" t="s">
        <v>245</v>
      </c>
      <c r="E504" s="81">
        <f t="shared" si="59"/>
        <v>0</v>
      </c>
      <c r="F504" s="2"/>
      <c r="G504" s="83"/>
      <c r="H504" s="83"/>
      <c r="I504" s="83"/>
      <c r="J504" s="81">
        <f>K504+N504</f>
        <v>33580000</v>
      </c>
      <c r="K504" s="83"/>
      <c r="L504" s="83"/>
      <c r="M504" s="83"/>
      <c r="N504" s="83">
        <f>6500000+2500000+4000000+385000+1695000+20000000-20000-1480000</f>
        <v>33580000</v>
      </c>
      <c r="O504" s="83">
        <f>6500000+2500000+4000000+385000+1695000+20000000-20000-1480000</f>
        <v>33580000</v>
      </c>
      <c r="P504" s="81">
        <f t="shared" si="61"/>
        <v>33580000</v>
      </c>
    </row>
    <row r="505" spans="1:16" ht="45">
      <c r="A505" s="3"/>
      <c r="B505" s="4" t="s">
        <v>222</v>
      </c>
      <c r="C505" s="5" t="s">
        <v>221</v>
      </c>
      <c r="D505" s="6" t="s">
        <v>223</v>
      </c>
      <c r="E505" s="81">
        <f t="shared" si="59"/>
        <v>47227</v>
      </c>
      <c r="F505" s="2">
        <f>103600+52400-108773</f>
        <v>47227</v>
      </c>
      <c r="G505" s="83"/>
      <c r="H505" s="83"/>
      <c r="I505" s="83"/>
      <c r="J505" s="81">
        <f t="shared" si="60"/>
        <v>0</v>
      </c>
      <c r="K505" s="83"/>
      <c r="L505" s="83"/>
      <c r="M505" s="83"/>
      <c r="N505" s="83"/>
      <c r="O505" s="83"/>
      <c r="P505" s="81">
        <f t="shared" si="61"/>
        <v>47227</v>
      </c>
    </row>
    <row r="506" spans="1:16" ht="15" hidden="1">
      <c r="A506" s="3"/>
      <c r="B506" s="4">
        <v>250380</v>
      </c>
      <c r="C506" s="5" t="s">
        <v>46</v>
      </c>
      <c r="D506" s="6" t="s">
        <v>246</v>
      </c>
      <c r="E506" s="81">
        <f t="shared" si="59"/>
        <v>0</v>
      </c>
      <c r="F506" s="109"/>
      <c r="G506" s="83"/>
      <c r="H506" s="83"/>
      <c r="I506" s="83"/>
      <c r="J506" s="81">
        <f t="shared" si="60"/>
        <v>0</v>
      </c>
      <c r="K506" s="83"/>
      <c r="L506" s="83"/>
      <c r="M506" s="83"/>
      <c r="N506" s="83"/>
      <c r="O506" s="83"/>
      <c r="P506" s="81">
        <f t="shared" si="61"/>
        <v>0</v>
      </c>
    </row>
    <row r="507" spans="1:16" ht="0.75" customHeight="1" hidden="1">
      <c r="A507" s="3"/>
      <c r="B507" s="4">
        <v>250404</v>
      </c>
      <c r="C507" s="5" t="s">
        <v>185</v>
      </c>
      <c r="D507" s="6" t="s">
        <v>56</v>
      </c>
      <c r="E507" s="81">
        <f t="shared" si="59"/>
        <v>0</v>
      </c>
      <c r="F507" s="2">
        <v>0</v>
      </c>
      <c r="G507" s="83"/>
      <c r="H507" s="83"/>
      <c r="I507" s="83"/>
      <c r="J507" s="81">
        <f t="shared" si="60"/>
        <v>0</v>
      </c>
      <c r="K507" s="83"/>
      <c r="L507" s="83"/>
      <c r="M507" s="83"/>
      <c r="N507" s="83"/>
      <c r="O507" s="83"/>
      <c r="P507" s="81">
        <f t="shared" si="61"/>
        <v>0</v>
      </c>
    </row>
    <row r="508" spans="1:16" s="114" customFormat="1" ht="30">
      <c r="A508" s="33">
        <v>67</v>
      </c>
      <c r="B508" s="32"/>
      <c r="C508" s="34"/>
      <c r="D508" s="35" t="s">
        <v>363</v>
      </c>
      <c r="E508" s="1">
        <f>F508+I497</f>
        <v>1248729</v>
      </c>
      <c r="F508" s="1">
        <f>SUM(F509:F510)</f>
        <v>1248729</v>
      </c>
      <c r="G508" s="1">
        <f>SUM(G509:G510)</f>
        <v>546791</v>
      </c>
      <c r="H508" s="1">
        <f>SUM(H509:H510)</f>
        <v>35340</v>
      </c>
      <c r="I508" s="1">
        <f>SUM(I509:I510)</f>
        <v>0</v>
      </c>
      <c r="J508" s="1">
        <f>K508+N508</f>
        <v>101000</v>
      </c>
      <c r="K508" s="1">
        <f>SUM(K509:K510)</f>
        <v>0</v>
      </c>
      <c r="L508" s="1">
        <f>SUM(L509:L510)</f>
        <v>0</v>
      </c>
      <c r="M508" s="1">
        <f>SUM(M509:M510)</f>
        <v>0</v>
      </c>
      <c r="N508" s="1">
        <f>SUM(N509:N510)</f>
        <v>101000</v>
      </c>
      <c r="O508" s="1">
        <f>SUM(O509:O510)</f>
        <v>101000</v>
      </c>
      <c r="P508" s="1">
        <f>E508+J508</f>
        <v>1349729</v>
      </c>
    </row>
    <row r="509" spans="1:16" s="112" customFormat="1" ht="15">
      <c r="A509" s="40"/>
      <c r="B509" s="15" t="s">
        <v>18</v>
      </c>
      <c r="C509" s="7" t="s">
        <v>17</v>
      </c>
      <c r="D509" s="8" t="s">
        <v>19</v>
      </c>
      <c r="E509" s="81">
        <f>F509+I509</f>
        <v>919956</v>
      </c>
      <c r="F509" s="2">
        <f>813052+40624+66280</f>
        <v>919956</v>
      </c>
      <c r="G509" s="2">
        <v>546791</v>
      </c>
      <c r="H509" s="2">
        <v>35340</v>
      </c>
      <c r="I509" s="2"/>
      <c r="J509" s="81">
        <f t="shared" si="60"/>
        <v>101000</v>
      </c>
      <c r="K509" s="2"/>
      <c r="L509" s="2"/>
      <c r="M509" s="2"/>
      <c r="N509" s="2">
        <v>101000</v>
      </c>
      <c r="O509" s="2">
        <v>101000</v>
      </c>
      <c r="P509" s="81">
        <f>E509+J509</f>
        <v>1020956</v>
      </c>
    </row>
    <row r="510" spans="1:16" s="112" customFormat="1" ht="45">
      <c r="A510" s="40"/>
      <c r="B510" s="15" t="s">
        <v>222</v>
      </c>
      <c r="C510" s="7" t="s">
        <v>221</v>
      </c>
      <c r="D510" s="8" t="s">
        <v>223</v>
      </c>
      <c r="E510" s="81">
        <f>F510+I510</f>
        <v>328773</v>
      </c>
      <c r="F510" s="2">
        <f>0+108773+220000</f>
        <v>328773</v>
      </c>
      <c r="G510" s="2"/>
      <c r="H510" s="2"/>
      <c r="I510" s="2"/>
      <c r="J510" s="81">
        <f aca="true" t="shared" si="62" ref="J510:J515">K510+N510</f>
        <v>0</v>
      </c>
      <c r="K510" s="2"/>
      <c r="L510" s="2"/>
      <c r="M510" s="2"/>
      <c r="N510" s="2"/>
      <c r="O510" s="2"/>
      <c r="P510" s="81">
        <f>E510+J510</f>
        <v>328773</v>
      </c>
    </row>
    <row r="511" spans="1:16" ht="30">
      <c r="A511" s="33" t="s">
        <v>224</v>
      </c>
      <c r="B511" s="32"/>
      <c r="C511" s="34"/>
      <c r="D511" s="11" t="s">
        <v>362</v>
      </c>
      <c r="E511" s="1">
        <f>F511+I511</f>
        <v>3840911</v>
      </c>
      <c r="F511" s="1">
        <f>SUM(F512:F515)</f>
        <v>3840911</v>
      </c>
      <c r="G511" s="1">
        <f>SUM(G512:G515)</f>
        <v>1356154</v>
      </c>
      <c r="H511" s="1">
        <f>SUM(H512:H515)</f>
        <v>103395</v>
      </c>
      <c r="I511" s="1">
        <f>SUM(I512:I515)</f>
        <v>0</v>
      </c>
      <c r="J511" s="1">
        <f t="shared" si="62"/>
        <v>1311763</v>
      </c>
      <c r="K511" s="1">
        <f>SUM(K512:K515)</f>
        <v>0</v>
      </c>
      <c r="L511" s="1">
        <f>SUM(L512:L515)</f>
        <v>0</v>
      </c>
      <c r="M511" s="1">
        <f>SUM(M512:M515)</f>
        <v>0</v>
      </c>
      <c r="N511" s="1">
        <f>SUM(N512:N515)</f>
        <v>1311763</v>
      </c>
      <c r="O511" s="1">
        <f>SUM(O512:O515)</f>
        <v>1311763</v>
      </c>
      <c r="P511" s="1">
        <f>E511+J511</f>
        <v>5152674</v>
      </c>
    </row>
    <row r="512" spans="1:16" ht="15">
      <c r="A512" s="3"/>
      <c r="B512" s="4" t="s">
        <v>18</v>
      </c>
      <c r="C512" s="5" t="s">
        <v>17</v>
      </c>
      <c r="D512" s="6" t="s">
        <v>19</v>
      </c>
      <c r="E512" s="81">
        <f aca="true" t="shared" si="63" ref="E512:E517">F512+I512</f>
        <v>2065911</v>
      </c>
      <c r="F512" s="83">
        <f>1678514-147024+400184+120461+13776</f>
        <v>2065911</v>
      </c>
      <c r="G512" s="83">
        <f>1028134+328020</f>
        <v>1356154</v>
      </c>
      <c r="H512" s="83">
        <f>97845+5550</f>
        <v>103395</v>
      </c>
      <c r="I512" s="83"/>
      <c r="J512" s="81">
        <f t="shared" si="62"/>
        <v>36224</v>
      </c>
      <c r="K512" s="83"/>
      <c r="L512" s="83"/>
      <c r="M512" s="83"/>
      <c r="N512" s="83">
        <f>50000-13776</f>
        <v>36224</v>
      </c>
      <c r="O512" s="83">
        <f>50000-13776</f>
        <v>36224</v>
      </c>
      <c r="P512" s="81">
        <f aca="true" t="shared" si="64" ref="P512:P533">E512+J512</f>
        <v>2102135</v>
      </c>
    </row>
    <row r="513" spans="1:16" ht="45">
      <c r="A513" s="3"/>
      <c r="B513" s="110">
        <v>150110</v>
      </c>
      <c r="C513" s="5" t="s">
        <v>27</v>
      </c>
      <c r="D513" s="6" t="s">
        <v>244</v>
      </c>
      <c r="E513" s="81">
        <f t="shared" si="63"/>
        <v>0</v>
      </c>
      <c r="F513" s="2"/>
      <c r="G513" s="83"/>
      <c r="H513" s="83"/>
      <c r="I513" s="83"/>
      <c r="J513" s="81">
        <f t="shared" si="62"/>
        <v>99990</v>
      </c>
      <c r="K513" s="83"/>
      <c r="L513" s="83"/>
      <c r="M513" s="83"/>
      <c r="N513" s="83">
        <f>0+75539+1000000-1000000+24455-4</f>
        <v>99990</v>
      </c>
      <c r="O513" s="83">
        <f>0+75539+1000000-1000000+24455-4</f>
        <v>99990</v>
      </c>
      <c r="P513" s="81">
        <f t="shared" si="64"/>
        <v>99990</v>
      </c>
    </row>
    <row r="514" spans="1:16" ht="45">
      <c r="A514" s="3"/>
      <c r="B514" s="19" t="s">
        <v>275</v>
      </c>
      <c r="C514" s="19" t="s">
        <v>33</v>
      </c>
      <c r="D514" s="6" t="s">
        <v>259</v>
      </c>
      <c r="E514" s="81">
        <f t="shared" si="63"/>
        <v>0</v>
      </c>
      <c r="F514" s="2"/>
      <c r="G514" s="83"/>
      <c r="H514" s="83"/>
      <c r="I514" s="83"/>
      <c r="J514" s="81">
        <f t="shared" si="62"/>
        <v>1175549</v>
      </c>
      <c r="K514" s="83"/>
      <c r="L514" s="83"/>
      <c r="M514" s="83"/>
      <c r="N514" s="83">
        <f>0+200000+1000000-24455+4</f>
        <v>1175549</v>
      </c>
      <c r="O514" s="83">
        <f>0+200000+1000000-24455+4</f>
        <v>1175549</v>
      </c>
      <c r="P514" s="81">
        <f t="shared" si="64"/>
        <v>1175549</v>
      </c>
    </row>
    <row r="515" spans="1:16" ht="15">
      <c r="A515" s="3"/>
      <c r="B515" s="15">
        <v>180107</v>
      </c>
      <c r="C515" s="19" t="s">
        <v>282</v>
      </c>
      <c r="D515" s="6" t="s">
        <v>249</v>
      </c>
      <c r="E515" s="81">
        <f t="shared" si="63"/>
        <v>1775000</v>
      </c>
      <c r="F515" s="2">
        <f>330500+2664961-1200000-20461</f>
        <v>1775000</v>
      </c>
      <c r="G515" s="83"/>
      <c r="H515" s="83"/>
      <c r="I515" s="83"/>
      <c r="J515" s="81">
        <f t="shared" si="62"/>
        <v>0</v>
      </c>
      <c r="K515" s="83"/>
      <c r="L515" s="83"/>
      <c r="M515" s="83"/>
      <c r="N515" s="83"/>
      <c r="O515" s="83"/>
      <c r="P515" s="81">
        <f t="shared" si="64"/>
        <v>1775000</v>
      </c>
    </row>
    <row r="516" spans="1:16" ht="15">
      <c r="A516" s="33" t="s">
        <v>225</v>
      </c>
      <c r="B516" s="32"/>
      <c r="C516" s="34"/>
      <c r="D516" s="35" t="s">
        <v>361</v>
      </c>
      <c r="E516" s="1">
        <f t="shared" si="63"/>
        <v>2543928</v>
      </c>
      <c r="F516" s="1">
        <f>F517</f>
        <v>2543928</v>
      </c>
      <c r="G516" s="1">
        <f aca="true" t="shared" si="65" ref="G516:O516">G517</f>
        <v>1697912</v>
      </c>
      <c r="H516" s="1">
        <f t="shared" si="65"/>
        <v>153685</v>
      </c>
      <c r="I516" s="1">
        <f t="shared" si="65"/>
        <v>0</v>
      </c>
      <c r="J516" s="1">
        <f t="shared" si="60"/>
        <v>43000</v>
      </c>
      <c r="K516" s="1">
        <f t="shared" si="65"/>
        <v>0</v>
      </c>
      <c r="L516" s="1">
        <f t="shared" si="65"/>
        <v>0</v>
      </c>
      <c r="M516" s="1">
        <f t="shared" si="65"/>
        <v>0</v>
      </c>
      <c r="N516" s="1">
        <f t="shared" si="65"/>
        <v>43000</v>
      </c>
      <c r="O516" s="1">
        <f t="shared" si="65"/>
        <v>43000</v>
      </c>
      <c r="P516" s="1">
        <f t="shared" si="64"/>
        <v>2586928</v>
      </c>
    </row>
    <row r="517" spans="1:16" ht="15">
      <c r="A517" s="3"/>
      <c r="B517" s="4" t="s">
        <v>18</v>
      </c>
      <c r="C517" s="5" t="s">
        <v>17</v>
      </c>
      <c r="D517" s="6" t="s">
        <v>19</v>
      </c>
      <c r="E517" s="81">
        <f t="shared" si="63"/>
        <v>2543928</v>
      </c>
      <c r="F517" s="83">
        <f>2209028-191030+446379+33061+25990+20500</f>
        <v>2543928</v>
      </c>
      <c r="G517" s="83">
        <f>1335880+362032</f>
        <v>1697912</v>
      </c>
      <c r="H517" s="83">
        <f>152695+990</f>
        <v>153685</v>
      </c>
      <c r="I517" s="83"/>
      <c r="J517" s="81">
        <f t="shared" si="60"/>
        <v>43000</v>
      </c>
      <c r="K517" s="83"/>
      <c r="L517" s="83"/>
      <c r="M517" s="83"/>
      <c r="N517" s="83">
        <f>80000-16500-20500</f>
        <v>43000</v>
      </c>
      <c r="O517" s="83">
        <f>80000-16500-20500</f>
        <v>43000</v>
      </c>
      <c r="P517" s="81">
        <f t="shared" si="64"/>
        <v>2586928</v>
      </c>
    </row>
    <row r="518" spans="1:16" s="47" customFormat="1" ht="15">
      <c r="A518" s="118" t="s">
        <v>324</v>
      </c>
      <c r="B518" s="32"/>
      <c r="C518" s="32"/>
      <c r="D518" s="78" t="s">
        <v>325</v>
      </c>
      <c r="E518" s="99">
        <f>SUM(F518,I518)</f>
        <v>79251</v>
      </c>
      <c r="F518" s="99">
        <f>F519</f>
        <v>79251</v>
      </c>
      <c r="G518" s="99">
        <f aca="true" t="shared" si="66" ref="G518:O518">G519</f>
        <v>63542</v>
      </c>
      <c r="H518" s="99">
        <f t="shared" si="66"/>
        <v>0</v>
      </c>
      <c r="I518" s="99">
        <f t="shared" si="66"/>
        <v>0</v>
      </c>
      <c r="J518" s="99">
        <f t="shared" si="66"/>
        <v>0</v>
      </c>
      <c r="K518" s="99">
        <f t="shared" si="66"/>
        <v>0</v>
      </c>
      <c r="L518" s="99">
        <f t="shared" si="66"/>
        <v>0</v>
      </c>
      <c r="M518" s="99">
        <f t="shared" si="66"/>
        <v>0</v>
      </c>
      <c r="N518" s="99">
        <f t="shared" si="66"/>
        <v>0</v>
      </c>
      <c r="O518" s="99">
        <f t="shared" si="66"/>
        <v>0</v>
      </c>
      <c r="P518" s="101">
        <f>SUM(E518,J518)</f>
        <v>79251</v>
      </c>
    </row>
    <row r="519" spans="1:16" s="47" customFormat="1" ht="15">
      <c r="A519" s="42"/>
      <c r="B519" s="42" t="s">
        <v>18</v>
      </c>
      <c r="C519" s="42" t="s">
        <v>17</v>
      </c>
      <c r="D519" s="48" t="s">
        <v>19</v>
      </c>
      <c r="E519" s="86">
        <f>SUM(F519,I519)</f>
        <v>79251</v>
      </c>
      <c r="F519" s="94">
        <f>167162-16641-64539-6731</f>
        <v>79251</v>
      </c>
      <c r="G519" s="94">
        <f>116369-52901+74</f>
        <v>63542</v>
      </c>
      <c r="H519" s="94">
        <v>0</v>
      </c>
      <c r="I519" s="94"/>
      <c r="J519" s="86">
        <f>K519+N519</f>
        <v>0</v>
      </c>
      <c r="K519" s="94"/>
      <c r="L519" s="94"/>
      <c r="M519" s="94"/>
      <c r="N519" s="94"/>
      <c r="O519" s="94"/>
      <c r="P519" s="102">
        <f>SUM(E519,J519)</f>
        <v>79251</v>
      </c>
    </row>
    <row r="520" spans="1:16" s="49" customFormat="1" ht="15">
      <c r="A520" s="118" t="s">
        <v>322</v>
      </c>
      <c r="B520" s="32"/>
      <c r="C520" s="34"/>
      <c r="D520" s="35" t="s">
        <v>323</v>
      </c>
      <c r="E520" s="1">
        <f>F520+I520</f>
        <v>81733</v>
      </c>
      <c r="F520" s="1">
        <f>F521</f>
        <v>81733</v>
      </c>
      <c r="G520" s="1">
        <f>G521</f>
        <v>65426</v>
      </c>
      <c r="H520" s="1">
        <f>H521</f>
        <v>0</v>
      </c>
      <c r="I520" s="1">
        <f>I521</f>
        <v>0</v>
      </c>
      <c r="J520" s="81">
        <f t="shared" si="60"/>
        <v>0</v>
      </c>
      <c r="K520" s="1">
        <f>K521</f>
        <v>0</v>
      </c>
      <c r="L520" s="1">
        <f>L521</f>
        <v>0</v>
      </c>
      <c r="M520" s="1">
        <f>M521</f>
        <v>0</v>
      </c>
      <c r="N520" s="1">
        <f>N521</f>
        <v>0</v>
      </c>
      <c r="O520" s="1">
        <f>O521</f>
        <v>0</v>
      </c>
      <c r="P520" s="103">
        <f t="shared" si="64"/>
        <v>81733</v>
      </c>
    </row>
    <row r="521" spans="1:16" s="49" customFormat="1" ht="15">
      <c r="A521" s="42"/>
      <c r="B521" s="15" t="s">
        <v>18</v>
      </c>
      <c r="C521" s="7" t="s">
        <v>17</v>
      </c>
      <c r="D521" s="8" t="s">
        <v>19</v>
      </c>
      <c r="E521" s="81">
        <f>F521+I521</f>
        <v>81733</v>
      </c>
      <c r="F521" s="2">
        <f>171298-16398-60083-13084</f>
        <v>81733</v>
      </c>
      <c r="G521" s="2">
        <f>114672-49248+2</f>
        <v>65426</v>
      </c>
      <c r="H521" s="2"/>
      <c r="I521" s="2"/>
      <c r="J521" s="81">
        <f t="shared" si="60"/>
        <v>0</v>
      </c>
      <c r="K521" s="2"/>
      <c r="L521" s="2"/>
      <c r="M521" s="2"/>
      <c r="N521" s="2"/>
      <c r="O521" s="2"/>
      <c r="P521" s="100">
        <f t="shared" si="64"/>
        <v>81733</v>
      </c>
    </row>
    <row r="522" spans="1:16" s="47" customFormat="1" ht="15">
      <c r="A522" s="129" t="s">
        <v>326</v>
      </c>
      <c r="B522" s="130"/>
      <c r="C522" s="130"/>
      <c r="D522" s="77" t="s">
        <v>327</v>
      </c>
      <c r="E522" s="77">
        <f>F522+I522</f>
        <v>174373</v>
      </c>
      <c r="F522" s="77">
        <f>F523</f>
        <v>174373</v>
      </c>
      <c r="G522" s="77">
        <f>G523</f>
        <v>115343</v>
      </c>
      <c r="H522" s="77">
        <f aca="true" t="shared" si="67" ref="H522:O522">H523</f>
        <v>0</v>
      </c>
      <c r="I522" s="77">
        <f t="shared" si="67"/>
        <v>0</v>
      </c>
      <c r="J522" s="77">
        <f t="shared" si="60"/>
        <v>0</v>
      </c>
      <c r="K522" s="77">
        <f t="shared" si="67"/>
        <v>0</v>
      </c>
      <c r="L522" s="77">
        <f t="shared" si="67"/>
        <v>0</v>
      </c>
      <c r="M522" s="77">
        <f t="shared" si="67"/>
        <v>0</v>
      </c>
      <c r="N522" s="77">
        <f t="shared" si="67"/>
        <v>0</v>
      </c>
      <c r="O522" s="77">
        <f t="shared" si="67"/>
        <v>0</v>
      </c>
      <c r="P522" s="104">
        <f t="shared" si="64"/>
        <v>174373</v>
      </c>
    </row>
    <row r="523" spans="1:16" s="47" customFormat="1" ht="15">
      <c r="A523" s="54"/>
      <c r="B523" s="66" t="s">
        <v>18</v>
      </c>
      <c r="C523" s="66" t="s">
        <v>17</v>
      </c>
      <c r="D523" s="56" t="s">
        <v>19</v>
      </c>
      <c r="E523" s="87">
        <f>F523+I523</f>
        <v>174373</v>
      </c>
      <c r="F523" s="56">
        <f>321435-31950-131866-13246+30000</f>
        <v>174373</v>
      </c>
      <c r="G523" s="56">
        <f>223430-108087</f>
        <v>115343</v>
      </c>
      <c r="H523" s="56"/>
      <c r="I523" s="56"/>
      <c r="J523" s="87">
        <f t="shared" si="60"/>
        <v>0</v>
      </c>
      <c r="K523" s="56"/>
      <c r="L523" s="56"/>
      <c r="M523" s="56"/>
      <c r="N523" s="56"/>
      <c r="O523" s="56"/>
      <c r="P523" s="105">
        <f t="shared" si="64"/>
        <v>174373</v>
      </c>
    </row>
    <row r="524" spans="1:16" ht="18.75" customHeight="1">
      <c r="A524" s="33" t="s">
        <v>226</v>
      </c>
      <c r="B524" s="32"/>
      <c r="C524" s="34"/>
      <c r="D524" s="11" t="s">
        <v>361</v>
      </c>
      <c r="E524" s="1">
        <f>E525+E527+E528+E529+E530</f>
        <v>7536664.620000001</v>
      </c>
      <c r="F524" s="1">
        <f>F525+F527+F528+F529+F530</f>
        <v>7448029.57</v>
      </c>
      <c r="G524" s="1">
        <f>G525+G527+G528+G530+G529</f>
        <v>0</v>
      </c>
      <c r="H524" s="1">
        <f>H525+H527+H528+H530+H529</f>
        <v>0</v>
      </c>
      <c r="I524" s="1">
        <f>I525+I527+I528+I530+I529</f>
        <v>0</v>
      </c>
      <c r="J524" s="1">
        <f>K524+N524</f>
        <v>74761</v>
      </c>
      <c r="K524" s="1">
        <f>K525+K527+K528+K530+K529</f>
        <v>0</v>
      </c>
      <c r="L524" s="1">
        <f>L525+L527+L528+L530+L529</f>
        <v>0</v>
      </c>
      <c r="M524" s="1">
        <f>M525+M527+M528+M530+M529</f>
        <v>0</v>
      </c>
      <c r="N524" s="1">
        <f>N525+N527+N528+N530+N529</f>
        <v>74761</v>
      </c>
      <c r="O524" s="1">
        <f>O525+O527+O528+O530+O529</f>
        <v>74761</v>
      </c>
      <c r="P524" s="1">
        <f>E524+J524</f>
        <v>7611425.620000001</v>
      </c>
    </row>
    <row r="525" spans="1:16" s="39" customFormat="1" ht="45.75" customHeight="1">
      <c r="A525" s="15"/>
      <c r="B525" s="40">
        <v>250344</v>
      </c>
      <c r="C525" s="5"/>
      <c r="D525" s="115" t="s">
        <v>351</v>
      </c>
      <c r="E525" s="81">
        <f>F525+I525</f>
        <v>1000000</v>
      </c>
      <c r="F525" s="2">
        <v>1000000</v>
      </c>
      <c r="G525" s="2"/>
      <c r="H525" s="2"/>
      <c r="I525" s="2"/>
      <c r="J525" s="81">
        <f t="shared" si="60"/>
        <v>0</v>
      </c>
      <c r="K525" s="2"/>
      <c r="L525" s="2"/>
      <c r="M525" s="2"/>
      <c r="N525" s="2"/>
      <c r="O525" s="2"/>
      <c r="P525" s="1">
        <f t="shared" si="64"/>
        <v>1000000</v>
      </c>
    </row>
    <row r="526" spans="1:16" s="39" customFormat="1" ht="35.25" customHeight="1" hidden="1">
      <c r="A526" s="15"/>
      <c r="B526" s="40"/>
      <c r="C526" s="41"/>
      <c r="D526" s="8" t="s">
        <v>294</v>
      </c>
      <c r="E526" s="81">
        <f>F526+I526</f>
        <v>0</v>
      </c>
      <c r="F526" s="2"/>
      <c r="G526" s="2"/>
      <c r="H526" s="2"/>
      <c r="I526" s="2"/>
      <c r="J526" s="81">
        <f t="shared" si="60"/>
        <v>0</v>
      </c>
      <c r="K526" s="2"/>
      <c r="L526" s="2"/>
      <c r="M526" s="2"/>
      <c r="N526" s="2"/>
      <c r="O526" s="2"/>
      <c r="P526" s="1">
        <f t="shared" si="64"/>
        <v>0</v>
      </c>
    </row>
    <row r="527" spans="1:16" ht="15">
      <c r="A527" s="3"/>
      <c r="B527" s="4" t="s">
        <v>227</v>
      </c>
      <c r="C527" s="5" t="s">
        <v>185</v>
      </c>
      <c r="D527" s="6" t="s">
        <v>228</v>
      </c>
      <c r="E527" s="81">
        <f>5000000-17000-188560-50000-1400000-455000-370000-15000-1526602-288601-30000-500000-30000-30000-26100+86548.05-22050-130000+93000-12000</f>
        <v>88635.04999999999</v>
      </c>
      <c r="F527" s="83"/>
      <c r="G527" s="83"/>
      <c r="H527" s="83"/>
      <c r="I527" s="83"/>
      <c r="J527" s="81">
        <f t="shared" si="60"/>
        <v>0</v>
      </c>
      <c r="K527" s="83"/>
      <c r="L527" s="83"/>
      <c r="M527" s="83"/>
      <c r="N527" s="83"/>
      <c r="O527" s="83"/>
      <c r="P527" s="1">
        <f t="shared" si="64"/>
        <v>88635.04999999999</v>
      </c>
    </row>
    <row r="528" spans="1:16" ht="15">
      <c r="A528" s="3"/>
      <c r="B528" s="4" t="s">
        <v>229</v>
      </c>
      <c r="C528" s="5" t="s">
        <v>46</v>
      </c>
      <c r="D528" s="6" t="s">
        <v>230</v>
      </c>
      <c r="E528" s="81">
        <f>F528+I528</f>
        <v>3946500</v>
      </c>
      <c r="F528" s="83">
        <v>3946500</v>
      </c>
      <c r="G528" s="83"/>
      <c r="H528" s="83"/>
      <c r="I528" s="83"/>
      <c r="J528" s="81">
        <f t="shared" si="60"/>
        <v>0</v>
      </c>
      <c r="K528" s="83"/>
      <c r="L528" s="83"/>
      <c r="M528" s="83"/>
      <c r="N528" s="83"/>
      <c r="O528" s="83"/>
      <c r="P528" s="1">
        <f t="shared" si="64"/>
        <v>3946500</v>
      </c>
    </row>
    <row r="529" spans="1:16" ht="15">
      <c r="A529" s="3"/>
      <c r="B529" s="4">
        <v>250380</v>
      </c>
      <c r="C529" s="5" t="s">
        <v>46</v>
      </c>
      <c r="D529" s="6" t="s">
        <v>246</v>
      </c>
      <c r="E529" s="81">
        <f>F529+I529</f>
        <v>68900</v>
      </c>
      <c r="F529" s="83">
        <v>68900</v>
      </c>
      <c r="G529" s="83"/>
      <c r="H529" s="83"/>
      <c r="I529" s="83"/>
      <c r="J529" s="81">
        <f>K529+N529</f>
        <v>0</v>
      </c>
      <c r="K529" s="83"/>
      <c r="L529" s="83"/>
      <c r="M529" s="83"/>
      <c r="N529" s="83"/>
      <c r="O529" s="83"/>
      <c r="P529" s="1">
        <f>E529+J529</f>
        <v>68900</v>
      </c>
    </row>
    <row r="530" spans="1:16" ht="18" customHeight="1">
      <c r="A530" s="3"/>
      <c r="B530" s="4">
        <v>250404</v>
      </c>
      <c r="C530" s="5" t="s">
        <v>185</v>
      </c>
      <c r="D530" s="6" t="s">
        <v>56</v>
      </c>
      <c r="E530" s="81">
        <f>F530</f>
        <v>2432629.5700000008</v>
      </c>
      <c r="F530" s="83">
        <f>7800000+8400000-68900+169960-996398-771740.77-560580.78-121794-18000-21400-19000-389870-279553.39-5000000-202955-1000000-900000-201275-28000-1518166.94-220000-260971.76-74000-385850-5000+839800-3000-10000-369726.39-57117.68-168762.31-14500-213347-29675.14-13000-430963.48-345359.46-14500-66464.33+4741-2000</f>
        <v>2432629.5700000008</v>
      </c>
      <c r="G530" s="83"/>
      <c r="H530" s="83"/>
      <c r="I530" s="83"/>
      <c r="J530" s="81">
        <f t="shared" si="60"/>
        <v>74761</v>
      </c>
      <c r="K530" s="83"/>
      <c r="L530" s="83"/>
      <c r="M530" s="83"/>
      <c r="N530" s="83">
        <f>169960-87000-8199</f>
        <v>74761</v>
      </c>
      <c r="O530" s="83">
        <f>169960-87000-8199</f>
        <v>74761</v>
      </c>
      <c r="P530" s="1">
        <f t="shared" si="64"/>
        <v>2507390.5700000008</v>
      </c>
    </row>
    <row r="531" spans="1:16" ht="0.75" customHeight="1" hidden="1">
      <c r="A531" s="3"/>
      <c r="B531" s="4"/>
      <c r="C531" s="5"/>
      <c r="D531" s="6" t="s">
        <v>269</v>
      </c>
      <c r="E531" s="81"/>
      <c r="F531" s="83"/>
      <c r="G531" s="83"/>
      <c r="H531" s="83"/>
      <c r="I531" s="83"/>
      <c r="J531" s="81">
        <f t="shared" si="60"/>
        <v>0</v>
      </c>
      <c r="K531" s="83"/>
      <c r="L531" s="83"/>
      <c r="M531" s="83"/>
      <c r="N531" s="83"/>
      <c r="O531" s="83"/>
      <c r="P531" s="1">
        <f t="shared" si="64"/>
        <v>0</v>
      </c>
    </row>
    <row r="532" spans="1:16" ht="45" customHeight="1" hidden="1">
      <c r="A532" s="3"/>
      <c r="B532" s="4">
        <v>250388</v>
      </c>
      <c r="C532" s="5" t="s">
        <v>46</v>
      </c>
      <c r="D532" s="6" t="s">
        <v>292</v>
      </c>
      <c r="E532" s="81">
        <f>F532+I532</f>
        <v>0</v>
      </c>
      <c r="F532" s="83"/>
      <c r="G532" s="83"/>
      <c r="H532" s="83"/>
      <c r="I532" s="83"/>
      <c r="J532" s="81">
        <f>K532+N532</f>
        <v>0</v>
      </c>
      <c r="K532" s="83"/>
      <c r="L532" s="83"/>
      <c r="M532" s="83"/>
      <c r="N532" s="83"/>
      <c r="O532" s="83"/>
      <c r="P532" s="1">
        <f t="shared" si="64"/>
        <v>0</v>
      </c>
    </row>
    <row r="533" spans="1:16" ht="49.5" customHeight="1">
      <c r="A533" s="3"/>
      <c r="B533" s="4"/>
      <c r="C533" s="5"/>
      <c r="D533" s="6" t="s">
        <v>339</v>
      </c>
      <c r="E533" s="81">
        <f>F533+I533</f>
        <v>657502.85</v>
      </c>
      <c r="F533" s="83">
        <f>169960-8000-10000-19000-28000-74000-5000+839800-3000-10000-57117.68-14500-29675.14-13000-14500-66464.33</f>
        <v>657502.85</v>
      </c>
      <c r="G533" s="83"/>
      <c r="H533" s="83"/>
      <c r="I533" s="83"/>
      <c r="J533" s="81">
        <f>K533+N533</f>
        <v>74761</v>
      </c>
      <c r="K533" s="83"/>
      <c r="L533" s="83"/>
      <c r="M533" s="83"/>
      <c r="N533" s="83">
        <f>169960-87000-8199</f>
        <v>74761</v>
      </c>
      <c r="O533" s="83">
        <f>169960-87000-8199</f>
        <v>74761</v>
      </c>
      <c r="P533" s="1">
        <f t="shared" si="64"/>
        <v>732263.85</v>
      </c>
    </row>
    <row r="534" spans="1:17" ht="15">
      <c r="A534" s="32"/>
      <c r="B534" s="33" t="s">
        <v>231</v>
      </c>
      <c r="C534" s="34"/>
      <c r="D534" s="35" t="s">
        <v>7</v>
      </c>
      <c r="E534" s="1">
        <f>F534+I534+E527</f>
        <v>1533312617</v>
      </c>
      <c r="F534" s="133">
        <f>F14+F23+F30+F37+F43+F72+F85+F95+F98+F104+F122+F144+F211+F276+F343+F408+F413+F416+F419+F422+F433+F435+F437+F440+F449+F482+F488+F490+F500+F508+F511+F516+F518+F520+F522+F524</f>
        <v>1496087681.95</v>
      </c>
      <c r="G534" s="133">
        <f>G14+G23+G30+G37+G43+G72+G85+G95+G98+G104+G122+G144+G211+G276+G343+G408+G413+G416+G419+G422+G433+G435+G437+G440+G449+G482+G488+G490+G500+G508+G511+G516+G518+G520+G522+G524</f>
        <v>498102785.96</v>
      </c>
      <c r="H534" s="133">
        <f>H14+H23+H30+H37+H43+H72+H85+H95+H98+H104+H122+H144+H211+H276+H343+H408+H413+H416+H419+H422+H433+H435+H437+H440+H449+H482+H488+H490+H500+H508+H511+H516+H518+H520+H522+H524</f>
        <v>163306982.61</v>
      </c>
      <c r="I534" s="133">
        <f>I14+I23+I30+I37+I43+I72+I85+I95+I98+I104+I122+I144+I211+I276+I343+I408+I413+I416+I419+I422+I433+I435+I437+I440+I449+I482+I488+I490+I500+I508+I511+I516+I518+I520+I522+I524</f>
        <v>37136300</v>
      </c>
      <c r="J534" s="1">
        <f>K534+N534</f>
        <v>225151330.88</v>
      </c>
      <c r="K534" s="133">
        <f>K14+K23+K30+K37+K43+K72+K85+K95+K98+K104+K122+K144+K211+K276+K343+K408+K413+K416+K419+K422+K433+K435+K437+K440+K449+K482+K488+K490+K500+K508+K511+K516+K518+K520+K522+K524</f>
        <v>43716470</v>
      </c>
      <c r="L534" s="133">
        <f>L14+L23+L30+L37+L43+L72+L85+L95+L98+L104+L122+L144+L211+L276+L343+L408+L413+L416+L419+L422+L433+L435+L437+L440+L449+L482+L488+L490+L500+L508+L511+L516+L518+L520+L522+L524</f>
        <v>5062855</v>
      </c>
      <c r="M534" s="133">
        <f>M14+M23+M30+M37+M43+M72+M85+M95+M98+M104+M122+M144+M211+M276+M343+M408+M413+M416+M419+M422+M433+M435+M437+M440+M449+M482+M488+M490+M500+M508+M511+M516+M518+M520+M522+M524</f>
        <v>2479098</v>
      </c>
      <c r="N534" s="133">
        <f>N14+N23+N30+N37+N43+N72+N85+N95+N98+N104+N122+N144+N211+N276+N343+N408+N413+N416+N419+N422+N433+N435+N437+N440+N449+N482+N488+N490+N500+N508+N511+N516+N518+N520+N522+N524</f>
        <v>181434860.88</v>
      </c>
      <c r="O534" s="133">
        <f>O14+O23+O30+O37+O43+O72+O85+O95+O98+O104+O122+O144+O211+O276+O343+O408+O413+O416+O419+O422+O433+O435+O437+O440+O449+O482+O488+O490+O500+O508+O511+O516+O518+O520+O522+O524</f>
        <v>160121903</v>
      </c>
      <c r="P534" s="1">
        <f>E534+J534</f>
        <v>1758463947.88</v>
      </c>
      <c r="Q534" s="38"/>
    </row>
    <row r="536" spans="6:15" ht="27" customHeight="1">
      <c r="F536" s="37"/>
      <c r="O536" s="37"/>
    </row>
    <row r="537" spans="2:13" ht="22.5" customHeight="1">
      <c r="B537" s="36" t="s">
        <v>276</v>
      </c>
      <c r="I537" s="36"/>
      <c r="L537" s="12"/>
      <c r="M537" s="135" t="s">
        <v>330</v>
      </c>
    </row>
    <row r="540" ht="15">
      <c r="Q540" s="138"/>
    </row>
    <row r="541" ht="15">
      <c r="Q541" s="138"/>
    </row>
    <row r="542" ht="15">
      <c r="Q542" s="138"/>
    </row>
  </sheetData>
  <sheetProtection/>
  <mergeCells count="22">
    <mergeCell ref="G11:G12"/>
    <mergeCell ref="F10:F12"/>
    <mergeCell ref="J9:O9"/>
    <mergeCell ref="K10:K12"/>
    <mergeCell ref="G10:H10"/>
    <mergeCell ref="L10:M10"/>
    <mergeCell ref="A6:P6"/>
    <mergeCell ref="A7:P7"/>
    <mergeCell ref="A9:A12"/>
    <mergeCell ref="B9:B12"/>
    <mergeCell ref="C9:C12"/>
    <mergeCell ref="E10:E12"/>
    <mergeCell ref="D9:D12"/>
    <mergeCell ref="E9:I9"/>
    <mergeCell ref="M11:M12"/>
    <mergeCell ref="L11:L12"/>
    <mergeCell ref="P9:P12"/>
    <mergeCell ref="H11:H12"/>
    <mergeCell ref="I10:I12"/>
    <mergeCell ref="O11:O12"/>
    <mergeCell ref="N10:N12"/>
    <mergeCell ref="J10:J12"/>
  </mergeCells>
  <printOptions/>
  <pageMargins left="0.4330708661417323" right="0.1968503937007874" top="0.35433070866141736" bottom="0.1968503937007874" header="0.35433070866141736" footer="0"/>
  <pageSetup fitToHeight="18" fitToWidth="1" horizontalDpi="600" verticalDpi="600" orientation="landscape" paperSize="9" scale="51" r:id="rId1"/>
  <rowBreaks count="7" manualBreakCount="7">
    <brk id="210" max="15" man="1"/>
    <brk id="265" max="15" man="1"/>
    <brk id="284" max="15" man="1"/>
    <brk id="288" max="15" man="1"/>
    <brk id="335" max="15" man="1"/>
    <brk id="355" max="15" man="1"/>
    <brk id="504"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MultiDVD Team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2016-10-13T05:58:06Z</cp:lastPrinted>
  <dcterms:created xsi:type="dcterms:W3CDTF">2015-01-13T20:51:03Z</dcterms:created>
  <dcterms:modified xsi:type="dcterms:W3CDTF">2016-10-13T05:58:08Z</dcterms:modified>
  <cp:category/>
  <cp:version/>
  <cp:contentType/>
  <cp:contentStatus/>
</cp:coreProperties>
</file>