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85" yWindow="195" windowWidth="13545" windowHeight="9645" activeTab="0"/>
  </bookViews>
  <sheets>
    <sheet name="дод.7" sheetId="1" r:id="rId1"/>
  </sheets>
  <definedNames>
    <definedName name="_xlfn.AGGREGATE" hidden="1">#NAME?</definedName>
    <definedName name="_xlnm.Print_Area" localSheetId="0">'дод.7'!$A$1:$I$174</definedName>
  </definedNames>
  <calcPr fullCalcOnLoad="1"/>
</workbook>
</file>

<file path=xl/sharedStrings.xml><?xml version="1.0" encoding="utf-8"?>
<sst xmlns="http://schemas.openxmlformats.org/spreadsheetml/2006/main" count="474" uniqueCount="252">
  <si>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</si>
  <si>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</si>
  <si>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</si>
  <si>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</si>
  <si>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</si>
  <si>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</si>
  <si>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</si>
  <si>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</si>
  <si>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</si>
  <si>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</si>
  <si>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</si>
  <si>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</si>
  <si>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</si>
  <si>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</si>
  <si>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</si>
  <si>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</si>
  <si>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</si>
  <si>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</si>
  <si>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</si>
  <si>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</si>
  <si>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</si>
  <si>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</si>
  <si>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</si>
  <si>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</si>
  <si>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</si>
  <si>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</si>
  <si>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</si>
  <si>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</si>
  <si>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</si>
  <si>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</si>
  <si>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</si>
  <si>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</si>
  <si>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</si>
  <si>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</si>
  <si>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</si>
  <si>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</si>
  <si>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</si>
  <si>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</si>
  <si>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</si>
  <si>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</si>
  <si>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</si>
  <si>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</si>
  <si>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</si>
  <si>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</si>
  <si>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</si>
  <si>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</si>
  <si>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</si>
  <si>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</si>
  <si>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</si>
  <si>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</si>
  <si>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</si>
  <si>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</si>
  <si>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</si>
  <si>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</si>
  <si>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</si>
  <si>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</si>
  <si>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</si>
  <si>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</si>
  <si>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</si>
  <si>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</si>
  <si>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</si>
  <si>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</si>
  <si>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</si>
  <si>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</si>
  <si>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</si>
  <si>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</si>
  <si>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</si>
  <si>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</si>
  <si>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</si>
  <si>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</si>
  <si>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</si>
  <si>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</si>
  <si>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</si>
  <si>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</si>
  <si>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</si>
  <si>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</si>
  <si>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</si>
  <si>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</si>
  <si>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</si>
  <si>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</si>
  <si>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</si>
  <si>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</si>
  <si>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</si>
  <si>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</si>
  <si>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</si>
  <si>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</si>
  <si>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</si>
  <si>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</si>
  <si>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</si>
  <si>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</si>
  <si>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</si>
  <si>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</si>
  <si>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</si>
  <si>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</si>
  <si>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</si>
  <si>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</si>
  <si>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</si>
  <si>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</si>
  <si>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</si>
  <si>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</si>
  <si>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</si>
  <si>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</si>
  <si>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</si>
  <si>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</si>
  <si>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</si>
  <si>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</si>
  <si>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</si>
  <si>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</si>
  <si>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</si>
  <si>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</si>
  <si>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</si>
  <si>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</si>
  <si>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</si>
  <si>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</si>
  <si>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</si>
  <si>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</si>
  <si>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</si>
  <si>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</si>
  <si>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</si>
  <si>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</si>
  <si>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</si>
  <si>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</si>
  <si>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</si>
  <si>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</si>
  <si>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</si>
  <si>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</si>
  <si>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</si>
  <si>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</si>
  <si>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</si>
  <si>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</si>
  <si>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</si>
  <si>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</si>
  <si>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</si>
  <si>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</si>
  <si>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</si>
  <si>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</si>
  <si>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</si>
  <si>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</si>
  <si>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</si>
  <si>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</si>
  <si>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</si>
  <si>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</si>
  <si>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</si>
  <si>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</si>
  <si>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</si>
  <si>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</si>
  <si>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</si>
  <si>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</si>
  <si>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</si>
  <si>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</si>
  <si>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</si>
  <si>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</si>
  <si>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</si>
  <si>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</si>
  <si>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</si>
  <si>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</si>
  <si>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</si>
  <si>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</si>
  <si>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</si>
  <si>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</si>
  <si>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</si>
  <si>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</si>
  <si>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</si>
  <si>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</si>
  <si>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</si>
  <si>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</si>
  <si>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</si>
  <si>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</si>
  <si>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</si>
  <si>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</si>
  <si>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</si>
  <si>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</si>
  <si>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</si>
  <si>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</si>
  <si>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</si>
  <si>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</si>
  <si>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</si>
  <si>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</si>
  <si>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</si>
  <si>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</si>
  <si>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</si>
  <si>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</si>
  <si>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</si>
  <si>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</si>
  <si>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</si>
  <si>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</si>
  <si>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</si>
  <si>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</si>
  <si>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</si>
  <si>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</si>
  <si>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</si>
  <si>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</si>
  <si>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</si>
  <si>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</si>
  <si>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</si>
  <si>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</si>
  <si>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</si>
  <si>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</si>
  <si>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</si>
  <si>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</si>
  <si>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</si>
  <si>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</si>
  <si>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</si>
  <si>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</si>
  <si>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</si>
  <si>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</si>
  <si>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</si>
  <si>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</si>
  <si>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</si>
  <si>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</si>
  <si>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</si>
  <si>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</si>
  <si>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</si>
  <si>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</si>
  <si>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</si>
  <si>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</si>
  <si>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</si>
  <si>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</si>
  <si>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</si>
  <si>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</si>
  <si>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</si>
  <si>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</si>
  <si>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</si>
  <si>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</si>
  <si>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</si>
  <si>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</si>
  <si>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</si>
  <si>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</si>
  <si>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</si>
  <si>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</si>
  <si>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</si>
  <si>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Департамент з гуманітарних питань міської ради</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</si>
  <si>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</si>
  <si>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</si>
  <si>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</si>
  <si>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</si>
  <si>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</si>
  <si>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</si>
  <si>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</si>
  <si>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</si>
  <si>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</si>
  <si>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</si>
  <si>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</si>
  <si>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</si>
  <si>
    <t>Проведення невідкладних відновлювальних робіт, будівництво та реконструкція  лікарень загального профілю</t>
  </si>
  <si>
    <t>від 25.12.2015 №12-03/УІІ)</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</si>
  <si>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</si>
  <si>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Управління екології та природних ресурсів Кам'янської міської ради</t>
  </si>
  <si>
    <t>Про затвердження Програми  підтримки та сприяння розрахунків КП «Дорожник» по заробітній платі, рiшення міської ради  від 30.03.2016 №123-06/VІI (зі змінами)</t>
  </si>
  <si>
    <t>Про затвердження Програми розвитку комунального підприємства Кам"янської міської ради «Екосервіс» на 2016–2017 роки, рішення міської ради  від 30.09.2016 № 364-10/VII</t>
  </si>
  <si>
    <t>Програма комунального підприємства Дніпродзержинської міської ради «Комсервіс» по забезпеченню ефективної експлуатації та утримання міських доріг, мостів, шляхопроводів, зливової каналізації закритого типу, гідротехнічних споруд(зливово-меліоративна система відкритого та закритого типу) в м.Дніпродзержинську  на 2014-2018 роки, рішення міської ради від  31.10.2014 №1136-56/VІ (зі змінами)</t>
  </si>
  <si>
    <t xml:space="preserve">від          №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</si>
</sst>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2"/>
      <name val="Calibri"/>
      <family val="2"/>
    </font>
    <font>
      <b/>
      <sz val="11"/>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6">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42"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192" fontId="27" fillId="4" borderId="12" xfId="95" applyNumberFormat="1" applyFont="1" applyFill="1" applyBorder="1" applyAlignment="1">
      <alignment horizontal="center" vertical="center" wrapText="1"/>
      <protection/>
    </xf>
    <xf numFmtId="192" fontId="27" fillId="0" borderId="12" xfId="0" applyNumberFormat="1" applyFont="1" applyFill="1" applyBorder="1" applyAlignment="1" applyProtection="1">
      <alignment horizontal="center" vertical="center" wrapText="1"/>
      <protection/>
    </xf>
    <xf numFmtId="1" fontId="31"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vertical="center" wrapText="1"/>
      <protection/>
    </xf>
    <xf numFmtId="3" fontId="27" fillId="0" borderId="12" xfId="0" applyNumberFormat="1" applyFont="1" applyFill="1" applyBorder="1" applyAlignment="1" applyProtection="1">
      <alignment vertical="center" wrapText="1"/>
      <protection/>
    </xf>
    <xf numFmtId="3" fontId="31" fillId="0" borderId="12" xfId="0" applyNumberFormat="1" applyFont="1" applyFill="1" applyBorder="1" applyAlignment="1">
      <alignment horizontal="center" vertical="center" wrapText="1"/>
    </xf>
    <xf numFmtId="3" fontId="27" fillId="4" borderId="12" xfId="0" applyNumberFormat="1" applyFont="1" applyFill="1" applyBorder="1" applyAlignment="1" quotePrefix="1">
      <alignment horizontal="center" vertical="center" wrapText="1"/>
    </xf>
    <xf numFmtId="2" fontId="27" fillId="4" borderId="17" xfId="0" applyNumberFormat="1" applyFont="1" applyFill="1" applyBorder="1" applyAlignment="1" quotePrefix="1">
      <alignment horizontal="center" vertical="center" wrapText="1"/>
    </xf>
    <xf numFmtId="0" fontId="0" fillId="0" borderId="18" xfId="0" applyFont="1" applyBorder="1" applyAlignment="1">
      <alignment/>
    </xf>
    <xf numFmtId="3" fontId="27" fillId="4" borderId="12" xfId="0" applyNumberFormat="1" applyFont="1" applyFill="1" applyBorder="1" applyAlignment="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3" fontId="27" fillId="0" borderId="12" xfId="0" applyNumberFormat="1" applyFont="1" applyFill="1" applyBorder="1" applyAlignment="1" applyProtection="1">
      <alignment horizontal="center" vertical="center" wrapText="1"/>
      <protection/>
    </xf>
    <xf numFmtId="3" fontId="29" fillId="0" borderId="0" xfId="0" applyNumberFormat="1" applyFont="1" applyFill="1" applyAlignment="1">
      <alignment horizontal="center" vertical="center" wrapText="1"/>
    </xf>
    <xf numFmtId="3" fontId="27" fillId="0" borderId="12" xfId="0" applyNumberFormat="1" applyFont="1" applyFill="1" applyBorder="1" applyAlignment="1">
      <alignment horizontal="center" vertical="center" wrapText="1"/>
    </xf>
    <xf numFmtId="3" fontId="28" fillId="0" borderId="0" xfId="0" applyNumberFormat="1" applyFont="1" applyFill="1" applyAlignment="1">
      <alignment horizontal="left"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192" fontId="27" fillId="0" borderId="16" xfId="0" applyNumberFormat="1" applyFont="1" applyBorder="1" applyAlignment="1">
      <alignment horizontal="center" vertical="center" wrapText="1"/>
    </xf>
    <xf numFmtId="192"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protection/>
    </xf>
    <xf numFmtId="192" fontId="27" fillId="0" borderId="12" xfId="0" applyNumberFormat="1" applyFont="1" applyFill="1" applyBorder="1" applyAlignment="1">
      <alignment horizontal="center" vertical="center"/>
    </xf>
    <xf numFmtId="192" fontId="27" fillId="26" borderId="12" xfId="95" applyNumberFormat="1" applyFont="1" applyFill="1" applyBorder="1" applyAlignment="1">
      <alignment horizontal="center" vertical="center" wrapText="1"/>
      <protection/>
    </xf>
    <xf numFmtId="192" fontId="31" fillId="0" borderId="12" xfId="0" applyNumberFormat="1" applyFont="1" applyFill="1" applyBorder="1" applyAlignment="1" applyProtection="1">
      <alignment horizontal="center" vertical="center" wrapText="1"/>
      <protection/>
    </xf>
    <xf numFmtId="192" fontId="31" fillId="0" borderId="12" xfId="0" applyNumberFormat="1" applyFont="1" applyFill="1" applyBorder="1" applyAlignment="1" applyProtection="1">
      <alignment horizontal="center" vertical="center" wrapText="1"/>
      <protection/>
    </xf>
    <xf numFmtId="192" fontId="31" fillId="0" borderId="12" xfId="95" applyNumberFormat="1" applyFont="1" applyFill="1" applyBorder="1" applyAlignment="1">
      <alignment horizontal="center" vertical="center" wrapText="1"/>
      <protection/>
    </xf>
    <xf numFmtId="192" fontId="27" fillId="4" borderId="12"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5" xfId="0" applyNumberFormat="1" applyFont="1" applyFill="1" applyBorder="1" applyAlignment="1" quotePrefix="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49" fontId="27" fillId="0" borderId="12" xfId="0" applyNumberFormat="1" applyFont="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4" xfId="95" applyNumberFormat="1" applyFont="1" applyFill="1" applyBorder="1" applyAlignment="1">
      <alignment horizontal="center" vertical="center" wrapText="1"/>
      <protection/>
    </xf>
    <xf numFmtId="3" fontId="27" fillId="0" borderId="15" xfId="95" applyNumberFormat="1" applyFont="1" applyFill="1" applyBorder="1" applyAlignment="1">
      <alignment horizontal="center" vertical="center" wrapText="1"/>
      <protection/>
    </xf>
    <xf numFmtId="1" fontId="27" fillId="0" borderId="16" xfId="0" applyNumberFormat="1" applyFont="1" applyFill="1" applyBorder="1" applyAlignment="1" quotePrefix="1">
      <alignment horizontal="center" vertical="center" wrapText="1"/>
    </xf>
    <xf numFmtId="3" fontId="29" fillId="0" borderId="0" xfId="0" applyNumberFormat="1" applyFont="1" applyFill="1" applyBorder="1" applyAlignment="1" applyProtection="1">
      <alignment horizontal="center" vertical="center" wrapText="1"/>
      <protection/>
    </xf>
    <xf numFmtId="3" fontId="28" fillId="0" borderId="0" xfId="0" applyNumberFormat="1" applyFont="1" applyAlignment="1">
      <alignment horizontal="left" vertical="center" wrapText="1"/>
    </xf>
    <xf numFmtId="3" fontId="27" fillId="4" borderId="17" xfId="0" applyNumberFormat="1" applyFont="1" applyFill="1" applyBorder="1" applyAlignment="1" quotePrefix="1">
      <alignment horizontal="center" vertical="center" wrapText="1"/>
    </xf>
    <xf numFmtId="3" fontId="27" fillId="4" borderId="18" xfId="0" applyNumberFormat="1" applyFont="1" applyFill="1" applyBorder="1" applyAlignment="1" quotePrefix="1">
      <alignment horizontal="center" vertical="center" wrapText="1"/>
    </xf>
    <xf numFmtId="192" fontId="27" fillId="0" borderId="12" xfId="0" applyNumberFormat="1" applyFont="1" applyBorder="1" applyAlignment="1">
      <alignmen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192" fontId="27" fillId="0" borderId="14" xfId="0" applyNumberFormat="1" applyFont="1" applyBorder="1" applyAlignment="1">
      <alignment vertical="center" wrapText="1"/>
    </xf>
    <xf numFmtId="192" fontId="27" fillId="0" borderId="14" xfId="0" applyNumberFormat="1" applyFont="1" applyBorder="1" applyAlignment="1">
      <alignment horizontal="center" vertical="center" wrapText="1"/>
    </xf>
    <xf numFmtId="192" fontId="27" fillId="0" borderId="16" xfId="0" applyNumberFormat="1" applyFont="1" applyBorder="1" applyAlignment="1">
      <alignment horizontal="center" vertical="center" wrapText="1"/>
    </xf>
    <xf numFmtId="0" fontId="27" fillId="0" borderId="15" xfId="0" applyFont="1" applyBorder="1" applyAlignment="1">
      <alignment horizontal="center" vertical="center" wrapText="1"/>
    </xf>
    <xf numFmtId="2" fontId="27" fillId="4" borderId="17" xfId="0" applyNumberFormat="1" applyFont="1" applyFill="1" applyBorder="1" applyAlignment="1">
      <alignment horizontal="center" vertical="center" wrapText="1"/>
    </xf>
    <xf numFmtId="2" fontId="27" fillId="4" borderId="18" xfId="0" applyNumberFormat="1" applyFont="1" applyFill="1" applyBorder="1" applyAlignment="1">
      <alignment horizontal="center" vertical="center" wrapText="1"/>
    </xf>
    <xf numFmtId="192" fontId="27" fillId="0" borderId="12" xfId="0" applyNumberFormat="1" applyFont="1" applyBorder="1" applyAlignment="1">
      <alignment horizontal="center" vertical="center" wrapText="1"/>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xf numFmtId="2" fontId="41" fillId="4" borderId="17" xfId="0" applyNumberFormat="1" applyFont="1" applyFill="1" applyBorder="1" applyAlignment="1" quotePrefix="1">
      <alignment horizontal="center" vertical="center" wrapText="1"/>
    </xf>
    <xf numFmtId="0" fontId="0" fillId="0" borderId="18" xfId="0" applyFont="1" applyBorder="1" applyAlignment="1">
      <alignmen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8"/>
  <sheetViews>
    <sheetView tabSelected="1" view="pageBreakPreview" zoomScale="60" zoomScaleNormal="80" zoomScalePageLayoutView="0" workbookViewId="0" topLeftCell="A1">
      <pane xSplit="1" ySplit="11" topLeftCell="B172" activePane="bottomRight" state="frozen"/>
      <selection pane="topLeft" activeCell="A1" sqref="A1"/>
      <selection pane="topRight" activeCell="B1" sqref="B1"/>
      <selection pane="bottomLeft" activeCell="A12" sqref="A12"/>
      <selection pane="bottomRight" activeCell="J1" sqref="J1:S252"/>
    </sheetView>
  </sheetViews>
  <sheetFormatPr defaultColWidth="9.16015625" defaultRowHeight="12.75"/>
  <cols>
    <col min="1" max="1" width="3.66015625" style="4" customWidth="1"/>
    <col min="2" max="2" width="10.83203125" style="10" customWidth="1"/>
    <col min="3" max="4" width="12.16015625" style="11" customWidth="1"/>
    <col min="5" max="5" width="39.16015625" style="10" customWidth="1"/>
    <col min="6" max="6" width="73.5" style="10" customWidth="1"/>
    <col min="7" max="7" width="19.33203125" style="10" customWidth="1"/>
    <col min="8" max="8" width="19.16015625" style="10" customWidth="1"/>
    <col min="9" max="9" width="20.16015625" style="10" customWidth="1"/>
    <col min="10" max="10" width="2" style="10" customWidth="1"/>
    <col min="11" max="11" width="12.33203125" style="25" customWidth="1"/>
    <col min="12" max="12" width="14.832031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75">
      <c r="A1" s="35"/>
      <c r="B1" s="113"/>
      <c r="C1" s="113"/>
      <c r="D1" s="113"/>
      <c r="E1" s="113"/>
      <c r="F1" s="113"/>
      <c r="G1" s="113"/>
      <c r="H1" s="113"/>
      <c r="I1" s="113"/>
      <c r="J1" s="1"/>
      <c r="K1" s="14"/>
      <c r="L1" s="15"/>
      <c r="M1" s="15"/>
      <c r="N1" s="15"/>
      <c r="O1" s="15"/>
      <c r="P1" s="15"/>
    </row>
    <row r="2" spans="1:16" s="3" customFormat="1" ht="15.75">
      <c r="A2" s="35"/>
      <c r="B2" s="1"/>
      <c r="C2" s="2"/>
      <c r="D2" s="2"/>
      <c r="E2" s="1"/>
      <c r="F2" s="1"/>
      <c r="G2" s="112" t="s">
        <v>173</v>
      </c>
      <c r="H2" s="112"/>
      <c r="I2" s="112"/>
      <c r="J2" s="26"/>
      <c r="K2" s="16"/>
      <c r="L2" s="15"/>
      <c r="M2" s="15"/>
      <c r="N2" s="15"/>
      <c r="O2" s="15"/>
      <c r="P2" s="15"/>
    </row>
    <row r="3" spans="1:16" s="3" customFormat="1" ht="15.75">
      <c r="A3" s="35"/>
      <c r="B3" s="1"/>
      <c r="C3" s="2"/>
      <c r="D3" s="2"/>
      <c r="E3" s="1"/>
      <c r="F3" s="1"/>
      <c r="G3" s="112" t="s">
        <v>113</v>
      </c>
      <c r="H3" s="112"/>
      <c r="I3" s="112"/>
      <c r="J3" s="26"/>
      <c r="K3" s="16"/>
      <c r="L3" s="15"/>
      <c r="M3" s="15"/>
      <c r="N3" s="15"/>
      <c r="O3" s="15"/>
      <c r="P3" s="15"/>
    </row>
    <row r="4" spans="1:16" s="3" customFormat="1" ht="15.75">
      <c r="A4" s="35"/>
      <c r="B4" s="1"/>
      <c r="C4" s="2"/>
      <c r="D4" s="2"/>
      <c r="E4" s="1"/>
      <c r="F4" s="1"/>
      <c r="G4" s="112" t="s">
        <v>251</v>
      </c>
      <c r="H4" s="112"/>
      <c r="I4" s="112"/>
      <c r="J4" s="26"/>
      <c r="K4" s="16"/>
      <c r="L4" s="15"/>
      <c r="M4" s="15"/>
      <c r="N4" s="15"/>
      <c r="O4" s="15"/>
      <c r="P4" s="15"/>
    </row>
    <row r="5" spans="1:16" s="3" customFormat="1" ht="15.75">
      <c r="A5" s="35"/>
      <c r="B5" s="1"/>
      <c r="C5" s="2"/>
      <c r="D5" s="2"/>
      <c r="E5" s="1"/>
      <c r="F5" s="1"/>
      <c r="G5" s="112" t="s">
        <v>182</v>
      </c>
      <c r="H5" s="139"/>
      <c r="I5" s="139"/>
      <c r="J5" s="27"/>
      <c r="K5" s="16"/>
      <c r="L5" s="15"/>
      <c r="M5" s="15"/>
      <c r="N5" s="15"/>
      <c r="O5" s="15"/>
      <c r="P5" s="15"/>
    </row>
    <row r="6" spans="1:16" s="3" customFormat="1" ht="15.75">
      <c r="A6" s="35"/>
      <c r="B6" s="1"/>
      <c r="C6" s="2"/>
      <c r="D6" s="2"/>
      <c r="E6" s="1"/>
      <c r="F6" s="1"/>
      <c r="G6" s="112" t="s">
        <v>245</v>
      </c>
      <c r="H6" s="112"/>
      <c r="I6" s="112"/>
      <c r="J6" s="26"/>
      <c r="K6" s="16"/>
      <c r="L6" s="15"/>
      <c r="M6" s="15"/>
      <c r="N6" s="15"/>
      <c r="O6" s="15"/>
      <c r="P6" s="15"/>
    </row>
    <row r="7" spans="1:16" s="3" customFormat="1" ht="15.75">
      <c r="A7" s="35"/>
      <c r="B7" s="1"/>
      <c r="C7" s="2"/>
      <c r="D7" s="2"/>
      <c r="E7" s="1"/>
      <c r="F7" s="1"/>
      <c r="G7" s="112"/>
      <c r="H7" s="112"/>
      <c r="I7" s="112"/>
      <c r="J7" s="26"/>
      <c r="K7" s="16"/>
      <c r="L7" s="15"/>
      <c r="M7" s="15"/>
      <c r="N7" s="15"/>
      <c r="O7" s="15"/>
      <c r="P7" s="15"/>
    </row>
    <row r="8" spans="1:16" s="3" customFormat="1" ht="15.75">
      <c r="A8" s="35"/>
      <c r="B8" s="1"/>
      <c r="C8" s="2"/>
      <c r="D8" s="2"/>
      <c r="E8" s="1"/>
      <c r="F8" s="1"/>
      <c r="G8" s="59"/>
      <c r="H8" s="59"/>
      <c r="I8" s="1"/>
      <c r="J8" s="1"/>
      <c r="K8" s="14"/>
      <c r="L8" s="15"/>
      <c r="M8" s="15"/>
      <c r="N8" s="15"/>
      <c r="O8" s="15"/>
      <c r="P8" s="15"/>
    </row>
    <row r="9" spans="1:11" ht="57" customHeight="1">
      <c r="A9" s="8"/>
      <c r="B9" s="114" t="s">
        <v>162</v>
      </c>
      <c r="C9" s="138"/>
      <c r="D9" s="138"/>
      <c r="E9" s="138"/>
      <c r="F9" s="138"/>
      <c r="G9" s="138"/>
      <c r="H9" s="138"/>
      <c r="I9" s="138"/>
      <c r="J9" s="5"/>
      <c r="K9" s="17"/>
    </row>
    <row r="10" spans="1:11" ht="18.75">
      <c r="A10" s="8"/>
      <c r="B10" s="37"/>
      <c r="C10" s="38"/>
      <c r="D10" s="38"/>
      <c r="E10" s="90"/>
      <c r="F10" s="39"/>
      <c r="G10" s="39"/>
      <c r="H10" s="36"/>
      <c r="I10" s="65" t="s">
        <v>114</v>
      </c>
      <c r="J10" s="29"/>
      <c r="K10" s="19"/>
    </row>
    <row r="11" spans="1:12" ht="99.75" customHeight="1">
      <c r="A11" s="40"/>
      <c r="B11" s="60" t="s">
        <v>11</v>
      </c>
      <c r="C11" s="61" t="s">
        <v>10</v>
      </c>
      <c r="D11" s="61" t="s">
        <v>4</v>
      </c>
      <c r="E11" s="42" t="s">
        <v>12</v>
      </c>
      <c r="F11" s="42" t="s">
        <v>6</v>
      </c>
      <c r="G11" s="45" t="s">
        <v>2</v>
      </c>
      <c r="H11" s="42" t="s">
        <v>3</v>
      </c>
      <c r="I11" s="42" t="s">
        <v>7</v>
      </c>
      <c r="J11" s="30"/>
      <c r="K11" s="20"/>
      <c r="L11" s="15"/>
    </row>
    <row r="12" spans="1:12" ht="15.75">
      <c r="A12" s="8"/>
      <c r="B12" s="42">
        <v>1</v>
      </c>
      <c r="C12" s="46">
        <v>2</v>
      </c>
      <c r="D12" s="46">
        <v>3</v>
      </c>
      <c r="E12" s="42">
        <v>4</v>
      </c>
      <c r="F12" s="42">
        <v>5</v>
      </c>
      <c r="G12" s="42">
        <v>6</v>
      </c>
      <c r="H12" s="42">
        <v>7</v>
      </c>
      <c r="I12" s="42">
        <v>8</v>
      </c>
      <c r="J12" s="30"/>
      <c r="K12" s="20"/>
      <c r="L12" s="15"/>
    </row>
    <row r="13" spans="1:16" s="7" customFormat="1" ht="29.25" customHeight="1">
      <c r="A13" s="41"/>
      <c r="B13" s="53" t="s">
        <v>13</v>
      </c>
      <c r="C13" s="54"/>
      <c r="D13" s="54"/>
      <c r="E13" s="140" t="s">
        <v>14</v>
      </c>
      <c r="F13" s="141"/>
      <c r="G13" s="96">
        <f>SUM(G14:G16)</f>
        <v>573137</v>
      </c>
      <c r="H13" s="96">
        <f>SUM(H14:H16)</f>
        <v>276400</v>
      </c>
      <c r="I13" s="96">
        <f>G13+H13</f>
        <v>849537</v>
      </c>
      <c r="J13" s="31"/>
      <c r="K13" s="21"/>
      <c r="L13" s="22"/>
      <c r="M13" s="23"/>
      <c r="N13" s="23"/>
      <c r="O13" s="23"/>
      <c r="P13" s="23"/>
    </row>
    <row r="14" spans="2:12" ht="56.25" customHeight="1">
      <c r="B14" s="42"/>
      <c r="C14" s="43" t="s">
        <v>15</v>
      </c>
      <c r="D14" s="43" t="s">
        <v>16</v>
      </c>
      <c r="E14" s="42" t="s">
        <v>17</v>
      </c>
      <c r="F14" s="44" t="s">
        <v>166</v>
      </c>
      <c r="G14" s="73">
        <v>350000</v>
      </c>
      <c r="H14" s="73"/>
      <c r="I14" s="73">
        <f>G14+H14</f>
        <v>350000</v>
      </c>
      <c r="J14" s="32"/>
      <c r="K14" s="24"/>
      <c r="L14" s="15"/>
    </row>
    <row r="15" spans="2:12" ht="59.25" customHeight="1">
      <c r="B15" s="42"/>
      <c r="C15" s="43">
        <v>120100</v>
      </c>
      <c r="D15" s="43">
        <v>830</v>
      </c>
      <c r="E15" s="42" t="s">
        <v>197</v>
      </c>
      <c r="F15" s="44" t="s">
        <v>198</v>
      </c>
      <c r="G15" s="73"/>
      <c r="H15" s="73">
        <f>250000+35000-8600</f>
        <v>276400</v>
      </c>
      <c r="I15" s="73">
        <f>250000+35000-8600</f>
        <v>276400</v>
      </c>
      <c r="J15" s="32"/>
      <c r="K15" s="24"/>
      <c r="L15" s="15"/>
    </row>
    <row r="16" spans="2:12" ht="57.75" customHeight="1">
      <c r="B16" s="42"/>
      <c r="C16" s="43">
        <v>250404</v>
      </c>
      <c r="D16" s="46" t="s">
        <v>73</v>
      </c>
      <c r="E16" s="42" t="s">
        <v>27</v>
      </c>
      <c r="F16" s="44" t="s">
        <v>130</v>
      </c>
      <c r="G16" s="73">
        <f>139900+140000-56763</f>
        <v>223137</v>
      </c>
      <c r="H16" s="73"/>
      <c r="I16" s="73">
        <f>G16+H16</f>
        <v>223137</v>
      </c>
      <c r="J16" s="32"/>
      <c r="K16" s="24"/>
      <c r="L16" s="15"/>
    </row>
    <row r="17" spans="2:12" ht="15.75">
      <c r="B17" s="77" t="s">
        <v>149</v>
      </c>
      <c r="C17" s="52"/>
      <c r="D17" s="54"/>
      <c r="E17" s="149" t="s">
        <v>150</v>
      </c>
      <c r="F17" s="150"/>
      <c r="G17" s="96">
        <f>SUM(G18:G23)</f>
        <v>2292556</v>
      </c>
      <c r="H17" s="96">
        <f>SUM(H18:H23)</f>
        <v>0</v>
      </c>
      <c r="I17" s="96">
        <f>SUM(I18:I23)</f>
        <v>2292556</v>
      </c>
      <c r="J17" s="32"/>
      <c r="K17" s="24"/>
      <c r="L17" s="15"/>
    </row>
    <row r="18" spans="2:12" ht="54" customHeight="1">
      <c r="B18" s="71"/>
      <c r="C18" s="72" t="s">
        <v>186</v>
      </c>
      <c r="D18" s="72" t="s">
        <v>187</v>
      </c>
      <c r="E18" s="88" t="s">
        <v>188</v>
      </c>
      <c r="F18" s="76" t="s">
        <v>0</v>
      </c>
      <c r="G18" s="115">
        <f>0+30000</f>
        <v>30000</v>
      </c>
      <c r="H18" s="116"/>
      <c r="I18" s="73">
        <f>G18+H18</f>
        <v>30000</v>
      </c>
      <c r="J18" s="32"/>
      <c r="K18" s="24"/>
      <c r="L18" s="15"/>
    </row>
    <row r="19" spans="2:12" ht="15.75">
      <c r="B19" s="124"/>
      <c r="C19" s="143">
        <v>100203</v>
      </c>
      <c r="D19" s="143">
        <v>620</v>
      </c>
      <c r="E19" s="144" t="s">
        <v>80</v>
      </c>
      <c r="F19" s="143" t="s">
        <v>0</v>
      </c>
      <c r="G19" s="146">
        <f>1000000-30000+500000+195000-70780+55000</f>
        <v>1649220</v>
      </c>
      <c r="H19" s="142"/>
      <c r="I19" s="151">
        <f>SUM(G19+H19)</f>
        <v>1649220</v>
      </c>
      <c r="J19" s="32"/>
      <c r="K19" s="24"/>
      <c r="L19" s="15"/>
    </row>
    <row r="20" spans="2:12" ht="36" customHeight="1">
      <c r="B20" s="126"/>
      <c r="C20" s="144"/>
      <c r="D20" s="144"/>
      <c r="E20" s="148"/>
      <c r="F20" s="144"/>
      <c r="G20" s="147"/>
      <c r="H20" s="145"/>
      <c r="I20" s="146"/>
      <c r="J20" s="32"/>
      <c r="K20" s="24"/>
      <c r="L20" s="15"/>
    </row>
    <row r="21" spans="2:12" ht="15.75">
      <c r="B21" s="124"/>
      <c r="C21" s="131" t="s">
        <v>153</v>
      </c>
      <c r="D21" s="143">
        <v>111</v>
      </c>
      <c r="E21" s="143" t="s">
        <v>148</v>
      </c>
      <c r="F21" s="143" t="s">
        <v>167</v>
      </c>
      <c r="G21" s="151">
        <v>613336</v>
      </c>
      <c r="H21" s="142"/>
      <c r="I21" s="151">
        <f>SUM(G21+H21)</f>
        <v>613336</v>
      </c>
      <c r="J21" s="32"/>
      <c r="K21" s="24"/>
      <c r="L21" s="15"/>
    </row>
    <row r="22" spans="2:12" ht="15.75">
      <c r="B22" s="125"/>
      <c r="C22" s="131"/>
      <c r="D22" s="143"/>
      <c r="E22" s="143"/>
      <c r="F22" s="143"/>
      <c r="G22" s="151"/>
      <c r="H22" s="142"/>
      <c r="I22" s="151"/>
      <c r="J22" s="32"/>
      <c r="K22" s="24"/>
      <c r="L22" s="15"/>
    </row>
    <row r="23" spans="2:12" ht="15.75">
      <c r="B23" s="126"/>
      <c r="C23" s="131"/>
      <c r="D23" s="143"/>
      <c r="E23" s="143"/>
      <c r="F23" s="143"/>
      <c r="G23" s="151"/>
      <c r="H23" s="142"/>
      <c r="I23" s="151"/>
      <c r="J23" s="32"/>
      <c r="K23" s="24"/>
      <c r="L23" s="15"/>
    </row>
    <row r="24" spans="2:12" ht="29.25" customHeight="1">
      <c r="B24" s="62" t="s">
        <v>152</v>
      </c>
      <c r="C24" s="52"/>
      <c r="D24" s="54"/>
      <c r="E24" s="149" t="s">
        <v>151</v>
      </c>
      <c r="F24" s="150"/>
      <c r="G24" s="96">
        <f>SUM(G25:G28)</f>
        <v>1975162</v>
      </c>
      <c r="H24" s="96">
        <f>SUM(H25:H28)</f>
        <v>91312</v>
      </c>
      <c r="I24" s="96">
        <f>SUM(I25:I28)</f>
        <v>2066474</v>
      </c>
      <c r="J24" s="32"/>
      <c r="K24" s="24"/>
      <c r="L24" s="15"/>
    </row>
    <row r="25" spans="2:12" ht="45" customHeight="1">
      <c r="B25" s="42"/>
      <c r="C25" s="47" t="s">
        <v>153</v>
      </c>
      <c r="D25" s="48" t="s">
        <v>154</v>
      </c>
      <c r="E25" s="91" t="s">
        <v>148</v>
      </c>
      <c r="F25" s="51" t="s">
        <v>167</v>
      </c>
      <c r="G25" s="117">
        <v>517797</v>
      </c>
      <c r="H25" s="117"/>
      <c r="I25" s="117">
        <f>G25+H25</f>
        <v>517797</v>
      </c>
      <c r="J25" s="32"/>
      <c r="K25" s="24"/>
      <c r="L25" s="15"/>
    </row>
    <row r="26" spans="2:12" ht="57.75" customHeight="1">
      <c r="B26" s="71"/>
      <c r="C26" s="72" t="s">
        <v>186</v>
      </c>
      <c r="D26" s="72" t="s">
        <v>187</v>
      </c>
      <c r="E26" s="88" t="s">
        <v>188</v>
      </c>
      <c r="F26" s="76" t="s">
        <v>0</v>
      </c>
      <c r="G26" s="115">
        <f>0+34365</f>
        <v>34365</v>
      </c>
      <c r="H26" s="116"/>
      <c r="I26" s="73">
        <f>G26+H26</f>
        <v>34365</v>
      </c>
      <c r="J26" s="32"/>
      <c r="K26" s="24"/>
      <c r="L26" s="15"/>
    </row>
    <row r="27" spans="2:12" ht="54" customHeight="1">
      <c r="B27" s="42"/>
      <c r="C27" s="47">
        <v>100203</v>
      </c>
      <c r="D27" s="48" t="s">
        <v>79</v>
      </c>
      <c r="E27" s="91" t="s">
        <v>80</v>
      </c>
      <c r="F27" s="51" t="s">
        <v>0</v>
      </c>
      <c r="G27" s="117">
        <f>1000000-45688+500000-91312+60000</f>
        <v>1423000</v>
      </c>
      <c r="H27" s="117">
        <v>91312</v>
      </c>
      <c r="I27" s="117">
        <f>G27+H27</f>
        <v>1514312</v>
      </c>
      <c r="J27" s="32"/>
      <c r="K27" s="24"/>
      <c r="L27" s="15"/>
    </row>
    <row r="28" spans="2:12" ht="15.75" hidden="1">
      <c r="B28" s="42"/>
      <c r="C28" s="47"/>
      <c r="D28" s="48"/>
      <c r="E28" s="91"/>
      <c r="F28" s="73"/>
      <c r="G28" s="118"/>
      <c r="H28" s="118"/>
      <c r="I28" s="117"/>
      <c r="J28" s="32"/>
      <c r="K28" s="24"/>
      <c r="L28" s="15"/>
    </row>
    <row r="29" spans="2:12" ht="24.75" customHeight="1">
      <c r="B29" s="62" t="s">
        <v>158</v>
      </c>
      <c r="C29" s="52"/>
      <c r="D29" s="54"/>
      <c r="E29" s="149" t="s">
        <v>157</v>
      </c>
      <c r="F29" s="150"/>
      <c r="G29" s="96">
        <f>SUM(G30:G32)</f>
        <v>2006813</v>
      </c>
      <c r="H29" s="96">
        <f>SUM(H30:H32)</f>
        <v>0</v>
      </c>
      <c r="I29" s="96">
        <f>SUM(I30:I32)</f>
        <v>2006813</v>
      </c>
      <c r="J29" s="32"/>
      <c r="K29" s="24"/>
      <c r="L29" s="15"/>
    </row>
    <row r="30" spans="2:12" ht="45" customHeight="1">
      <c r="B30" s="42"/>
      <c r="C30" s="49" t="s">
        <v>153</v>
      </c>
      <c r="D30" s="49" t="s">
        <v>154</v>
      </c>
      <c r="E30" s="91" t="s">
        <v>148</v>
      </c>
      <c r="F30" s="51" t="s">
        <v>167</v>
      </c>
      <c r="G30" s="117">
        <f>345829+20984</f>
        <v>366813</v>
      </c>
      <c r="H30" s="117"/>
      <c r="I30" s="117">
        <f>G30+H30</f>
        <v>366813</v>
      </c>
      <c r="J30" s="32"/>
      <c r="K30" s="24"/>
      <c r="L30" s="15"/>
    </row>
    <row r="31" spans="2:12" ht="58.5" customHeight="1">
      <c r="B31" s="71"/>
      <c r="C31" s="72" t="s">
        <v>186</v>
      </c>
      <c r="D31" s="72" t="s">
        <v>187</v>
      </c>
      <c r="E31" s="88" t="s">
        <v>188</v>
      </c>
      <c r="F31" s="76" t="s">
        <v>0</v>
      </c>
      <c r="G31" s="115">
        <v>30000</v>
      </c>
      <c r="H31" s="116"/>
      <c r="I31" s="73">
        <f>G31+H31</f>
        <v>30000</v>
      </c>
      <c r="J31" s="32"/>
      <c r="K31" s="24"/>
      <c r="L31" s="15"/>
    </row>
    <row r="32" spans="2:12" ht="60" customHeight="1">
      <c r="B32" s="42"/>
      <c r="C32" s="49" t="s">
        <v>78</v>
      </c>
      <c r="D32" s="63" t="s">
        <v>79</v>
      </c>
      <c r="E32" s="92" t="s">
        <v>159</v>
      </c>
      <c r="F32" s="51" t="s">
        <v>0</v>
      </c>
      <c r="G32" s="117">
        <f>1000000-30000+500000+195000-55000</f>
        <v>1610000</v>
      </c>
      <c r="H32" s="117"/>
      <c r="I32" s="117">
        <f>G32+H32</f>
        <v>1610000</v>
      </c>
      <c r="J32" s="32"/>
      <c r="K32" s="24"/>
      <c r="L32" s="15"/>
    </row>
    <row r="33" spans="1:16" s="7" customFormat="1" ht="15.75">
      <c r="A33" s="55"/>
      <c r="B33" s="53" t="s">
        <v>18</v>
      </c>
      <c r="C33" s="54"/>
      <c r="D33" s="54"/>
      <c r="E33" s="140" t="s">
        <v>231</v>
      </c>
      <c r="F33" s="104"/>
      <c r="G33" s="96">
        <f>SUM(G34:G38)</f>
        <v>2841386</v>
      </c>
      <c r="H33" s="96">
        <f>SUM(H34:H38)</f>
        <v>1429723.97</v>
      </c>
      <c r="I33" s="96">
        <f>SUM(I34:I38)</f>
        <v>4271109.97</v>
      </c>
      <c r="J33" s="31"/>
      <c r="K33" s="21"/>
      <c r="L33" s="22"/>
      <c r="M33" s="23"/>
      <c r="N33" s="23"/>
      <c r="O33" s="23"/>
      <c r="P33" s="23"/>
    </row>
    <row r="34" spans="2:12" ht="78.75">
      <c r="B34" s="42"/>
      <c r="C34" s="43">
        <v>150110</v>
      </c>
      <c r="D34" s="46" t="s">
        <v>126</v>
      </c>
      <c r="E34" s="42" t="s">
        <v>120</v>
      </c>
      <c r="F34" s="135" t="s">
        <v>210</v>
      </c>
      <c r="G34" s="73"/>
      <c r="H34" s="73">
        <f>150000-150000+146895+75361+10247+140000+16400+8562</f>
        <v>397465</v>
      </c>
      <c r="I34" s="73">
        <f aca="true" t="shared" si="0" ref="I34:I39">G34+H34</f>
        <v>397465</v>
      </c>
      <c r="J34" s="32"/>
      <c r="K34" s="24"/>
      <c r="L34" s="15"/>
    </row>
    <row r="35" spans="2:12" ht="78.75">
      <c r="B35" s="42"/>
      <c r="C35" s="43">
        <v>150112</v>
      </c>
      <c r="D35" s="46" t="s">
        <v>19</v>
      </c>
      <c r="E35" s="42" t="s">
        <v>134</v>
      </c>
      <c r="F35" s="136"/>
      <c r="G35" s="73"/>
      <c r="H35" s="73">
        <f>222256+53105-222239+175000+200000+126696.97+19140</f>
        <v>573958.97</v>
      </c>
      <c r="I35" s="73">
        <f t="shared" si="0"/>
        <v>573958.97</v>
      </c>
      <c r="J35" s="32"/>
      <c r="K35" s="24"/>
      <c r="L35" s="15"/>
    </row>
    <row r="36" spans="2:12" ht="47.25">
      <c r="B36" s="42"/>
      <c r="C36" s="43">
        <v>200700</v>
      </c>
      <c r="D36" s="43" t="s">
        <v>103</v>
      </c>
      <c r="E36" s="42" t="s">
        <v>137</v>
      </c>
      <c r="F36" s="44" t="s">
        <v>175</v>
      </c>
      <c r="G36" s="73">
        <f>23800-23800</f>
        <v>0</v>
      </c>
      <c r="H36" s="73"/>
      <c r="I36" s="73">
        <f t="shared" si="0"/>
        <v>0</v>
      </c>
      <c r="J36" s="32"/>
      <c r="K36" s="24"/>
      <c r="L36" s="15"/>
    </row>
    <row r="37" spans="2:12" ht="47.25">
      <c r="B37" s="42"/>
      <c r="C37" s="43">
        <v>240601</v>
      </c>
      <c r="D37" s="46" t="s">
        <v>94</v>
      </c>
      <c r="E37" s="42" t="s">
        <v>95</v>
      </c>
      <c r="F37" s="44" t="s">
        <v>175</v>
      </c>
      <c r="G37" s="73"/>
      <c r="H37" s="73">
        <f>34500+23800</f>
        <v>58300</v>
      </c>
      <c r="I37" s="73">
        <f t="shared" si="0"/>
        <v>58300</v>
      </c>
      <c r="J37" s="32"/>
      <c r="K37" s="24"/>
      <c r="L37" s="15"/>
    </row>
    <row r="38" spans="2:12" ht="126">
      <c r="B38" s="42"/>
      <c r="C38" s="46" t="s">
        <v>117</v>
      </c>
      <c r="D38" s="43">
        <v>1040</v>
      </c>
      <c r="E38" s="42" t="s">
        <v>118</v>
      </c>
      <c r="F38" s="45" t="s">
        <v>178</v>
      </c>
      <c r="G38" s="73">
        <f>2842400-1014</f>
        <v>2841386</v>
      </c>
      <c r="H38" s="73">
        <v>400000</v>
      </c>
      <c r="I38" s="73">
        <f t="shared" si="0"/>
        <v>3241386</v>
      </c>
      <c r="J38" s="32"/>
      <c r="K38" s="24"/>
      <c r="L38" s="15"/>
    </row>
    <row r="39" spans="2:12" ht="78" customHeight="1">
      <c r="B39" s="49"/>
      <c r="C39" s="43">
        <v>110102</v>
      </c>
      <c r="D39" s="49" t="s">
        <v>64</v>
      </c>
      <c r="E39" s="42" t="s">
        <v>172</v>
      </c>
      <c r="F39" s="44" t="s">
        <v>171</v>
      </c>
      <c r="G39" s="97">
        <v>565005</v>
      </c>
      <c r="H39" s="97"/>
      <c r="I39" s="73">
        <f t="shared" si="0"/>
        <v>565005</v>
      </c>
      <c r="J39" s="32"/>
      <c r="K39" s="24"/>
      <c r="L39" s="15"/>
    </row>
    <row r="40" spans="1:12" ht="29.25" customHeight="1">
      <c r="A40" s="55"/>
      <c r="B40" s="54">
        <v>1110</v>
      </c>
      <c r="C40" s="54"/>
      <c r="D40" s="52"/>
      <c r="E40" s="154" t="s">
        <v>231</v>
      </c>
      <c r="F40" s="155"/>
      <c r="G40" s="96">
        <f>SUM(G41:G46)</f>
        <v>900863</v>
      </c>
      <c r="H40" s="96">
        <f>SUM(H41:H46)</f>
        <v>35000</v>
      </c>
      <c r="I40" s="96">
        <f>SUM(I41:I46)</f>
        <v>935863</v>
      </c>
      <c r="J40" s="32"/>
      <c r="K40" s="24"/>
      <c r="L40" s="15"/>
    </row>
    <row r="41" spans="2:12" ht="43.5" customHeight="1">
      <c r="B41" s="42"/>
      <c r="C41" s="49" t="s">
        <v>24</v>
      </c>
      <c r="D41" s="43">
        <v>1040</v>
      </c>
      <c r="E41" s="91" t="s">
        <v>25</v>
      </c>
      <c r="F41" s="45" t="s">
        <v>116</v>
      </c>
      <c r="G41" s="73">
        <v>38847</v>
      </c>
      <c r="H41" s="73"/>
      <c r="I41" s="73">
        <f aca="true" t="shared" si="1" ref="I41:I54">G41+H41</f>
        <v>38847</v>
      </c>
      <c r="J41" s="32"/>
      <c r="K41" s="24"/>
      <c r="L41" s="15"/>
    </row>
    <row r="42" spans="2:12" ht="47.25" customHeight="1">
      <c r="B42" s="42"/>
      <c r="C42" s="49" t="s">
        <v>26</v>
      </c>
      <c r="D42" s="43">
        <v>1040</v>
      </c>
      <c r="E42" s="91" t="s">
        <v>27</v>
      </c>
      <c r="F42" s="45" t="s">
        <v>116</v>
      </c>
      <c r="G42" s="73">
        <v>182654</v>
      </c>
      <c r="H42" s="73"/>
      <c r="I42" s="73">
        <f t="shared" si="1"/>
        <v>182654</v>
      </c>
      <c r="J42" s="32"/>
      <c r="K42" s="24"/>
      <c r="L42" s="15"/>
    </row>
    <row r="43" spans="2:12" ht="52.5" customHeight="1">
      <c r="B43" s="42"/>
      <c r="C43" s="43" t="s">
        <v>30</v>
      </c>
      <c r="D43" s="43" t="s">
        <v>20</v>
      </c>
      <c r="E43" s="42" t="s">
        <v>31</v>
      </c>
      <c r="F43" s="106" t="s">
        <v>133</v>
      </c>
      <c r="G43" s="97">
        <v>143953</v>
      </c>
      <c r="H43" s="97"/>
      <c r="I43" s="73">
        <f t="shared" si="1"/>
        <v>143953</v>
      </c>
      <c r="J43" s="32"/>
      <c r="K43" s="24"/>
      <c r="L43" s="15"/>
    </row>
    <row r="44" spans="2:12" ht="60" customHeight="1">
      <c r="B44" s="42"/>
      <c r="C44" s="43" t="s">
        <v>32</v>
      </c>
      <c r="D44" s="43" t="s">
        <v>20</v>
      </c>
      <c r="E44" s="42" t="s">
        <v>33</v>
      </c>
      <c r="F44" s="107"/>
      <c r="G44" s="97">
        <v>10580</v>
      </c>
      <c r="H44" s="97"/>
      <c r="I44" s="73">
        <f t="shared" si="1"/>
        <v>10580</v>
      </c>
      <c r="J44" s="32"/>
      <c r="K44" s="24"/>
      <c r="L44" s="15"/>
    </row>
    <row r="45" spans="2:12" ht="69.75" customHeight="1">
      <c r="B45" s="42"/>
      <c r="C45" s="43" t="s">
        <v>34</v>
      </c>
      <c r="D45" s="43" t="s">
        <v>20</v>
      </c>
      <c r="E45" s="42" t="s">
        <v>35</v>
      </c>
      <c r="F45" s="109" t="s">
        <v>133</v>
      </c>
      <c r="G45" s="97">
        <v>56483</v>
      </c>
      <c r="H45" s="97"/>
      <c r="I45" s="73">
        <f t="shared" si="1"/>
        <v>56483</v>
      </c>
      <c r="J45" s="32"/>
      <c r="K45" s="24"/>
      <c r="L45" s="15"/>
    </row>
    <row r="46" spans="2:12" ht="45" customHeight="1">
      <c r="B46" s="42"/>
      <c r="C46" s="43" t="s">
        <v>36</v>
      </c>
      <c r="D46" s="43" t="s">
        <v>20</v>
      </c>
      <c r="E46" s="42" t="s">
        <v>37</v>
      </c>
      <c r="F46" s="109"/>
      <c r="G46" s="97">
        <v>468346</v>
      </c>
      <c r="H46" s="97">
        <v>35000</v>
      </c>
      <c r="I46" s="73">
        <f t="shared" si="1"/>
        <v>503346</v>
      </c>
      <c r="J46" s="32"/>
      <c r="K46" s="24"/>
      <c r="L46" s="15"/>
    </row>
    <row r="47" spans="1:12" ht="15.75">
      <c r="A47" s="55"/>
      <c r="B47" s="95">
        <v>2410</v>
      </c>
      <c r="C47" s="52"/>
      <c r="D47" s="52"/>
      <c r="E47" s="103" t="s">
        <v>233</v>
      </c>
      <c r="F47" s="104"/>
      <c r="G47" s="96">
        <f>SUM(G48:G51)</f>
        <v>582888</v>
      </c>
      <c r="H47" s="96">
        <f>SUM(H48:H51)</f>
        <v>448000</v>
      </c>
      <c r="I47" s="96">
        <f>SUM(I48:I51)</f>
        <v>1030888</v>
      </c>
      <c r="J47" s="32"/>
      <c r="K47" s="24"/>
      <c r="L47" s="15"/>
    </row>
    <row r="48" spans="2:12" ht="64.5" customHeight="1">
      <c r="B48" s="74"/>
      <c r="C48" s="132" t="s">
        <v>63</v>
      </c>
      <c r="D48" s="132" t="s">
        <v>64</v>
      </c>
      <c r="E48" s="111" t="s">
        <v>65</v>
      </c>
      <c r="F48" s="42" t="s">
        <v>176</v>
      </c>
      <c r="G48" s="97">
        <f>700000-300000+200000-64312</f>
        <v>535688</v>
      </c>
      <c r="H48" s="97"/>
      <c r="I48" s="73">
        <f t="shared" si="1"/>
        <v>535688</v>
      </c>
      <c r="J48" s="32"/>
      <c r="K48" s="24"/>
      <c r="L48" s="15"/>
    </row>
    <row r="49" spans="2:12" ht="53.25" customHeight="1">
      <c r="B49" s="93"/>
      <c r="C49" s="132"/>
      <c r="D49" s="132"/>
      <c r="E49" s="111"/>
      <c r="F49" s="42" t="s">
        <v>170</v>
      </c>
      <c r="G49" s="97">
        <v>47200</v>
      </c>
      <c r="H49" s="97"/>
      <c r="I49" s="73">
        <f t="shared" si="1"/>
        <v>47200</v>
      </c>
      <c r="J49" s="32"/>
      <c r="K49" s="24"/>
      <c r="L49" s="15"/>
    </row>
    <row r="50" spans="2:14" ht="84" customHeight="1">
      <c r="B50" s="49"/>
      <c r="C50" s="43">
        <v>180409</v>
      </c>
      <c r="D50" s="46" t="s">
        <v>127</v>
      </c>
      <c r="E50" s="89" t="s">
        <v>123</v>
      </c>
      <c r="F50" s="45" t="s">
        <v>215</v>
      </c>
      <c r="G50" s="97"/>
      <c r="H50" s="97">
        <f>0+300000</f>
        <v>300000</v>
      </c>
      <c r="I50" s="73">
        <f>G50+H50</f>
        <v>300000</v>
      </c>
      <c r="J50" s="32"/>
      <c r="K50" s="24"/>
      <c r="L50" s="12"/>
      <c r="M50" s="12"/>
      <c r="N50" s="12"/>
    </row>
    <row r="51" spans="2:12" ht="92.25" customHeight="1">
      <c r="B51" s="49"/>
      <c r="C51" s="43">
        <v>180409</v>
      </c>
      <c r="D51" s="46" t="s">
        <v>127</v>
      </c>
      <c r="E51" s="89" t="s">
        <v>123</v>
      </c>
      <c r="F51" s="45" t="s">
        <v>218</v>
      </c>
      <c r="G51" s="97"/>
      <c r="H51" s="97">
        <f>0+35000+73000+5000+5000+10000+20000</f>
        <v>148000</v>
      </c>
      <c r="I51" s="73">
        <f>G51+H51</f>
        <v>148000</v>
      </c>
      <c r="J51" s="32"/>
      <c r="K51" s="24"/>
      <c r="L51" s="15"/>
    </row>
    <row r="52" spans="1:12" ht="15.75">
      <c r="A52" s="55"/>
      <c r="B52" s="50">
        <v>11</v>
      </c>
      <c r="C52" s="77"/>
      <c r="D52" s="52"/>
      <c r="E52" s="103" t="s">
        <v>233</v>
      </c>
      <c r="F52" s="104"/>
      <c r="G52" s="96">
        <f>G53+G54</f>
        <v>102469</v>
      </c>
      <c r="H52" s="96"/>
      <c r="I52" s="96">
        <f t="shared" si="1"/>
        <v>102469</v>
      </c>
      <c r="J52" s="32"/>
      <c r="K52" s="24"/>
      <c r="L52" s="15"/>
    </row>
    <row r="53" spans="2:14" ht="40.5" customHeight="1">
      <c r="B53" s="42"/>
      <c r="C53" s="47" t="s">
        <v>24</v>
      </c>
      <c r="D53" s="48" t="s">
        <v>21</v>
      </c>
      <c r="E53" s="91" t="s">
        <v>25</v>
      </c>
      <c r="F53" s="45" t="s">
        <v>116</v>
      </c>
      <c r="G53" s="73">
        <v>19823</v>
      </c>
      <c r="H53" s="73"/>
      <c r="I53" s="73">
        <f t="shared" si="1"/>
        <v>19823</v>
      </c>
      <c r="J53" s="32"/>
      <c r="K53" s="24"/>
      <c r="L53" s="15"/>
      <c r="N53" s="94"/>
    </row>
    <row r="54" spans="2:12" ht="52.5" customHeight="1">
      <c r="B54" s="42"/>
      <c r="C54" s="47" t="s">
        <v>26</v>
      </c>
      <c r="D54" s="48" t="s">
        <v>21</v>
      </c>
      <c r="E54" s="91" t="s">
        <v>27</v>
      </c>
      <c r="F54" s="45" t="s">
        <v>116</v>
      </c>
      <c r="G54" s="73">
        <v>82646</v>
      </c>
      <c r="H54" s="73"/>
      <c r="I54" s="73">
        <f t="shared" si="1"/>
        <v>82646</v>
      </c>
      <c r="J54" s="32"/>
      <c r="K54" s="24"/>
      <c r="L54" s="15"/>
    </row>
    <row r="55" spans="1:16" s="7" customFormat="1" ht="15.75">
      <c r="A55" s="55"/>
      <c r="B55" s="50">
        <v>11</v>
      </c>
      <c r="C55" s="52"/>
      <c r="D55" s="52"/>
      <c r="E55" s="152" t="s">
        <v>232</v>
      </c>
      <c r="F55" s="153"/>
      <c r="G55" s="96">
        <f>SUM(G56:G64)</f>
        <v>1952074.95</v>
      </c>
      <c r="H55" s="96">
        <f>SUM(H56:H64)</f>
        <v>140000</v>
      </c>
      <c r="I55" s="96">
        <f>SUM(I56:I64)</f>
        <v>2092074.95</v>
      </c>
      <c r="J55" s="31"/>
      <c r="K55" s="21"/>
      <c r="L55" s="22"/>
      <c r="M55" s="23"/>
      <c r="N55" s="23"/>
      <c r="O55" s="23"/>
      <c r="P55" s="23"/>
    </row>
    <row r="56" spans="2:12" ht="90" customHeight="1">
      <c r="B56" s="42"/>
      <c r="C56" s="43" t="s">
        <v>22</v>
      </c>
      <c r="D56" s="43" t="s">
        <v>21</v>
      </c>
      <c r="E56" s="42" t="s">
        <v>23</v>
      </c>
      <c r="F56" s="45" t="s">
        <v>115</v>
      </c>
      <c r="G56" s="97">
        <v>18150</v>
      </c>
      <c r="H56" s="97"/>
      <c r="I56" s="73">
        <f aca="true" t="shared" si="2" ref="I56:I86">G56+H56</f>
        <v>18150</v>
      </c>
      <c r="J56" s="32"/>
      <c r="K56" s="24"/>
      <c r="L56" s="15"/>
    </row>
    <row r="57" spans="2:12" ht="45" customHeight="1">
      <c r="B57" s="42"/>
      <c r="C57" s="43" t="s">
        <v>24</v>
      </c>
      <c r="D57" s="43" t="s">
        <v>21</v>
      </c>
      <c r="E57" s="42" t="s">
        <v>25</v>
      </c>
      <c r="F57" s="45" t="s">
        <v>116</v>
      </c>
      <c r="G57" s="97"/>
      <c r="H57" s="97"/>
      <c r="I57" s="73">
        <f t="shared" si="2"/>
        <v>0</v>
      </c>
      <c r="J57" s="32"/>
      <c r="K57" s="24"/>
      <c r="L57" s="15"/>
    </row>
    <row r="58" spans="2:12" ht="89.25" customHeight="1">
      <c r="B58" s="42"/>
      <c r="C58" s="43" t="s">
        <v>26</v>
      </c>
      <c r="D58" s="43" t="s">
        <v>21</v>
      </c>
      <c r="E58" s="42" t="s">
        <v>27</v>
      </c>
      <c r="F58" s="45" t="s">
        <v>115</v>
      </c>
      <c r="G58" s="97">
        <f>275750-86548.05</f>
        <v>189201.95</v>
      </c>
      <c r="H58" s="97"/>
      <c r="I58" s="73">
        <f t="shared" si="2"/>
        <v>189201.95</v>
      </c>
      <c r="J58" s="32"/>
      <c r="K58" s="24"/>
      <c r="L58" s="15"/>
    </row>
    <row r="59" spans="2:12" ht="63" customHeight="1">
      <c r="B59" s="42"/>
      <c r="C59" s="43" t="s">
        <v>28</v>
      </c>
      <c r="D59" s="43" t="s">
        <v>21</v>
      </c>
      <c r="E59" s="42" t="s">
        <v>29</v>
      </c>
      <c r="F59" s="45" t="s">
        <v>119</v>
      </c>
      <c r="G59" s="97">
        <v>149740</v>
      </c>
      <c r="H59" s="97"/>
      <c r="I59" s="73">
        <f t="shared" si="2"/>
        <v>149740</v>
      </c>
      <c r="J59" s="32"/>
      <c r="K59" s="24"/>
      <c r="L59" s="15"/>
    </row>
    <row r="60" spans="2:12" ht="108" customHeight="1">
      <c r="B60" s="42"/>
      <c r="C60" s="46" t="s">
        <v>117</v>
      </c>
      <c r="D60" s="43">
        <v>1040</v>
      </c>
      <c r="E60" s="42" t="s">
        <v>118</v>
      </c>
      <c r="F60" s="45" t="s">
        <v>119</v>
      </c>
      <c r="G60" s="97">
        <v>900000</v>
      </c>
      <c r="H60" s="97"/>
      <c r="I60" s="73">
        <f t="shared" si="2"/>
        <v>900000</v>
      </c>
      <c r="J60" s="32"/>
      <c r="K60" s="24"/>
      <c r="L60" s="15"/>
    </row>
    <row r="61" spans="2:12" ht="43.5" customHeight="1">
      <c r="B61" s="42"/>
      <c r="C61" s="43" t="s">
        <v>30</v>
      </c>
      <c r="D61" s="43" t="s">
        <v>20</v>
      </c>
      <c r="E61" s="42" t="s">
        <v>31</v>
      </c>
      <c r="F61" s="106" t="s">
        <v>133</v>
      </c>
      <c r="G61" s="97">
        <f>111175+140000-143953</f>
        <v>107222</v>
      </c>
      <c r="H61" s="97"/>
      <c r="I61" s="73">
        <f t="shared" si="2"/>
        <v>107222</v>
      </c>
      <c r="J61" s="32"/>
      <c r="K61" s="24"/>
      <c r="L61" s="15"/>
    </row>
    <row r="62" spans="2:12" ht="53.25" customHeight="1">
      <c r="B62" s="42"/>
      <c r="C62" s="43" t="s">
        <v>32</v>
      </c>
      <c r="D62" s="43" t="s">
        <v>20</v>
      </c>
      <c r="E62" s="42" t="s">
        <v>33</v>
      </c>
      <c r="F62" s="107"/>
      <c r="G62" s="97">
        <f>11000+20000-10580</f>
        <v>20420</v>
      </c>
      <c r="H62" s="97"/>
      <c r="I62" s="73">
        <f t="shared" si="2"/>
        <v>20420</v>
      </c>
      <c r="J62" s="32"/>
      <c r="K62" s="24"/>
      <c r="L62" s="15"/>
    </row>
    <row r="63" spans="2:12" ht="57.75" customHeight="1">
      <c r="B63" s="42"/>
      <c r="C63" s="43" t="s">
        <v>34</v>
      </c>
      <c r="D63" s="43" t="s">
        <v>20</v>
      </c>
      <c r="E63" s="42" t="s">
        <v>35</v>
      </c>
      <c r="F63" s="109" t="s">
        <v>133</v>
      </c>
      <c r="G63" s="97">
        <f>40000+60000-56483</f>
        <v>43517</v>
      </c>
      <c r="H63" s="97"/>
      <c r="I63" s="73">
        <f t="shared" si="2"/>
        <v>43517</v>
      </c>
      <c r="J63" s="32"/>
      <c r="K63" s="24"/>
      <c r="L63" s="15"/>
    </row>
    <row r="64" spans="2:12" ht="48" customHeight="1">
      <c r="B64" s="42"/>
      <c r="C64" s="43" t="s">
        <v>36</v>
      </c>
      <c r="D64" s="43" t="s">
        <v>20</v>
      </c>
      <c r="E64" s="42" t="s">
        <v>37</v>
      </c>
      <c r="F64" s="109"/>
      <c r="G64" s="97">
        <f>277170+300000+10000+250000+155000-468346</f>
        <v>523824</v>
      </c>
      <c r="H64" s="97">
        <f>80000+250000-155000-35000</f>
        <v>140000</v>
      </c>
      <c r="I64" s="73">
        <f t="shared" si="2"/>
        <v>663824</v>
      </c>
      <c r="J64" s="32"/>
      <c r="K64" s="24"/>
      <c r="L64" s="15"/>
    </row>
    <row r="65" spans="2:12" ht="15.75">
      <c r="B65" s="53" t="s">
        <v>38</v>
      </c>
      <c r="C65" s="54"/>
      <c r="D65" s="54"/>
      <c r="E65" s="105" t="s">
        <v>235</v>
      </c>
      <c r="F65" s="102"/>
      <c r="G65" s="96">
        <f>SUM(G66:G78)</f>
        <v>17741341</v>
      </c>
      <c r="H65" s="96">
        <f>SUM(H66:H78)</f>
        <v>2362438.03</v>
      </c>
      <c r="I65" s="96">
        <f>SUM(I66:I78)</f>
        <v>20103779.03</v>
      </c>
      <c r="J65" s="31"/>
      <c r="K65" s="21"/>
      <c r="L65" s="15"/>
    </row>
    <row r="66" spans="1:12" ht="41.25" customHeight="1">
      <c r="A66" s="75"/>
      <c r="B66" s="129"/>
      <c r="C66" s="127" t="s">
        <v>39</v>
      </c>
      <c r="D66" s="127" t="s">
        <v>40</v>
      </c>
      <c r="E66" s="124" t="s">
        <v>41</v>
      </c>
      <c r="F66" s="58" t="s">
        <v>144</v>
      </c>
      <c r="G66" s="119">
        <f>381000-104815</f>
        <v>276185</v>
      </c>
      <c r="H66" s="119"/>
      <c r="I66" s="73">
        <f t="shared" si="2"/>
        <v>276185</v>
      </c>
      <c r="J66" s="31"/>
      <c r="K66" s="21"/>
      <c r="L66" s="15"/>
    </row>
    <row r="67" spans="1:12" ht="59.25" customHeight="1">
      <c r="A67" s="75"/>
      <c r="B67" s="130"/>
      <c r="C67" s="128"/>
      <c r="D67" s="128"/>
      <c r="E67" s="125"/>
      <c r="F67" s="57" t="s">
        <v>136</v>
      </c>
      <c r="G67" s="97">
        <v>116405</v>
      </c>
      <c r="H67" s="97"/>
      <c r="I67" s="73">
        <f t="shared" si="2"/>
        <v>116405</v>
      </c>
      <c r="J67" s="32"/>
      <c r="K67" s="24"/>
      <c r="L67" s="15"/>
    </row>
    <row r="68" spans="1:12" ht="58.5" customHeight="1">
      <c r="A68" s="75"/>
      <c r="B68" s="130"/>
      <c r="C68" s="128"/>
      <c r="D68" s="128"/>
      <c r="E68" s="125"/>
      <c r="F68" s="57" t="s">
        <v>132</v>
      </c>
      <c r="G68" s="97">
        <v>869119</v>
      </c>
      <c r="H68" s="97"/>
      <c r="I68" s="73">
        <f t="shared" si="2"/>
        <v>869119</v>
      </c>
      <c r="J68" s="32"/>
      <c r="K68" s="24"/>
      <c r="L68" s="15"/>
    </row>
    <row r="69" spans="1:12" ht="45" customHeight="1">
      <c r="A69" s="75"/>
      <c r="B69" s="130"/>
      <c r="C69" s="128"/>
      <c r="D69" s="128"/>
      <c r="E69" s="125"/>
      <c r="F69" s="57" t="s">
        <v>146</v>
      </c>
      <c r="G69" s="97">
        <f>13031396-97400-20827-825580+17424</f>
        <v>12105013</v>
      </c>
      <c r="H69" s="97"/>
      <c r="I69" s="73">
        <f t="shared" si="2"/>
        <v>12105013</v>
      </c>
      <c r="J69" s="32"/>
      <c r="K69" s="24"/>
      <c r="L69" s="15"/>
    </row>
    <row r="70" spans="2:12" ht="46.5" customHeight="1">
      <c r="B70" s="124"/>
      <c r="C70" s="133" t="s">
        <v>140</v>
      </c>
      <c r="D70" s="133" t="s">
        <v>143</v>
      </c>
      <c r="E70" s="124" t="s">
        <v>139</v>
      </c>
      <c r="F70" s="58" t="s">
        <v>144</v>
      </c>
      <c r="G70" s="97">
        <v>39000</v>
      </c>
      <c r="H70" s="97"/>
      <c r="I70" s="73">
        <f t="shared" si="2"/>
        <v>39000</v>
      </c>
      <c r="J70" s="32"/>
      <c r="K70" s="24"/>
      <c r="L70" s="15"/>
    </row>
    <row r="71" spans="2:12" ht="49.5" customHeight="1">
      <c r="B71" s="126"/>
      <c r="C71" s="134"/>
      <c r="D71" s="134"/>
      <c r="E71" s="126"/>
      <c r="F71" s="57" t="s">
        <v>146</v>
      </c>
      <c r="G71" s="97">
        <f>293839+97400</f>
        <v>391239</v>
      </c>
      <c r="H71" s="97"/>
      <c r="I71" s="73">
        <f t="shared" si="2"/>
        <v>391239</v>
      </c>
      <c r="J71" s="32"/>
      <c r="K71" s="24"/>
      <c r="L71" s="15"/>
    </row>
    <row r="72" spans="2:12" ht="48" customHeight="1">
      <c r="B72" s="124"/>
      <c r="C72" s="133" t="s">
        <v>141</v>
      </c>
      <c r="D72" s="133" t="s">
        <v>142</v>
      </c>
      <c r="E72" s="124" t="s">
        <v>138</v>
      </c>
      <c r="F72" s="58" t="s">
        <v>145</v>
      </c>
      <c r="G72" s="97">
        <v>250000</v>
      </c>
      <c r="H72" s="97"/>
      <c r="I72" s="73">
        <f>G72+H72</f>
        <v>250000</v>
      </c>
      <c r="J72" s="32"/>
      <c r="K72" s="24"/>
      <c r="L72" s="15"/>
    </row>
    <row r="73" spans="2:12" ht="48" customHeight="1">
      <c r="B73" s="126"/>
      <c r="C73" s="134"/>
      <c r="D73" s="134"/>
      <c r="E73" s="126"/>
      <c r="F73" s="58" t="s">
        <v>147</v>
      </c>
      <c r="G73" s="97">
        <v>2678000</v>
      </c>
      <c r="H73" s="97"/>
      <c r="I73" s="73">
        <f>G73+H73</f>
        <v>2678000</v>
      </c>
      <c r="J73" s="32"/>
      <c r="K73" s="24"/>
      <c r="L73" s="15"/>
    </row>
    <row r="74" spans="2:12" ht="45" customHeight="1">
      <c r="B74" s="79"/>
      <c r="C74" s="78" t="s">
        <v>193</v>
      </c>
      <c r="D74" s="78" t="s">
        <v>213</v>
      </c>
      <c r="E74" s="79" t="s">
        <v>194</v>
      </c>
      <c r="F74" s="58" t="s">
        <v>145</v>
      </c>
      <c r="G74" s="97">
        <v>180000</v>
      </c>
      <c r="H74" s="97"/>
      <c r="I74" s="73">
        <f>G74+H74</f>
        <v>180000</v>
      </c>
      <c r="J74" s="32"/>
      <c r="K74" s="24"/>
      <c r="L74" s="15"/>
    </row>
    <row r="75" spans="2:12" ht="47.25" customHeight="1">
      <c r="B75" s="79"/>
      <c r="C75" s="78" t="s">
        <v>219</v>
      </c>
      <c r="D75" s="78" t="s">
        <v>221</v>
      </c>
      <c r="E75" s="79" t="s">
        <v>220</v>
      </c>
      <c r="F75" s="58" t="s">
        <v>147</v>
      </c>
      <c r="G75" s="97">
        <v>825580</v>
      </c>
      <c r="H75" s="97"/>
      <c r="I75" s="73">
        <f>G75+H75</f>
        <v>825580</v>
      </c>
      <c r="J75" s="32"/>
      <c r="K75" s="24"/>
      <c r="L75" s="15"/>
    </row>
    <row r="76" spans="2:12" ht="46.5" customHeight="1">
      <c r="B76" s="42"/>
      <c r="C76" s="43">
        <v>150101</v>
      </c>
      <c r="D76" s="46" t="s">
        <v>127</v>
      </c>
      <c r="E76" s="42" t="s">
        <v>122</v>
      </c>
      <c r="F76" s="45" t="s">
        <v>210</v>
      </c>
      <c r="G76" s="97"/>
      <c r="H76" s="97">
        <f>654507+3383000-2853692.97+150000+125000+76000+135000+160000-80734+132500</f>
        <v>1881580.0299999998</v>
      </c>
      <c r="I76" s="73">
        <f t="shared" si="2"/>
        <v>1881580.0299999998</v>
      </c>
      <c r="J76" s="32"/>
      <c r="K76" s="24"/>
      <c r="L76" s="15"/>
    </row>
    <row r="77" spans="2:12" ht="65.25" customHeight="1">
      <c r="B77" s="42"/>
      <c r="C77" s="43">
        <v>150114</v>
      </c>
      <c r="D77" s="49" t="s">
        <v>142</v>
      </c>
      <c r="E77" s="42" t="s">
        <v>244</v>
      </c>
      <c r="F77" s="45" t="s">
        <v>210</v>
      </c>
      <c r="G77" s="97"/>
      <c r="H77" s="97">
        <f>465858+15000</f>
        <v>480858</v>
      </c>
      <c r="I77" s="73">
        <f t="shared" si="2"/>
        <v>480858</v>
      </c>
      <c r="J77" s="32"/>
      <c r="K77" s="24"/>
      <c r="L77" s="15"/>
    </row>
    <row r="78" spans="2:12" ht="57" customHeight="1">
      <c r="B78" s="42"/>
      <c r="C78" s="43">
        <v>250404</v>
      </c>
      <c r="D78" s="46" t="s">
        <v>73</v>
      </c>
      <c r="E78" s="42" t="s">
        <v>27</v>
      </c>
      <c r="F78" s="44" t="s">
        <v>185</v>
      </c>
      <c r="G78" s="73">
        <v>10800</v>
      </c>
      <c r="H78" s="73"/>
      <c r="I78" s="73">
        <f>G78+H78</f>
        <v>10800</v>
      </c>
      <c r="J78" s="32"/>
      <c r="K78" s="24"/>
      <c r="L78" s="15"/>
    </row>
    <row r="79" spans="1:16" s="7" customFormat="1" ht="15.75">
      <c r="A79" s="55"/>
      <c r="B79" s="53" t="s">
        <v>42</v>
      </c>
      <c r="C79" s="54"/>
      <c r="D79" s="54"/>
      <c r="E79" s="102" t="s">
        <v>235</v>
      </c>
      <c r="F79" s="102"/>
      <c r="G79" s="96">
        <f>SUM(G80:G86)</f>
        <v>24165949</v>
      </c>
      <c r="H79" s="96">
        <f>SUM(H80:H86)</f>
        <v>327499</v>
      </c>
      <c r="I79" s="96">
        <f>SUM(I80:I86)</f>
        <v>24493448</v>
      </c>
      <c r="J79" s="31"/>
      <c r="K79" s="21"/>
      <c r="L79" s="22"/>
      <c r="M79" s="23"/>
      <c r="N79" s="23"/>
      <c r="O79" s="23"/>
      <c r="P79" s="23"/>
    </row>
    <row r="80" spans="1:16" s="7" customFormat="1" ht="291.75" customHeight="1">
      <c r="A80" s="55"/>
      <c r="B80" s="86"/>
      <c r="C80" s="49" t="s">
        <v>226</v>
      </c>
      <c r="D80" s="46">
        <v>1030</v>
      </c>
      <c r="E80" s="91" t="s">
        <v>227</v>
      </c>
      <c r="F80" s="45" t="s">
        <v>228</v>
      </c>
      <c r="G80" s="73"/>
      <c r="H80" s="73">
        <v>200000</v>
      </c>
      <c r="I80" s="73">
        <f t="shared" si="2"/>
        <v>200000</v>
      </c>
      <c r="J80" s="31"/>
      <c r="K80" s="21"/>
      <c r="L80" s="22"/>
      <c r="M80" s="23"/>
      <c r="N80" s="23"/>
      <c r="O80" s="23"/>
      <c r="P80" s="23"/>
    </row>
    <row r="81" spans="2:12" ht="90" customHeight="1">
      <c r="B81" s="42"/>
      <c r="C81" s="43" t="s">
        <v>45</v>
      </c>
      <c r="D81" s="43" t="s">
        <v>46</v>
      </c>
      <c r="E81" s="42" t="s">
        <v>47</v>
      </c>
      <c r="F81" s="45" t="s">
        <v>229</v>
      </c>
      <c r="G81" s="97">
        <f>4291400+53460+33108+100000+86000+8800+300000+33000+36000+21400+93500+44500+119150+500000+4000+62000+268700+55000+200000+78500+25000-5000+2000</f>
        <v>6410518</v>
      </c>
      <c r="H81" s="97"/>
      <c r="I81" s="73">
        <f t="shared" si="2"/>
        <v>6410518</v>
      </c>
      <c r="J81" s="32"/>
      <c r="K81" s="24"/>
      <c r="L81" s="15"/>
    </row>
    <row r="82" spans="2:12" ht="56.25" customHeight="1">
      <c r="B82" s="42"/>
      <c r="C82" s="49" t="s">
        <v>155</v>
      </c>
      <c r="D82" s="43">
        <v>1020</v>
      </c>
      <c r="E82" s="42" t="s">
        <v>156</v>
      </c>
      <c r="F82" s="45" t="s">
        <v>228</v>
      </c>
      <c r="G82" s="97">
        <f>12874020-363250-425520-423830+150000+70000+1000+1500+1500+1500+5614+6432</f>
        <v>11898966</v>
      </c>
      <c r="H82" s="97">
        <f>41199+41900+44400</f>
        <v>127499</v>
      </c>
      <c r="I82" s="73">
        <f t="shared" si="2"/>
        <v>12026465</v>
      </c>
      <c r="J82" s="32"/>
      <c r="K82" s="24"/>
      <c r="L82" s="15"/>
    </row>
    <row r="83" spans="2:12" ht="157.5">
      <c r="B83" s="42"/>
      <c r="C83" s="43" t="s">
        <v>49</v>
      </c>
      <c r="D83" s="43" t="s">
        <v>48</v>
      </c>
      <c r="E83" s="42" t="s">
        <v>50</v>
      </c>
      <c r="F83" s="45" t="s">
        <v>228</v>
      </c>
      <c r="G83" s="97">
        <v>977200</v>
      </c>
      <c r="H83" s="97"/>
      <c r="I83" s="73">
        <f t="shared" si="2"/>
        <v>977200</v>
      </c>
      <c r="J83" s="32"/>
      <c r="K83" s="24"/>
      <c r="L83" s="15"/>
    </row>
    <row r="84" spans="2:12" ht="157.5">
      <c r="B84" s="42"/>
      <c r="C84" s="43" t="s">
        <v>51</v>
      </c>
      <c r="D84" s="43" t="s">
        <v>44</v>
      </c>
      <c r="E84" s="42" t="s">
        <v>52</v>
      </c>
      <c r="F84" s="45" t="s">
        <v>228</v>
      </c>
      <c r="G84" s="97">
        <f>2880960+255-4000</f>
        <v>2877215</v>
      </c>
      <c r="H84" s="97"/>
      <c r="I84" s="73">
        <f t="shared" si="2"/>
        <v>2877215</v>
      </c>
      <c r="J84" s="32"/>
      <c r="K84" s="24"/>
      <c r="L84" s="15"/>
    </row>
    <row r="85" spans="2:12" ht="41.25" customHeight="1">
      <c r="B85" s="42"/>
      <c r="C85" s="43" t="s">
        <v>53</v>
      </c>
      <c r="D85" s="43" t="s">
        <v>43</v>
      </c>
      <c r="E85" s="42" t="s">
        <v>54</v>
      </c>
      <c r="F85" s="45" t="s">
        <v>228</v>
      </c>
      <c r="G85" s="97">
        <f>285460+41740+35340+36460+38720+33080+5000</f>
        <v>475800</v>
      </c>
      <c r="H85" s="97"/>
      <c r="I85" s="73">
        <f t="shared" si="2"/>
        <v>475800</v>
      </c>
      <c r="J85" s="32"/>
      <c r="K85" s="24"/>
      <c r="L85" s="15"/>
    </row>
    <row r="86" spans="2:12" ht="40.5" customHeight="1">
      <c r="B86" s="42"/>
      <c r="C86" s="43" t="s">
        <v>55</v>
      </c>
      <c r="D86" s="43" t="s">
        <v>46</v>
      </c>
      <c r="E86" s="42" t="s">
        <v>56</v>
      </c>
      <c r="F86" s="45" t="s">
        <v>228</v>
      </c>
      <c r="G86" s="97">
        <f>1658160-131910</f>
        <v>1526250</v>
      </c>
      <c r="H86" s="97"/>
      <c r="I86" s="73">
        <f t="shared" si="2"/>
        <v>1526250</v>
      </c>
      <c r="J86" s="32"/>
      <c r="K86" s="24"/>
      <c r="L86" s="15"/>
    </row>
    <row r="87" spans="1:16" s="7" customFormat="1" ht="15.75">
      <c r="A87" s="55"/>
      <c r="B87" s="53" t="s">
        <v>189</v>
      </c>
      <c r="C87" s="54"/>
      <c r="D87" s="54"/>
      <c r="E87" s="102" t="s">
        <v>217</v>
      </c>
      <c r="F87" s="102"/>
      <c r="G87" s="96">
        <f>G88</f>
        <v>11323</v>
      </c>
      <c r="H87" s="96">
        <f>H88</f>
        <v>0</v>
      </c>
      <c r="I87" s="96">
        <f>I88</f>
        <v>11323</v>
      </c>
      <c r="J87" s="31"/>
      <c r="K87" s="21"/>
      <c r="L87" s="22"/>
      <c r="M87" s="23"/>
      <c r="N87" s="23"/>
      <c r="O87" s="23"/>
      <c r="P87" s="23"/>
    </row>
    <row r="88" spans="2:12" ht="62.25" customHeight="1">
      <c r="B88" s="71"/>
      <c r="C88" s="72" t="s">
        <v>186</v>
      </c>
      <c r="D88" s="72" t="s">
        <v>187</v>
      </c>
      <c r="E88" s="88" t="s">
        <v>188</v>
      </c>
      <c r="F88" s="76" t="s">
        <v>190</v>
      </c>
      <c r="G88" s="115">
        <v>11323</v>
      </c>
      <c r="H88" s="116"/>
      <c r="I88" s="73">
        <f>G88+H88</f>
        <v>11323</v>
      </c>
      <c r="J88" s="32"/>
      <c r="K88" s="24"/>
      <c r="L88" s="15"/>
    </row>
    <row r="89" spans="1:16" s="7" customFormat="1" ht="15.75">
      <c r="A89" s="55"/>
      <c r="B89" s="53" t="s">
        <v>57</v>
      </c>
      <c r="C89" s="54"/>
      <c r="D89" s="54"/>
      <c r="E89" s="102" t="s">
        <v>236</v>
      </c>
      <c r="F89" s="102"/>
      <c r="G89" s="96">
        <f>G91+G92</f>
        <v>181880</v>
      </c>
      <c r="H89" s="96">
        <f>H91+H92</f>
        <v>500000</v>
      </c>
      <c r="I89" s="96">
        <f>I91+I92</f>
        <v>681880</v>
      </c>
      <c r="J89" s="31"/>
      <c r="K89" s="21"/>
      <c r="L89" s="22"/>
      <c r="M89" s="23"/>
      <c r="N89" s="23"/>
      <c r="O89" s="23"/>
      <c r="P89" s="23"/>
    </row>
    <row r="90" spans="2:12" ht="58.5" customHeight="1">
      <c r="B90" s="42"/>
      <c r="C90" s="43" t="s">
        <v>58</v>
      </c>
      <c r="D90" s="43" t="s">
        <v>21</v>
      </c>
      <c r="E90" s="42" t="s">
        <v>59</v>
      </c>
      <c r="F90" s="45" t="s">
        <v>168</v>
      </c>
      <c r="G90" s="97">
        <f>2895120-193200+4000+14250+590+26820+3170+410+15000</f>
        <v>2766160</v>
      </c>
      <c r="H90" s="97">
        <f>4000-4000+7835</f>
        <v>7835</v>
      </c>
      <c r="I90" s="73">
        <f aca="true" t="shared" si="3" ref="I90:I152">G90+H90</f>
        <v>2773995</v>
      </c>
      <c r="J90" s="32"/>
      <c r="K90" s="24"/>
      <c r="L90" s="15"/>
    </row>
    <row r="91" spans="2:12" ht="47.25">
      <c r="B91" s="42"/>
      <c r="C91" s="46" t="s">
        <v>26</v>
      </c>
      <c r="D91" s="43" t="s">
        <v>21</v>
      </c>
      <c r="E91" s="42" t="s">
        <v>27</v>
      </c>
      <c r="F91" s="45" t="s">
        <v>169</v>
      </c>
      <c r="G91" s="97">
        <v>35000</v>
      </c>
      <c r="H91" s="97"/>
      <c r="I91" s="73">
        <f t="shared" si="3"/>
        <v>35000</v>
      </c>
      <c r="J91" s="32"/>
      <c r="K91" s="24"/>
      <c r="L91" s="15"/>
    </row>
    <row r="92" spans="2:12" ht="51.75" customHeight="1">
      <c r="B92" s="42"/>
      <c r="C92" s="43" t="s">
        <v>60</v>
      </c>
      <c r="D92" s="43" t="s">
        <v>21</v>
      </c>
      <c r="E92" s="42" t="s">
        <v>61</v>
      </c>
      <c r="F92" s="45" t="s">
        <v>169</v>
      </c>
      <c r="G92" s="97">
        <f>102140+36940+9000-1200</f>
        <v>146880</v>
      </c>
      <c r="H92" s="97">
        <v>500000</v>
      </c>
      <c r="I92" s="73">
        <f t="shared" si="3"/>
        <v>646880</v>
      </c>
      <c r="J92" s="32"/>
      <c r="K92" s="24"/>
      <c r="L92" s="15"/>
    </row>
    <row r="93" spans="1:16" s="7" customFormat="1" ht="15.75" customHeight="1">
      <c r="A93" s="55"/>
      <c r="B93" s="53" t="s">
        <v>62</v>
      </c>
      <c r="C93" s="54"/>
      <c r="D93" s="54"/>
      <c r="E93" s="103" t="s">
        <v>233</v>
      </c>
      <c r="F93" s="104"/>
      <c r="G93" s="96">
        <f>SUM(G94:G98)</f>
        <v>629316</v>
      </c>
      <c r="H93" s="96">
        <f>SUM(H94:H98)</f>
        <v>60000</v>
      </c>
      <c r="I93" s="96">
        <f>SUM(I94:I98)</f>
        <v>689316</v>
      </c>
      <c r="J93" s="31"/>
      <c r="K93" s="21"/>
      <c r="L93" s="22"/>
      <c r="M93" s="23"/>
      <c r="N93" s="23"/>
      <c r="O93" s="23"/>
      <c r="P93" s="23"/>
    </row>
    <row r="94" spans="2:12" ht="58.5" customHeight="1">
      <c r="B94" s="42"/>
      <c r="C94" s="132" t="s">
        <v>63</v>
      </c>
      <c r="D94" s="132" t="s">
        <v>64</v>
      </c>
      <c r="E94" s="111" t="s">
        <v>65</v>
      </c>
      <c r="F94" s="42" t="s">
        <v>176</v>
      </c>
      <c r="G94" s="97">
        <v>64311</v>
      </c>
      <c r="H94" s="97"/>
      <c r="I94" s="73">
        <f t="shared" si="3"/>
        <v>64311</v>
      </c>
      <c r="J94" s="32"/>
      <c r="K94" s="24"/>
      <c r="L94" s="15"/>
    </row>
    <row r="95" spans="2:12" ht="47.25" hidden="1">
      <c r="B95" s="42"/>
      <c r="C95" s="132"/>
      <c r="D95" s="132"/>
      <c r="E95" s="111"/>
      <c r="F95" s="42" t="s">
        <v>170</v>
      </c>
      <c r="G95" s="97">
        <v>0</v>
      </c>
      <c r="H95" s="97"/>
      <c r="I95" s="73">
        <f t="shared" si="3"/>
        <v>0</v>
      </c>
      <c r="J95" s="32"/>
      <c r="K95" s="24"/>
      <c r="L95" s="15"/>
    </row>
    <row r="96" spans="2:12" ht="62.25" customHeight="1">
      <c r="B96" s="49"/>
      <c r="C96" s="43">
        <v>110102</v>
      </c>
      <c r="D96" s="49" t="s">
        <v>64</v>
      </c>
      <c r="E96" s="42" t="s">
        <v>172</v>
      </c>
      <c r="F96" s="44" t="s">
        <v>171</v>
      </c>
      <c r="G96" s="97">
        <v>565005</v>
      </c>
      <c r="H96" s="97"/>
      <c r="I96" s="73">
        <f t="shared" si="3"/>
        <v>565005</v>
      </c>
      <c r="J96" s="32"/>
      <c r="K96" s="24"/>
      <c r="L96" s="15"/>
    </row>
    <row r="97" spans="2:14" ht="94.5" hidden="1">
      <c r="B97" s="49"/>
      <c r="C97" s="43">
        <v>180409</v>
      </c>
      <c r="D97" s="46" t="s">
        <v>127</v>
      </c>
      <c r="E97" s="89" t="s">
        <v>123</v>
      </c>
      <c r="F97" s="45" t="s">
        <v>215</v>
      </c>
      <c r="G97" s="97"/>
      <c r="H97" s="97">
        <f>300000-300000</f>
        <v>0</v>
      </c>
      <c r="I97" s="73">
        <f>G97+H97</f>
        <v>0</v>
      </c>
      <c r="J97" s="32"/>
      <c r="K97" s="24"/>
      <c r="L97" s="12"/>
      <c r="M97" s="12"/>
      <c r="N97" s="12"/>
    </row>
    <row r="98" spans="2:12" ht="69.75" customHeight="1">
      <c r="B98" s="49"/>
      <c r="C98" s="43">
        <v>180409</v>
      </c>
      <c r="D98" s="46" t="s">
        <v>127</v>
      </c>
      <c r="E98" s="89" t="s">
        <v>123</v>
      </c>
      <c r="F98" s="45" t="s">
        <v>218</v>
      </c>
      <c r="G98" s="97"/>
      <c r="H98" s="97">
        <f>60000+35000-35000</f>
        <v>60000</v>
      </c>
      <c r="I98" s="73">
        <f t="shared" si="3"/>
        <v>60000</v>
      </c>
      <c r="J98" s="32"/>
      <c r="K98" s="24"/>
      <c r="L98" s="15"/>
    </row>
    <row r="99" spans="1:16" s="7" customFormat="1" ht="33" customHeight="1">
      <c r="A99" s="55"/>
      <c r="B99" s="53" t="s">
        <v>66</v>
      </c>
      <c r="C99" s="54"/>
      <c r="D99" s="54"/>
      <c r="E99" s="102" t="s">
        <v>237</v>
      </c>
      <c r="F99" s="102"/>
      <c r="G99" s="96">
        <f>SUM(G100:G100)</f>
        <v>5200</v>
      </c>
      <c r="H99" s="96">
        <f>SUM(H100:H100)</f>
        <v>0</v>
      </c>
      <c r="I99" s="96">
        <f>SUM(I100:I100)</f>
        <v>5200</v>
      </c>
      <c r="J99" s="31"/>
      <c r="K99" s="21"/>
      <c r="L99" s="22"/>
      <c r="M99" s="23"/>
      <c r="N99" s="23"/>
      <c r="O99" s="23"/>
      <c r="P99" s="23"/>
    </row>
    <row r="100" spans="2:12" ht="67.5" customHeight="1">
      <c r="B100" s="42"/>
      <c r="C100" s="43" t="s">
        <v>8</v>
      </c>
      <c r="D100" s="43" t="s">
        <v>9</v>
      </c>
      <c r="E100" s="42" t="s">
        <v>67</v>
      </c>
      <c r="F100" s="45" t="s">
        <v>246</v>
      </c>
      <c r="G100" s="97">
        <f>35200-30000</f>
        <v>5200</v>
      </c>
      <c r="H100" s="97"/>
      <c r="I100" s="73">
        <f t="shared" si="3"/>
        <v>5200</v>
      </c>
      <c r="J100" s="32"/>
      <c r="K100" s="24"/>
      <c r="L100" s="15"/>
    </row>
    <row r="101" spans="1:16" s="7" customFormat="1" ht="46.5" customHeight="1">
      <c r="A101" s="55"/>
      <c r="B101" s="53" t="s">
        <v>68</v>
      </c>
      <c r="C101" s="54"/>
      <c r="D101" s="54"/>
      <c r="E101" s="102" t="s">
        <v>238</v>
      </c>
      <c r="F101" s="102"/>
      <c r="G101" s="96">
        <f>SUM(G102:G105)</f>
        <v>900000</v>
      </c>
      <c r="H101" s="96">
        <f>SUM(H102:H105)</f>
        <v>1094000</v>
      </c>
      <c r="I101" s="96">
        <f>SUM(I102:I105)</f>
        <v>1994000</v>
      </c>
      <c r="J101" s="31"/>
      <c r="K101" s="21"/>
      <c r="L101" s="22"/>
      <c r="M101" s="23"/>
      <c r="N101" s="23"/>
      <c r="O101" s="23"/>
      <c r="P101" s="23"/>
    </row>
    <row r="102" spans="2:12" ht="65.25" customHeight="1">
      <c r="B102" s="42"/>
      <c r="C102" s="43">
        <v>150118</v>
      </c>
      <c r="D102" s="43">
        <v>1060</v>
      </c>
      <c r="E102" s="42" t="s">
        <v>192</v>
      </c>
      <c r="F102" s="45" t="s">
        <v>214</v>
      </c>
      <c r="G102" s="97"/>
      <c r="H102" s="97">
        <v>900000</v>
      </c>
      <c r="I102" s="73">
        <f>G102+H102</f>
        <v>900000</v>
      </c>
      <c r="J102" s="32"/>
      <c r="K102" s="24"/>
      <c r="L102" s="15"/>
    </row>
    <row r="103" spans="2:12" ht="63" customHeight="1">
      <c r="B103" s="42"/>
      <c r="C103" s="43" t="s">
        <v>69</v>
      </c>
      <c r="D103" s="43" t="s">
        <v>70</v>
      </c>
      <c r="E103" s="42" t="s">
        <v>71</v>
      </c>
      <c r="F103" s="45" t="s">
        <v>160</v>
      </c>
      <c r="G103" s="97">
        <f>672000+878000+39300-39300-1500000</f>
        <v>50000</v>
      </c>
      <c r="H103" s="97">
        <f>0+94000</f>
        <v>94000</v>
      </c>
      <c r="I103" s="73">
        <f t="shared" si="3"/>
        <v>144000</v>
      </c>
      <c r="J103" s="32"/>
      <c r="K103" s="24"/>
      <c r="L103" s="15"/>
    </row>
    <row r="104" spans="2:12" ht="63.75" customHeight="1">
      <c r="B104" s="42"/>
      <c r="C104" s="43" t="s">
        <v>72</v>
      </c>
      <c r="D104" s="43" t="s">
        <v>73</v>
      </c>
      <c r="E104" s="42" t="s">
        <v>27</v>
      </c>
      <c r="F104" s="45" t="s">
        <v>214</v>
      </c>
      <c r="G104" s="97">
        <f>100000+750000</f>
        <v>850000</v>
      </c>
      <c r="H104" s="97"/>
      <c r="I104" s="73">
        <f t="shared" si="3"/>
        <v>850000</v>
      </c>
      <c r="J104" s="32"/>
      <c r="K104" s="24"/>
      <c r="L104" s="15"/>
    </row>
    <row r="105" spans="2:12" ht="110.25">
      <c r="B105" s="42"/>
      <c r="C105" s="43">
        <v>250500</v>
      </c>
      <c r="D105" s="49" t="s">
        <v>127</v>
      </c>
      <c r="E105" s="42" t="s">
        <v>201</v>
      </c>
      <c r="F105" s="45" t="s">
        <v>202</v>
      </c>
      <c r="G105" s="97"/>
      <c r="H105" s="97">
        <v>100000</v>
      </c>
      <c r="I105" s="73">
        <f t="shared" si="3"/>
        <v>100000</v>
      </c>
      <c r="J105" s="32"/>
      <c r="K105" s="24"/>
      <c r="L105" s="15"/>
    </row>
    <row r="106" spans="1:16" s="7" customFormat="1" ht="37.5" customHeight="1">
      <c r="A106" s="55"/>
      <c r="B106" s="53" t="s">
        <v>74</v>
      </c>
      <c r="C106" s="54"/>
      <c r="D106" s="54"/>
      <c r="E106" s="105" t="s">
        <v>239</v>
      </c>
      <c r="F106" s="102"/>
      <c r="G106" s="96">
        <f>SUM(G107:G142)</f>
        <v>149659233.94</v>
      </c>
      <c r="H106" s="96">
        <f>SUM(H107:H142)</f>
        <v>104027603.88</v>
      </c>
      <c r="I106" s="96">
        <f>SUM(I107:I142)</f>
        <v>253786837.82</v>
      </c>
      <c r="J106" s="31"/>
      <c r="K106" s="21"/>
      <c r="L106" s="22"/>
      <c r="M106" s="23"/>
      <c r="N106" s="23"/>
      <c r="O106" s="23"/>
      <c r="P106" s="23"/>
    </row>
    <row r="107" spans="2:14" ht="49.5" customHeight="1">
      <c r="B107" s="42"/>
      <c r="C107" s="56" t="s">
        <v>75</v>
      </c>
      <c r="D107" s="56" t="s">
        <v>76</v>
      </c>
      <c r="E107" s="89" t="s">
        <v>77</v>
      </c>
      <c r="F107" s="45" t="s">
        <v>205</v>
      </c>
      <c r="G107" s="97">
        <f>8400000-160480+1700000-200000+300000+10000+148515+85500+55773+122768+5450+29450+5050000+34320.5-200000+20000+13900+5820-310000+5000000-5000000+199000+106835+37133+1400-97920+45890.5+41092.46+4000+125776</f>
        <v>15574223.46</v>
      </c>
      <c r="H107" s="97">
        <f>800000+200000+1000000+51485+9000+19250+200000+192250+88600-573000+200000+115000+45900-31295-44776</f>
        <v>2272414</v>
      </c>
      <c r="I107" s="73">
        <f t="shared" si="3"/>
        <v>17846637.46</v>
      </c>
      <c r="J107" s="32"/>
      <c r="K107" s="24"/>
      <c r="L107" s="34"/>
      <c r="M107" s="12"/>
      <c r="N107" s="34"/>
    </row>
    <row r="108" spans="2:14" ht="60" customHeight="1">
      <c r="B108" s="42"/>
      <c r="C108" s="56" t="s">
        <v>75</v>
      </c>
      <c r="D108" s="56" t="s">
        <v>76</v>
      </c>
      <c r="E108" s="89" t="s">
        <v>77</v>
      </c>
      <c r="F108" s="45" t="s">
        <v>0</v>
      </c>
      <c r="G108" s="97">
        <f>7199000-199000-3000000-1500000</f>
        <v>2500000</v>
      </c>
      <c r="H108" s="97">
        <f>0</f>
        <v>0</v>
      </c>
      <c r="I108" s="73">
        <f t="shared" si="3"/>
        <v>2500000</v>
      </c>
      <c r="J108" s="32"/>
      <c r="K108" s="24"/>
      <c r="L108" s="12"/>
      <c r="M108" s="13"/>
      <c r="N108" s="13"/>
    </row>
    <row r="109" spans="2:13" ht="57.75" customHeight="1">
      <c r="B109" s="42"/>
      <c r="C109" s="43">
        <v>100102</v>
      </c>
      <c r="D109" s="46" t="s">
        <v>76</v>
      </c>
      <c r="E109" s="42" t="s">
        <v>121</v>
      </c>
      <c r="F109" s="45" t="s">
        <v>211</v>
      </c>
      <c r="G109" s="97">
        <v>0</v>
      </c>
      <c r="H109" s="97">
        <f>285000+200000+9165000+850000-400000-395000-250000+310000-58000</f>
        <v>9707000</v>
      </c>
      <c r="I109" s="73">
        <f t="shared" si="3"/>
        <v>9707000</v>
      </c>
      <c r="J109" s="32"/>
      <c r="K109" s="24"/>
      <c r="L109" s="15"/>
      <c r="M109" s="13"/>
    </row>
    <row r="110" spans="2:13" ht="73.5" customHeight="1">
      <c r="B110" s="42"/>
      <c r="C110" s="43">
        <v>100201</v>
      </c>
      <c r="D110" s="49" t="s">
        <v>79</v>
      </c>
      <c r="E110" s="42" t="s">
        <v>191</v>
      </c>
      <c r="F110" s="45" t="s">
        <v>212</v>
      </c>
      <c r="G110" s="97">
        <v>25000</v>
      </c>
      <c r="H110" s="97">
        <f>5000000+43400+1302</f>
        <v>5044702</v>
      </c>
      <c r="I110" s="73">
        <f t="shared" si="3"/>
        <v>5069702</v>
      </c>
      <c r="J110" s="32"/>
      <c r="K110" s="24"/>
      <c r="L110" s="15"/>
      <c r="M110" s="13"/>
    </row>
    <row r="111" spans="2:16" ht="60" customHeight="1">
      <c r="B111" s="42"/>
      <c r="C111" s="43">
        <v>100202</v>
      </c>
      <c r="D111" s="46" t="s">
        <v>79</v>
      </c>
      <c r="E111" s="42" t="s">
        <v>222</v>
      </c>
      <c r="F111" s="45" t="s">
        <v>0</v>
      </c>
      <c r="G111" s="97">
        <f>400000-392100</f>
        <v>7900</v>
      </c>
      <c r="H111" s="97">
        <v>0</v>
      </c>
      <c r="I111" s="73">
        <f t="shared" si="3"/>
        <v>7900</v>
      </c>
      <c r="J111" s="32"/>
      <c r="K111" s="24"/>
      <c r="L111" s="15"/>
      <c r="M111" s="85"/>
      <c r="N111" s="85"/>
      <c r="O111" s="85"/>
      <c r="P111" s="85"/>
    </row>
    <row r="112" spans="2:14" ht="56.25" customHeight="1">
      <c r="B112" s="42"/>
      <c r="C112" s="43" t="s">
        <v>78</v>
      </c>
      <c r="D112" s="43" t="s">
        <v>79</v>
      </c>
      <c r="E112" s="124" t="s">
        <v>80</v>
      </c>
      <c r="F112" s="45" t="s">
        <v>0</v>
      </c>
      <c r="G112" s="97">
        <f>37040200-8400000+2315340-601000-391600+23015000+2400000+2000000+4287680+6000000+50000+113000+136168+76232+50000+1200000+1200000+200000+19000+6241886+250000+79114+4741-4741+105023.48+100000+64719+550000</f>
        <v>78100762.48</v>
      </c>
      <c r="H112" s="97">
        <f>1706000-200000+5885000-30000+200000-849507+49500+100000-103200+37000-136168-199000-477900-200000+573000+499000+440000+15000+50000+60000+50000-114114+9750-77719</f>
        <v>7286642</v>
      </c>
      <c r="I112" s="73">
        <f t="shared" si="3"/>
        <v>85387404.48</v>
      </c>
      <c r="J112" s="32"/>
      <c r="K112" s="24"/>
      <c r="L112" s="12"/>
      <c r="M112" s="12"/>
      <c r="N112" s="12"/>
    </row>
    <row r="113" spans="2:12" ht="45.75" customHeight="1">
      <c r="B113" s="42"/>
      <c r="C113" s="43" t="s">
        <v>78</v>
      </c>
      <c r="D113" s="43" t="s">
        <v>79</v>
      </c>
      <c r="E113" s="126"/>
      <c r="F113" s="45" t="s">
        <v>204</v>
      </c>
      <c r="G113" s="97">
        <f>1151750-726750</f>
        <v>425000</v>
      </c>
      <c r="H113" s="97">
        <f>848250+726750</f>
        <v>1575000</v>
      </c>
      <c r="I113" s="73">
        <f t="shared" si="3"/>
        <v>2000000</v>
      </c>
      <c r="J113" s="32"/>
      <c r="K113" s="24"/>
      <c r="L113" s="12"/>
    </row>
    <row r="114" spans="2:12" ht="78" customHeight="1">
      <c r="B114" s="42"/>
      <c r="C114" s="43" t="s">
        <v>81</v>
      </c>
      <c r="D114" s="43" t="s">
        <v>79</v>
      </c>
      <c r="E114" s="42" t="s">
        <v>82</v>
      </c>
      <c r="F114" s="45" t="s">
        <v>177</v>
      </c>
      <c r="G114" s="97">
        <v>3400000</v>
      </c>
      <c r="H114" s="97">
        <v>0</v>
      </c>
      <c r="I114" s="73">
        <f t="shared" si="3"/>
        <v>3400000</v>
      </c>
      <c r="J114" s="32"/>
      <c r="K114" s="24"/>
      <c r="L114" s="15"/>
    </row>
    <row r="115" spans="2:14" ht="48" customHeight="1">
      <c r="B115" s="42"/>
      <c r="C115" s="43" t="s">
        <v>83</v>
      </c>
      <c r="D115" s="43" t="s">
        <v>79</v>
      </c>
      <c r="E115" s="124" t="s">
        <v>84</v>
      </c>
      <c r="F115" s="45" t="s">
        <v>184</v>
      </c>
      <c r="G115" s="97">
        <f>2450000+143850-13800</f>
        <v>2580050</v>
      </c>
      <c r="H115" s="97">
        <v>0</v>
      </c>
      <c r="I115" s="73">
        <f t="shared" si="3"/>
        <v>2580050</v>
      </c>
      <c r="J115" s="32"/>
      <c r="K115" s="24"/>
      <c r="L115" s="12"/>
      <c r="M115" s="12"/>
      <c r="N115" s="12"/>
    </row>
    <row r="116" spans="2:15" ht="72" customHeight="1">
      <c r="B116" s="42"/>
      <c r="C116" s="43" t="s">
        <v>83</v>
      </c>
      <c r="D116" s="43" t="s">
        <v>79</v>
      </c>
      <c r="E116" s="126"/>
      <c r="F116" s="45" t="s">
        <v>183</v>
      </c>
      <c r="G116" s="97">
        <f>916000-100000-13300-250000</f>
        <v>552700</v>
      </c>
      <c r="H116" s="97">
        <f>0+13300</f>
        <v>13300</v>
      </c>
      <c r="I116" s="73">
        <f t="shared" si="3"/>
        <v>566000</v>
      </c>
      <c r="J116" s="32"/>
      <c r="K116" s="24"/>
      <c r="L116" s="15"/>
      <c r="O116" s="13"/>
    </row>
    <row r="117" spans="2:12" ht="57" customHeight="1">
      <c r="B117" s="71"/>
      <c r="C117" s="72" t="s">
        <v>186</v>
      </c>
      <c r="D117" s="72" t="s">
        <v>187</v>
      </c>
      <c r="E117" s="88" t="s">
        <v>188</v>
      </c>
      <c r="F117" s="76" t="s">
        <v>0</v>
      </c>
      <c r="G117" s="115">
        <f>391600</f>
        <v>391600</v>
      </c>
      <c r="H117" s="116"/>
      <c r="I117" s="73">
        <f>G117+H117</f>
        <v>391600</v>
      </c>
      <c r="J117" s="32"/>
      <c r="K117" s="24"/>
      <c r="L117" s="15"/>
    </row>
    <row r="118" spans="1:14" ht="52.5" customHeight="1">
      <c r="A118" s="8"/>
      <c r="B118" s="42"/>
      <c r="C118" s="43">
        <v>150101</v>
      </c>
      <c r="D118" s="46" t="s">
        <v>127</v>
      </c>
      <c r="E118" s="42" t="s">
        <v>122</v>
      </c>
      <c r="F118" s="45" t="s">
        <v>210</v>
      </c>
      <c r="G118" s="120"/>
      <c r="H118" s="97">
        <f>1318237+9999100-850000+30000+326118+80000+1957955+103114+200000-200000-46764+10000+359377</f>
        <v>13287137</v>
      </c>
      <c r="I118" s="73">
        <f t="shared" si="3"/>
        <v>13287137</v>
      </c>
      <c r="J118" s="32"/>
      <c r="K118" s="24"/>
      <c r="L118" s="12"/>
      <c r="M118" s="12"/>
      <c r="N118" s="12"/>
    </row>
    <row r="119" spans="1:14" ht="91.5" customHeight="1">
      <c r="A119" s="8"/>
      <c r="B119" s="42"/>
      <c r="C119" s="43">
        <v>150101</v>
      </c>
      <c r="D119" s="46" t="s">
        <v>127</v>
      </c>
      <c r="E119" s="42" t="s">
        <v>122</v>
      </c>
      <c r="F119" s="45" t="s">
        <v>209</v>
      </c>
      <c r="G119" s="120"/>
      <c r="H119" s="97">
        <f>360000+7000+46764</f>
        <v>413764</v>
      </c>
      <c r="I119" s="73">
        <f t="shared" si="3"/>
        <v>413764</v>
      </c>
      <c r="J119" s="32"/>
      <c r="K119" s="24"/>
      <c r="L119" s="12"/>
      <c r="M119" s="12"/>
      <c r="N119" s="12"/>
    </row>
    <row r="120" spans="1:14" ht="72" customHeight="1">
      <c r="A120" s="8"/>
      <c r="B120" s="42"/>
      <c r="C120" s="43">
        <v>150110</v>
      </c>
      <c r="D120" s="46" t="s">
        <v>126</v>
      </c>
      <c r="E120" s="42" t="s">
        <v>120</v>
      </c>
      <c r="F120" s="45" t="s">
        <v>210</v>
      </c>
      <c r="G120" s="120"/>
      <c r="H120" s="97">
        <f>2718000+776000-295000-32743+200000</f>
        <v>3366257</v>
      </c>
      <c r="I120" s="73">
        <f>G120+H120</f>
        <v>3366257</v>
      </c>
      <c r="J120" s="32"/>
      <c r="K120" s="24"/>
      <c r="L120" s="12"/>
      <c r="M120" s="12"/>
      <c r="N120" s="12"/>
    </row>
    <row r="121" spans="1:14" ht="76.5" customHeight="1">
      <c r="A121" s="8"/>
      <c r="B121" s="42"/>
      <c r="C121" s="43">
        <v>150112</v>
      </c>
      <c r="D121" s="43" t="s">
        <v>19</v>
      </c>
      <c r="E121" s="42" t="s">
        <v>134</v>
      </c>
      <c r="F121" s="45" t="s">
        <v>178</v>
      </c>
      <c r="G121" s="120"/>
      <c r="H121" s="97">
        <v>80000</v>
      </c>
      <c r="I121" s="73">
        <f>G121+H121</f>
        <v>80000</v>
      </c>
      <c r="J121" s="32"/>
      <c r="K121" s="24"/>
      <c r="L121" s="12"/>
      <c r="M121" s="12"/>
      <c r="N121" s="12"/>
    </row>
    <row r="122" spans="2:12" ht="76.5" customHeight="1">
      <c r="B122" s="42"/>
      <c r="C122" s="43" t="s">
        <v>85</v>
      </c>
      <c r="D122" s="43" t="s">
        <v>86</v>
      </c>
      <c r="E122" s="42" t="s">
        <v>87</v>
      </c>
      <c r="F122" s="45" t="s">
        <v>0</v>
      </c>
      <c r="G122" s="97">
        <f>15300200-1000000+15000000+30000-1000000+10000000+3000000+1500000+164215</f>
        <v>42994415</v>
      </c>
      <c r="H122" s="97">
        <f>630000+3224700-30000-10000+27.88</f>
        <v>3814727.88</v>
      </c>
      <c r="I122" s="73">
        <f t="shared" si="3"/>
        <v>46809142.88</v>
      </c>
      <c r="J122" s="32"/>
      <c r="K122" s="24"/>
      <c r="L122" s="15"/>
    </row>
    <row r="123" spans="2:12" ht="63.75" customHeight="1">
      <c r="B123" s="42"/>
      <c r="C123" s="43">
        <v>180107</v>
      </c>
      <c r="D123" s="43" t="s">
        <v>129</v>
      </c>
      <c r="E123" s="89" t="s">
        <v>131</v>
      </c>
      <c r="F123" s="45" t="s">
        <v>179</v>
      </c>
      <c r="G123" s="97">
        <f>6000</f>
        <v>6000</v>
      </c>
      <c r="H123" s="97"/>
      <c r="I123" s="73">
        <f t="shared" si="3"/>
        <v>6000</v>
      </c>
      <c r="J123" s="32"/>
      <c r="K123" s="24"/>
      <c r="L123" s="15"/>
    </row>
    <row r="124" spans="2:14" ht="81" customHeight="1">
      <c r="B124" s="42"/>
      <c r="C124" s="43">
        <v>180409</v>
      </c>
      <c r="D124" s="46" t="s">
        <v>127</v>
      </c>
      <c r="E124" s="89" t="s">
        <v>123</v>
      </c>
      <c r="F124" s="45" t="s">
        <v>208</v>
      </c>
      <c r="G124" s="97"/>
      <c r="H124" s="97">
        <f>2625100+5500000+5000000</f>
        <v>13125100</v>
      </c>
      <c r="I124" s="73">
        <f t="shared" si="3"/>
        <v>13125100</v>
      </c>
      <c r="J124" s="32"/>
      <c r="K124" s="24"/>
      <c r="L124" s="12"/>
      <c r="M124" s="12"/>
      <c r="N124" s="12"/>
    </row>
    <row r="125" spans="2:12" ht="79.5" customHeight="1">
      <c r="B125" s="42"/>
      <c r="C125" s="43">
        <v>180409</v>
      </c>
      <c r="D125" s="46" t="s">
        <v>127</v>
      </c>
      <c r="E125" s="89" t="s">
        <v>123</v>
      </c>
      <c r="F125" s="45" t="s">
        <v>207</v>
      </c>
      <c r="G125" s="97"/>
      <c r="H125" s="97">
        <f>1700000-149246-30000-195000-776000-300000+220000+80000</f>
        <v>549754</v>
      </c>
      <c r="I125" s="73">
        <f aca="true" t="shared" si="4" ref="I125:I134">G125+H125</f>
        <v>549754</v>
      </c>
      <c r="J125" s="32"/>
      <c r="K125" s="24"/>
      <c r="L125" s="15"/>
    </row>
    <row r="126" spans="2:13" ht="81" customHeight="1">
      <c r="B126" s="42"/>
      <c r="C126" s="43">
        <v>180409</v>
      </c>
      <c r="D126" s="46" t="s">
        <v>127</v>
      </c>
      <c r="E126" s="89" t="s">
        <v>123</v>
      </c>
      <c r="F126" s="45" t="s">
        <v>200</v>
      </c>
      <c r="G126" s="97"/>
      <c r="H126" s="97">
        <f>200000+50000</f>
        <v>250000</v>
      </c>
      <c r="I126" s="73">
        <f t="shared" si="4"/>
        <v>250000</v>
      </c>
      <c r="J126" s="32"/>
      <c r="K126" s="24"/>
      <c r="L126" s="15"/>
      <c r="M126" s="13"/>
    </row>
    <row r="127" spans="2:12" ht="91.5" customHeight="1">
      <c r="B127" s="42"/>
      <c r="C127" s="43">
        <v>180409</v>
      </c>
      <c r="D127" s="46" t="s">
        <v>127</v>
      </c>
      <c r="E127" s="89" t="s">
        <v>123</v>
      </c>
      <c r="F127" s="45" t="s">
        <v>248</v>
      </c>
      <c r="G127" s="97"/>
      <c r="H127" s="97">
        <v>337301</v>
      </c>
      <c r="I127" s="73">
        <f t="shared" si="4"/>
        <v>337301</v>
      </c>
      <c r="J127" s="32"/>
      <c r="K127" s="24"/>
      <c r="L127" s="15"/>
    </row>
    <row r="128" spans="2:12" ht="87" customHeight="1">
      <c r="B128" s="42"/>
      <c r="C128" s="43">
        <v>180409</v>
      </c>
      <c r="D128" s="46" t="s">
        <v>127</v>
      </c>
      <c r="E128" s="89" t="s">
        <v>123</v>
      </c>
      <c r="F128" s="45" t="s">
        <v>1</v>
      </c>
      <c r="G128" s="97"/>
      <c r="H128" s="97">
        <f>200000+200000</f>
        <v>400000</v>
      </c>
      <c r="I128" s="73">
        <f t="shared" si="4"/>
        <v>400000</v>
      </c>
      <c r="J128" s="32"/>
      <c r="K128" s="24"/>
      <c r="L128" s="15"/>
    </row>
    <row r="129" spans="2:12" ht="81" customHeight="1">
      <c r="B129" s="42"/>
      <c r="C129" s="43">
        <v>180409</v>
      </c>
      <c r="D129" s="46" t="s">
        <v>127</v>
      </c>
      <c r="E129" s="89" t="s">
        <v>123</v>
      </c>
      <c r="F129" s="45" t="s">
        <v>230</v>
      </c>
      <c r="G129" s="97"/>
      <c r="H129" s="97">
        <f>165000-165000+423141+28100</f>
        <v>451241</v>
      </c>
      <c r="I129" s="73">
        <f>G129+H129</f>
        <v>451241</v>
      </c>
      <c r="J129" s="32"/>
      <c r="K129" s="24"/>
      <c r="L129" s="15"/>
    </row>
    <row r="130" spans="2:12" ht="88.5" customHeight="1">
      <c r="B130" s="42"/>
      <c r="C130" s="43">
        <v>180409</v>
      </c>
      <c r="D130" s="46" t="s">
        <v>127</v>
      </c>
      <c r="E130" s="89" t="s">
        <v>123</v>
      </c>
      <c r="F130" s="45" t="s">
        <v>183</v>
      </c>
      <c r="G130" s="97"/>
      <c r="H130" s="97">
        <v>100000</v>
      </c>
      <c r="I130" s="73">
        <f t="shared" si="4"/>
        <v>100000</v>
      </c>
      <c r="J130" s="32"/>
      <c r="K130" s="24"/>
      <c r="L130" s="15"/>
    </row>
    <row r="131" spans="1:16" s="84" customFormat="1" ht="87" customHeight="1">
      <c r="A131" s="8"/>
      <c r="B131" s="9"/>
      <c r="C131" s="43">
        <v>180409</v>
      </c>
      <c r="D131" s="46" t="s">
        <v>127</v>
      </c>
      <c r="E131" s="89" t="s">
        <v>123</v>
      </c>
      <c r="F131" s="45" t="s">
        <v>206</v>
      </c>
      <c r="G131" s="120"/>
      <c r="H131" s="97">
        <v>15000000</v>
      </c>
      <c r="I131" s="73">
        <f t="shared" si="4"/>
        <v>15000000</v>
      </c>
      <c r="J131" s="80"/>
      <c r="K131" s="81"/>
      <c r="L131" s="82"/>
      <c r="M131" s="83"/>
      <c r="N131" s="83"/>
      <c r="O131" s="83"/>
      <c r="P131" s="83"/>
    </row>
    <row r="132" spans="1:16" s="84" customFormat="1" ht="108" customHeight="1">
      <c r="A132" s="8"/>
      <c r="B132" s="9"/>
      <c r="C132" s="43">
        <v>180409</v>
      </c>
      <c r="D132" s="46" t="s">
        <v>127</v>
      </c>
      <c r="E132" s="89" t="s">
        <v>123</v>
      </c>
      <c r="F132" s="45" t="s">
        <v>250</v>
      </c>
      <c r="G132" s="120"/>
      <c r="H132" s="97">
        <v>130000</v>
      </c>
      <c r="I132" s="73">
        <f t="shared" si="4"/>
        <v>130000</v>
      </c>
      <c r="J132" s="80"/>
      <c r="K132" s="81"/>
      <c r="L132" s="82"/>
      <c r="M132" s="83"/>
      <c r="N132" s="83"/>
      <c r="O132" s="83"/>
      <c r="P132" s="83"/>
    </row>
    <row r="133" spans="2:12" ht="84" customHeight="1">
      <c r="B133" s="42"/>
      <c r="C133" s="43">
        <v>180409</v>
      </c>
      <c r="D133" s="46" t="s">
        <v>127</v>
      </c>
      <c r="E133" s="89" t="s">
        <v>123</v>
      </c>
      <c r="F133" s="45" t="s">
        <v>234</v>
      </c>
      <c r="G133" s="97"/>
      <c r="H133" s="97">
        <f>1000000+5000000+622364</f>
        <v>6622364</v>
      </c>
      <c r="I133" s="73">
        <f>G133+H133</f>
        <v>6622364</v>
      </c>
      <c r="J133" s="32"/>
      <c r="K133" s="24"/>
      <c r="L133" s="15"/>
    </row>
    <row r="134" spans="2:12" ht="15.75" hidden="1">
      <c r="B134" s="42"/>
      <c r="C134" s="43">
        <v>200700</v>
      </c>
      <c r="D134" s="43" t="s">
        <v>103</v>
      </c>
      <c r="E134" s="42" t="s">
        <v>137</v>
      </c>
      <c r="F134" s="106" t="s">
        <v>175</v>
      </c>
      <c r="G134" s="97">
        <f>200000-200000</f>
        <v>0</v>
      </c>
      <c r="H134" s="97">
        <f>199000-199000</f>
        <v>0</v>
      </c>
      <c r="I134" s="73">
        <f t="shared" si="4"/>
        <v>0</v>
      </c>
      <c r="J134" s="32"/>
      <c r="K134" s="24"/>
      <c r="L134" s="15"/>
    </row>
    <row r="135" spans="1:12" ht="39" customHeight="1">
      <c r="A135" s="8"/>
      <c r="B135" s="9"/>
      <c r="C135" s="43">
        <v>240601</v>
      </c>
      <c r="D135" s="46" t="s">
        <v>94</v>
      </c>
      <c r="E135" s="42" t="s">
        <v>95</v>
      </c>
      <c r="F135" s="107"/>
      <c r="G135" s="120"/>
      <c r="H135" s="97">
        <f>0+801000</f>
        <v>801000</v>
      </c>
      <c r="I135" s="73">
        <f t="shared" si="3"/>
        <v>801000</v>
      </c>
      <c r="J135" s="32"/>
      <c r="K135" s="24"/>
      <c r="L135" s="15"/>
    </row>
    <row r="136" spans="1:12" ht="25.5" customHeight="1">
      <c r="A136" s="8"/>
      <c r="B136" s="9"/>
      <c r="C136" s="43">
        <v>240602</v>
      </c>
      <c r="D136" s="46" t="s">
        <v>97</v>
      </c>
      <c r="E136" s="42" t="s">
        <v>98</v>
      </c>
      <c r="F136" s="108"/>
      <c r="G136" s="120"/>
      <c r="H136" s="97">
        <f>0+199000+3508529+10009471</f>
        <v>13717000</v>
      </c>
      <c r="I136" s="73">
        <f t="shared" si="3"/>
        <v>13717000</v>
      </c>
      <c r="J136" s="32"/>
      <c r="K136" s="24"/>
      <c r="L136" s="15"/>
    </row>
    <row r="137" spans="1:12" ht="47.25" customHeight="1">
      <c r="A137" s="8"/>
      <c r="B137" s="9"/>
      <c r="C137" s="43">
        <v>250324</v>
      </c>
      <c r="D137" s="46" t="s">
        <v>195</v>
      </c>
      <c r="E137" s="42" t="s">
        <v>216</v>
      </c>
      <c r="F137" s="45" t="s">
        <v>210</v>
      </c>
      <c r="G137" s="73"/>
      <c r="H137" s="73">
        <v>2500000</v>
      </c>
      <c r="I137" s="73">
        <f t="shared" si="3"/>
        <v>2500000</v>
      </c>
      <c r="J137" s="32"/>
      <c r="K137" s="24"/>
      <c r="L137" s="15"/>
    </row>
    <row r="138" spans="1:14" ht="63" hidden="1">
      <c r="A138" s="8"/>
      <c r="B138" s="9"/>
      <c r="C138" s="43">
        <v>250380</v>
      </c>
      <c r="D138" s="46" t="s">
        <v>195</v>
      </c>
      <c r="E138" s="42" t="s">
        <v>196</v>
      </c>
      <c r="F138" s="45" t="s">
        <v>163</v>
      </c>
      <c r="G138" s="97">
        <f>0+500000-500000</f>
        <v>0</v>
      </c>
      <c r="H138" s="120"/>
      <c r="I138" s="73">
        <f t="shared" si="3"/>
        <v>0</v>
      </c>
      <c r="J138" s="32"/>
      <c r="K138" s="24"/>
      <c r="L138" s="12"/>
      <c r="M138" s="12"/>
      <c r="N138" s="12"/>
    </row>
    <row r="139" spans="1:12" ht="47.25" customHeight="1">
      <c r="A139" s="8"/>
      <c r="B139" s="9"/>
      <c r="C139" s="43">
        <v>250380</v>
      </c>
      <c r="D139" s="46" t="s">
        <v>195</v>
      </c>
      <c r="E139" s="42" t="s">
        <v>196</v>
      </c>
      <c r="F139" s="45" t="s">
        <v>203</v>
      </c>
      <c r="G139" s="120"/>
      <c r="H139" s="97">
        <f>1600000</f>
        <v>1600000</v>
      </c>
      <c r="I139" s="73">
        <f>G139+H139</f>
        <v>1600000</v>
      </c>
      <c r="J139" s="32"/>
      <c r="K139" s="24"/>
      <c r="L139" s="15"/>
    </row>
    <row r="140" spans="1:12" ht="58.5" customHeight="1">
      <c r="A140" s="8"/>
      <c r="B140" s="9"/>
      <c r="C140" s="43">
        <v>250380</v>
      </c>
      <c r="D140" s="46" t="s">
        <v>195</v>
      </c>
      <c r="E140" s="42" t="s">
        <v>196</v>
      </c>
      <c r="F140" s="45" t="s">
        <v>0</v>
      </c>
      <c r="G140" s="120"/>
      <c r="H140" s="97">
        <f>3800000+1000000+656300-4456300</f>
        <v>1000000</v>
      </c>
      <c r="I140" s="73">
        <f>G140+H140</f>
        <v>1000000</v>
      </c>
      <c r="J140" s="32"/>
      <c r="K140" s="24"/>
      <c r="L140" s="15"/>
    </row>
    <row r="141" spans="1:14" ht="65.25" customHeight="1">
      <c r="A141" s="8"/>
      <c r="B141" s="9"/>
      <c r="C141" s="43">
        <v>250404</v>
      </c>
      <c r="D141" s="43" t="s">
        <v>73</v>
      </c>
      <c r="E141" s="42" t="s">
        <v>27</v>
      </c>
      <c r="F141" s="45" t="s">
        <v>199</v>
      </c>
      <c r="G141" s="97">
        <f>1626300-400000-282900</f>
        <v>943400</v>
      </c>
      <c r="H141" s="97">
        <f>0+400000+182900</f>
        <v>582900</v>
      </c>
      <c r="I141" s="73">
        <v>1626300</v>
      </c>
      <c r="J141" s="32"/>
      <c r="K141" s="24"/>
      <c r="L141" s="12"/>
      <c r="M141" s="12"/>
      <c r="N141" s="12"/>
    </row>
    <row r="142" spans="2:17" ht="57.75" customHeight="1">
      <c r="B142" s="42"/>
      <c r="C142" s="43" t="s">
        <v>72</v>
      </c>
      <c r="D142" s="43" t="s">
        <v>73</v>
      </c>
      <c r="E142" s="42" t="s">
        <v>27</v>
      </c>
      <c r="F142" s="45" t="s">
        <v>163</v>
      </c>
      <c r="G142" s="97">
        <f>118000+81000+2000000-8825-1378-37515+47700-40799</f>
        <v>2158183</v>
      </c>
      <c r="H142" s="97"/>
      <c r="I142" s="73">
        <f t="shared" si="3"/>
        <v>2158183</v>
      </c>
      <c r="J142" s="32"/>
      <c r="K142" s="24"/>
      <c r="L142" s="34"/>
      <c r="M142" s="28"/>
      <c r="N142" s="13"/>
      <c r="Q142" s="59"/>
    </row>
    <row r="143" spans="1:16" s="7" customFormat="1" ht="24" customHeight="1">
      <c r="A143" s="55"/>
      <c r="B143" s="53" t="s">
        <v>88</v>
      </c>
      <c r="C143" s="54"/>
      <c r="D143" s="54"/>
      <c r="E143" s="102" t="s">
        <v>240</v>
      </c>
      <c r="F143" s="102"/>
      <c r="G143" s="96">
        <f>SUM(G144:G146)</f>
        <v>585400</v>
      </c>
      <c r="H143" s="96">
        <f>SUM(H144:H146)</f>
        <v>2137000</v>
      </c>
      <c r="I143" s="96">
        <f>SUM(I144:I146)</f>
        <v>2722400</v>
      </c>
      <c r="J143" s="31"/>
      <c r="K143" s="21"/>
      <c r="L143" s="22"/>
      <c r="M143" s="23"/>
      <c r="N143" s="23"/>
      <c r="O143" s="23"/>
      <c r="P143" s="23"/>
    </row>
    <row r="144" spans="1:14" ht="52.5" customHeight="1">
      <c r="A144" s="8"/>
      <c r="B144" s="42"/>
      <c r="C144" s="43">
        <v>150101</v>
      </c>
      <c r="D144" s="46" t="s">
        <v>127</v>
      </c>
      <c r="E144" s="42" t="s">
        <v>122</v>
      </c>
      <c r="F144" s="45" t="s">
        <v>210</v>
      </c>
      <c r="G144" s="120"/>
      <c r="H144" s="97">
        <v>576000</v>
      </c>
      <c r="I144" s="73">
        <f>G144+H144</f>
        <v>576000</v>
      </c>
      <c r="J144" s="32"/>
      <c r="K144" s="24"/>
      <c r="L144" s="12"/>
      <c r="M144" s="12"/>
      <c r="N144" s="12"/>
    </row>
    <row r="145" spans="2:12" ht="88.5" customHeight="1">
      <c r="B145" s="42"/>
      <c r="C145" s="43" t="s">
        <v>89</v>
      </c>
      <c r="D145" s="43" t="s">
        <v>90</v>
      </c>
      <c r="E145" s="42" t="s">
        <v>91</v>
      </c>
      <c r="F145" s="45" t="s">
        <v>164</v>
      </c>
      <c r="G145" s="97">
        <v>85400</v>
      </c>
      <c r="H145" s="97">
        <f>2414600-826000-27600</f>
        <v>1561000</v>
      </c>
      <c r="I145" s="73">
        <f t="shared" si="3"/>
        <v>1646400</v>
      </c>
      <c r="J145" s="32"/>
      <c r="K145" s="24"/>
      <c r="L145" s="15"/>
    </row>
    <row r="146" spans="2:12" ht="65.25" customHeight="1">
      <c r="B146" s="42"/>
      <c r="C146" s="43">
        <v>250380</v>
      </c>
      <c r="D146" s="46" t="s">
        <v>195</v>
      </c>
      <c r="E146" s="42" t="s">
        <v>196</v>
      </c>
      <c r="F146" s="45" t="s">
        <v>163</v>
      </c>
      <c r="G146" s="97">
        <f>0+500000</f>
        <v>500000</v>
      </c>
      <c r="H146" s="97"/>
      <c r="I146" s="73">
        <f t="shared" si="3"/>
        <v>500000</v>
      </c>
      <c r="J146" s="32"/>
      <c r="K146" s="24"/>
      <c r="L146" s="15"/>
    </row>
    <row r="147" spans="1:16" s="7" customFormat="1" ht="26.25" customHeight="1">
      <c r="A147" s="55"/>
      <c r="B147" s="53" t="s">
        <v>92</v>
      </c>
      <c r="C147" s="54"/>
      <c r="D147" s="54"/>
      <c r="E147" s="105" t="s">
        <v>247</v>
      </c>
      <c r="F147" s="102"/>
      <c r="G147" s="96">
        <f>SUM(G148:G154)</f>
        <v>0</v>
      </c>
      <c r="H147" s="96">
        <f>SUM(H148:H154)</f>
        <v>9854700</v>
      </c>
      <c r="I147" s="96">
        <f>SUM(I148:I154)</f>
        <v>9854700</v>
      </c>
      <c r="J147" s="31"/>
      <c r="K147" s="21"/>
      <c r="L147" s="21"/>
      <c r="M147" s="21"/>
      <c r="N147" s="21"/>
      <c r="O147" s="23"/>
      <c r="P147" s="23"/>
    </row>
    <row r="148" spans="2:14" ht="54.75" customHeight="1" hidden="1">
      <c r="B148" s="42"/>
      <c r="C148" s="43">
        <v>200700</v>
      </c>
      <c r="D148" s="43" t="s">
        <v>103</v>
      </c>
      <c r="E148" s="42" t="s">
        <v>137</v>
      </c>
      <c r="F148" s="99" t="s">
        <v>175</v>
      </c>
      <c r="G148" s="97">
        <f>2678700-200000-2478700</f>
        <v>0</v>
      </c>
      <c r="H148" s="97">
        <f>5197500-5197500</f>
        <v>0</v>
      </c>
      <c r="I148" s="73">
        <f>G148+H148</f>
        <v>0</v>
      </c>
      <c r="J148" s="32"/>
      <c r="K148" s="21"/>
      <c r="L148" s="21"/>
      <c r="M148" s="21"/>
      <c r="N148" s="21"/>
    </row>
    <row r="149" spans="2:14" ht="64.5" customHeight="1" hidden="1">
      <c r="B149" s="42"/>
      <c r="C149" s="98">
        <v>210105</v>
      </c>
      <c r="D149" s="98">
        <v>320</v>
      </c>
      <c r="E149" s="101" t="s">
        <v>111</v>
      </c>
      <c r="F149" s="100"/>
      <c r="G149" s="121">
        <v>0</v>
      </c>
      <c r="H149" s="121">
        <v>0</v>
      </c>
      <c r="I149" s="122">
        <f>G149+H149</f>
        <v>0</v>
      </c>
      <c r="J149" s="32"/>
      <c r="K149" s="21"/>
      <c r="L149" s="21"/>
      <c r="M149" s="21"/>
      <c r="N149" s="21"/>
    </row>
    <row r="150" spans="2:14" ht="64.5" customHeight="1">
      <c r="B150" s="42"/>
      <c r="C150" s="43">
        <v>180409</v>
      </c>
      <c r="D150" s="43">
        <v>490</v>
      </c>
      <c r="E150" s="42" t="s">
        <v>123</v>
      </c>
      <c r="F150" s="99" t="s">
        <v>249</v>
      </c>
      <c r="G150" s="97"/>
      <c r="H150" s="97">
        <f>450000</f>
        <v>450000</v>
      </c>
      <c r="I150" s="73">
        <f t="shared" si="3"/>
        <v>450000</v>
      </c>
      <c r="J150" s="32"/>
      <c r="K150" s="21"/>
      <c r="L150" s="21"/>
      <c r="M150" s="21"/>
      <c r="N150" s="21"/>
    </row>
    <row r="151" spans="1:14" ht="39" customHeight="1">
      <c r="A151" s="8"/>
      <c r="B151" s="9"/>
      <c r="C151" s="43" t="s">
        <v>93</v>
      </c>
      <c r="D151" s="43" t="s">
        <v>94</v>
      </c>
      <c r="E151" s="42" t="s">
        <v>95</v>
      </c>
      <c r="F151" s="106" t="s">
        <v>175</v>
      </c>
      <c r="G151" s="120"/>
      <c r="H151" s="97">
        <f>0+5993200+196000</f>
        <v>6189200</v>
      </c>
      <c r="I151" s="73">
        <f t="shared" si="3"/>
        <v>6189200</v>
      </c>
      <c r="J151" s="32"/>
      <c r="K151" s="21"/>
      <c r="L151" s="21"/>
      <c r="M151" s="21"/>
      <c r="N151" s="21"/>
    </row>
    <row r="152" spans="1:14" ht="25.5" customHeight="1">
      <c r="A152" s="8"/>
      <c r="B152" s="9"/>
      <c r="C152" s="43" t="s">
        <v>96</v>
      </c>
      <c r="D152" s="43" t="s">
        <v>97</v>
      </c>
      <c r="E152" s="42" t="s">
        <v>98</v>
      </c>
      <c r="F152" s="107"/>
      <c r="G152" s="120"/>
      <c r="H152" s="97">
        <f>0+1500000+1132500</f>
        <v>2632500</v>
      </c>
      <c r="I152" s="73">
        <f t="shared" si="3"/>
        <v>2632500</v>
      </c>
      <c r="J152" s="32"/>
      <c r="K152" s="21"/>
      <c r="L152" s="21"/>
      <c r="M152" s="21"/>
      <c r="N152" s="21"/>
    </row>
    <row r="153" spans="1:14" ht="51" customHeight="1">
      <c r="A153" s="8"/>
      <c r="B153" s="9"/>
      <c r="C153" s="43" t="s">
        <v>99</v>
      </c>
      <c r="D153" s="43" t="s">
        <v>100</v>
      </c>
      <c r="E153" s="42" t="s">
        <v>101</v>
      </c>
      <c r="F153" s="107"/>
      <c r="G153" s="120"/>
      <c r="H153" s="97">
        <f>0+120000+400000</f>
        <v>520000</v>
      </c>
      <c r="I153" s="73">
        <f aca="true" t="shared" si="5" ref="I153:I168">G153+H153</f>
        <v>520000</v>
      </c>
      <c r="J153" s="32"/>
      <c r="K153" s="21"/>
      <c r="L153" s="21"/>
      <c r="M153" s="21"/>
      <c r="N153" s="21"/>
    </row>
    <row r="154" spans="1:14" ht="51.75" customHeight="1">
      <c r="A154" s="8"/>
      <c r="B154" s="9"/>
      <c r="C154" s="43" t="s">
        <v>102</v>
      </c>
      <c r="D154" s="43" t="s">
        <v>103</v>
      </c>
      <c r="E154" s="42" t="s">
        <v>104</v>
      </c>
      <c r="F154" s="108"/>
      <c r="G154" s="120"/>
      <c r="H154" s="97">
        <f>0+63000</f>
        <v>63000</v>
      </c>
      <c r="I154" s="73">
        <f t="shared" si="5"/>
        <v>63000</v>
      </c>
      <c r="J154" s="32"/>
      <c r="K154" s="21"/>
      <c r="L154" s="21"/>
      <c r="M154" s="21"/>
      <c r="N154" s="21"/>
    </row>
    <row r="155" spans="1:16" s="7" customFormat="1" ht="27" customHeight="1">
      <c r="A155" s="55"/>
      <c r="B155" s="53" t="s">
        <v>105</v>
      </c>
      <c r="C155" s="54"/>
      <c r="D155" s="54"/>
      <c r="E155" s="105" t="s">
        <v>241</v>
      </c>
      <c r="F155" s="102"/>
      <c r="G155" s="96">
        <f>SUM(G156:G161)</f>
        <v>33733527</v>
      </c>
      <c r="H155" s="96">
        <f>SUM(H156:H161)</f>
        <v>33590000</v>
      </c>
      <c r="I155" s="96">
        <f>SUM(I156:I161)</f>
        <v>67323527</v>
      </c>
      <c r="J155" s="31"/>
      <c r="K155" s="21"/>
      <c r="L155" s="21"/>
      <c r="M155" s="21"/>
      <c r="N155" s="21"/>
      <c r="O155" s="23"/>
      <c r="P155" s="23"/>
    </row>
    <row r="156" spans="2:12" ht="47.25">
      <c r="B156" s="42"/>
      <c r="C156" s="43">
        <v>170103</v>
      </c>
      <c r="D156" s="46" t="s">
        <v>128</v>
      </c>
      <c r="E156" s="42" t="s">
        <v>124</v>
      </c>
      <c r="F156" s="45" t="s">
        <v>161</v>
      </c>
      <c r="G156" s="97"/>
      <c r="H156" s="97">
        <v>10000</v>
      </c>
      <c r="I156" s="73">
        <f t="shared" si="5"/>
        <v>10000</v>
      </c>
      <c r="J156" s="32"/>
      <c r="K156" s="24"/>
      <c r="L156" s="15"/>
    </row>
    <row r="157" spans="2:12" ht="41.25" customHeight="1">
      <c r="B157" s="42"/>
      <c r="C157" s="43" t="s">
        <v>106</v>
      </c>
      <c r="D157" s="43" t="s">
        <v>107</v>
      </c>
      <c r="E157" s="42" t="s">
        <v>108</v>
      </c>
      <c r="F157" s="87" t="s">
        <v>165</v>
      </c>
      <c r="G157" s="97">
        <f>17000000+15000000-2500000-1500000+5686300</f>
        <v>33686300</v>
      </c>
      <c r="H157" s="97"/>
      <c r="I157" s="73">
        <f t="shared" si="5"/>
        <v>33686300</v>
      </c>
      <c r="J157" s="32"/>
      <c r="K157" s="24"/>
      <c r="L157" s="15"/>
    </row>
    <row r="158" spans="2:14" ht="81" customHeight="1">
      <c r="B158" s="42"/>
      <c r="C158" s="43">
        <v>180409</v>
      </c>
      <c r="D158" s="46" t="s">
        <v>127</v>
      </c>
      <c r="E158" s="42" t="s">
        <v>123</v>
      </c>
      <c r="F158" s="87" t="s">
        <v>165</v>
      </c>
      <c r="G158" s="97"/>
      <c r="H158" s="97">
        <f>0+6500000+2500000+4000000-4000000+385000+1500000+195000+15400000-20000+120000</f>
        <v>26580000</v>
      </c>
      <c r="I158" s="73">
        <f t="shared" si="5"/>
        <v>26580000</v>
      </c>
      <c r="J158" s="32"/>
      <c r="K158" s="24"/>
      <c r="L158" s="12"/>
      <c r="M158" s="12"/>
      <c r="N158" s="12"/>
    </row>
    <row r="159" spans="2:12" ht="78" customHeight="1">
      <c r="B159" s="42"/>
      <c r="C159" s="43">
        <v>180409</v>
      </c>
      <c r="D159" s="46" t="s">
        <v>127</v>
      </c>
      <c r="E159" s="42" t="s">
        <v>123</v>
      </c>
      <c r="F159" s="45" t="s">
        <v>161</v>
      </c>
      <c r="G159" s="97"/>
      <c r="H159" s="97">
        <f>0+4000000+4600000-1600000</f>
        <v>7000000</v>
      </c>
      <c r="I159" s="73">
        <f t="shared" si="5"/>
        <v>7000000</v>
      </c>
      <c r="J159" s="32"/>
      <c r="K159" s="24"/>
      <c r="L159" s="15"/>
    </row>
    <row r="160" spans="1:14" ht="72" customHeight="1">
      <c r="A160" s="8"/>
      <c r="B160" s="9"/>
      <c r="C160" s="127" t="s">
        <v>109</v>
      </c>
      <c r="D160" s="127" t="s">
        <v>110</v>
      </c>
      <c r="E160" s="124" t="s">
        <v>111</v>
      </c>
      <c r="F160" s="45" t="s">
        <v>181</v>
      </c>
      <c r="G160" s="97">
        <f>99000+52400-104173</f>
        <v>47227</v>
      </c>
      <c r="H160" s="97"/>
      <c r="I160" s="73">
        <f t="shared" si="5"/>
        <v>47227</v>
      </c>
      <c r="J160" s="32"/>
      <c r="K160" s="24"/>
      <c r="L160" s="12"/>
      <c r="M160" s="12"/>
      <c r="N160" s="12"/>
    </row>
    <row r="161" spans="1:12" ht="63" hidden="1">
      <c r="A161" s="8"/>
      <c r="B161" s="9"/>
      <c r="C161" s="137"/>
      <c r="D161" s="137"/>
      <c r="E161" s="126"/>
      <c r="F161" s="45" t="s">
        <v>180</v>
      </c>
      <c r="G161" s="97">
        <f>4600-4600</f>
        <v>0</v>
      </c>
      <c r="H161" s="97"/>
      <c r="I161" s="73">
        <f t="shared" si="5"/>
        <v>0</v>
      </c>
      <c r="J161" s="32"/>
      <c r="K161" s="24"/>
      <c r="L161" s="15"/>
    </row>
    <row r="162" spans="1:16" s="7" customFormat="1" ht="27" customHeight="1">
      <c r="A162" s="55"/>
      <c r="B162" s="53">
        <v>67</v>
      </c>
      <c r="C162" s="54"/>
      <c r="D162" s="54"/>
      <c r="E162" s="105" t="s">
        <v>242</v>
      </c>
      <c r="F162" s="102"/>
      <c r="G162" s="96">
        <f>SUM(G163:G164)</f>
        <v>328773</v>
      </c>
      <c r="H162" s="96">
        <f>SUM(H163:H164)</f>
        <v>0</v>
      </c>
      <c r="I162" s="96">
        <f>SUM(I163:I164)</f>
        <v>328773</v>
      </c>
      <c r="J162" s="31"/>
      <c r="K162" s="21"/>
      <c r="L162" s="21"/>
      <c r="M162" s="21"/>
      <c r="N162" s="21"/>
      <c r="O162" s="23"/>
      <c r="P162" s="23"/>
    </row>
    <row r="163" spans="2:12" ht="76.5" customHeight="1">
      <c r="B163" s="42"/>
      <c r="C163" s="127" t="s">
        <v>109</v>
      </c>
      <c r="D163" s="127" t="s">
        <v>110</v>
      </c>
      <c r="E163" s="124" t="s">
        <v>111</v>
      </c>
      <c r="F163" s="45" t="s">
        <v>181</v>
      </c>
      <c r="G163" s="97">
        <f>0+104173+220000</f>
        <v>324173</v>
      </c>
      <c r="H163" s="97"/>
      <c r="I163" s="73">
        <f>G163+H163</f>
        <v>324173</v>
      </c>
      <c r="J163" s="32"/>
      <c r="K163" s="24"/>
      <c r="L163" s="15"/>
    </row>
    <row r="164" spans="1:12" ht="59.25" customHeight="1">
      <c r="A164" s="8"/>
      <c r="B164" s="9"/>
      <c r="C164" s="137"/>
      <c r="D164" s="137"/>
      <c r="E164" s="126"/>
      <c r="F164" s="45" t="s">
        <v>180</v>
      </c>
      <c r="G164" s="97">
        <f>0+4600</f>
        <v>4600</v>
      </c>
      <c r="H164" s="97"/>
      <c r="I164" s="73">
        <f>G164+H164</f>
        <v>4600</v>
      </c>
      <c r="J164" s="32"/>
      <c r="K164" s="24"/>
      <c r="L164" s="15"/>
    </row>
    <row r="165" spans="1:16" s="7" customFormat="1" ht="15.75">
      <c r="A165" s="55"/>
      <c r="B165" s="53" t="s">
        <v>112</v>
      </c>
      <c r="C165" s="54"/>
      <c r="D165" s="54"/>
      <c r="E165" s="102" t="s">
        <v>243</v>
      </c>
      <c r="F165" s="102"/>
      <c r="G165" s="96">
        <f>SUM(G166:G168)</f>
        <v>1775000</v>
      </c>
      <c r="H165" s="96">
        <f>SUM(H166:H168)</f>
        <v>1275539</v>
      </c>
      <c r="I165" s="96">
        <f>SUM(I166:I168)</f>
        <v>3050539</v>
      </c>
      <c r="J165" s="31"/>
      <c r="K165" s="21"/>
      <c r="L165" s="15"/>
      <c r="M165" s="23"/>
      <c r="N165" s="23"/>
      <c r="O165" s="23"/>
      <c r="P165" s="23"/>
    </row>
    <row r="166" spans="1:12" ht="73.5" customHeight="1">
      <c r="A166" s="8"/>
      <c r="B166" s="9"/>
      <c r="C166" s="43">
        <v>150110</v>
      </c>
      <c r="D166" s="46" t="s">
        <v>126</v>
      </c>
      <c r="E166" s="42" t="s">
        <v>120</v>
      </c>
      <c r="F166" s="45" t="s">
        <v>179</v>
      </c>
      <c r="G166" s="97"/>
      <c r="H166" s="97">
        <f>0+75539+1000000-1000000+24455-4</f>
        <v>99990</v>
      </c>
      <c r="I166" s="73">
        <f>G166+H166</f>
        <v>99990</v>
      </c>
      <c r="J166" s="32"/>
      <c r="K166" s="24"/>
      <c r="L166" s="15"/>
    </row>
    <row r="167" spans="1:12" ht="76.5" customHeight="1">
      <c r="A167" s="8"/>
      <c r="B167" s="9"/>
      <c r="C167" s="43">
        <v>150112</v>
      </c>
      <c r="D167" s="46" t="s">
        <v>19</v>
      </c>
      <c r="E167" s="42" t="s">
        <v>134</v>
      </c>
      <c r="F167" s="45" t="s">
        <v>179</v>
      </c>
      <c r="G167" s="97"/>
      <c r="H167" s="97">
        <f>0+200000+1000000-24455+4</f>
        <v>1175549</v>
      </c>
      <c r="I167" s="73">
        <f>G167+H167</f>
        <v>1175549</v>
      </c>
      <c r="J167" s="32"/>
      <c r="K167" s="24"/>
      <c r="L167" s="15"/>
    </row>
    <row r="168" spans="1:12" ht="57" customHeight="1">
      <c r="A168" s="8"/>
      <c r="B168" s="9"/>
      <c r="C168" s="43">
        <v>180107</v>
      </c>
      <c r="D168" s="46" t="s">
        <v>129</v>
      </c>
      <c r="E168" s="57" t="s">
        <v>131</v>
      </c>
      <c r="F168" s="45" t="s">
        <v>179</v>
      </c>
      <c r="G168" s="97">
        <f>330500+2664961-1200000-20461</f>
        <v>1775000</v>
      </c>
      <c r="H168" s="97">
        <v>0</v>
      </c>
      <c r="I168" s="73">
        <f t="shared" si="5"/>
        <v>1775000</v>
      </c>
      <c r="J168" s="32"/>
      <c r="K168" s="24"/>
      <c r="L168" s="15"/>
    </row>
    <row r="169" spans="1:16" s="7" customFormat="1" ht="15.75">
      <c r="A169" s="55"/>
      <c r="B169" s="53">
        <v>76</v>
      </c>
      <c r="C169" s="54"/>
      <c r="D169" s="54"/>
      <c r="E169" s="105" t="s">
        <v>224</v>
      </c>
      <c r="F169" s="102"/>
      <c r="G169" s="96">
        <f>G170</f>
        <v>1000000</v>
      </c>
      <c r="H169" s="96">
        <f>H170</f>
        <v>0</v>
      </c>
      <c r="I169" s="96">
        <f>I170</f>
        <v>1000000</v>
      </c>
      <c r="J169" s="32"/>
      <c r="K169" s="21"/>
      <c r="L169" s="15"/>
      <c r="M169" s="23"/>
      <c r="N169" s="23"/>
      <c r="O169" s="23"/>
      <c r="P169" s="23"/>
    </row>
    <row r="170" spans="1:16" s="84" customFormat="1" ht="94.5">
      <c r="A170" s="8"/>
      <c r="B170" s="9"/>
      <c r="C170" s="43">
        <v>250344</v>
      </c>
      <c r="D170" s="49" t="s">
        <v>195</v>
      </c>
      <c r="E170" s="57" t="s">
        <v>223</v>
      </c>
      <c r="F170" s="45" t="s">
        <v>225</v>
      </c>
      <c r="G170" s="97">
        <v>1000000</v>
      </c>
      <c r="H170" s="97"/>
      <c r="I170" s="73">
        <f>G170+H170</f>
        <v>1000000</v>
      </c>
      <c r="J170" s="80"/>
      <c r="K170" s="81"/>
      <c r="L170" s="15"/>
      <c r="M170" s="83"/>
      <c r="N170" s="83"/>
      <c r="O170" s="83"/>
      <c r="P170" s="83"/>
    </row>
    <row r="171" spans="1:16" s="7" customFormat="1" ht="15.75">
      <c r="A171" s="41"/>
      <c r="B171" s="50"/>
      <c r="C171" s="54"/>
      <c r="D171" s="54"/>
      <c r="E171" s="50" t="s">
        <v>5</v>
      </c>
      <c r="F171" s="50" t="s">
        <v>125</v>
      </c>
      <c r="G171" s="123">
        <f>G13+G33+G40+G47+G52+G55+G65+G79+G89+G93+G99+G101+G106+G143+G147+G155+G165+G17+G24+G29+G162+G87+G169</f>
        <v>243944291.89</v>
      </c>
      <c r="H171" s="123">
        <f>H13+H33+H40+H47+H52+H55+H65+H79+H89+H93+H99+H101+H106+H143+H147+H155+H165+H17+H24+H29+H162+H87+H169</f>
        <v>157649215.88</v>
      </c>
      <c r="I171" s="123">
        <f>I13+I33+I40+I47+I52+I55+I65+I79+I89+I93+I99+I101+I106+I143+I147+I155+I165+I17+I24+I29+I162+I87+I169</f>
        <v>401693507.77</v>
      </c>
      <c r="J171" s="33"/>
      <c r="K171" s="64"/>
      <c r="L171" s="15"/>
      <c r="M171" s="64"/>
      <c r="N171" s="23"/>
      <c r="O171" s="23"/>
      <c r="P171" s="23"/>
    </row>
    <row r="172" spans="1:12" ht="15.75">
      <c r="A172" s="8"/>
      <c r="B172" s="1"/>
      <c r="C172" s="2"/>
      <c r="D172" s="2"/>
      <c r="E172" s="1"/>
      <c r="F172" s="1"/>
      <c r="G172" s="1"/>
      <c r="H172" s="1"/>
      <c r="I172" s="1"/>
      <c r="J172" s="1"/>
      <c r="K172" s="14"/>
      <c r="L172" s="15"/>
    </row>
    <row r="173" spans="1:12" ht="15.75">
      <c r="A173" s="8"/>
      <c r="B173" s="1"/>
      <c r="C173" s="2"/>
      <c r="D173" s="2"/>
      <c r="E173" s="1"/>
      <c r="F173" s="1"/>
      <c r="G173" s="1"/>
      <c r="H173" s="1"/>
      <c r="I173" s="1"/>
      <c r="J173" s="1"/>
      <c r="K173" s="14"/>
      <c r="L173" s="15"/>
    </row>
    <row r="174" spans="1:16" s="70" customFormat="1" ht="18.75">
      <c r="A174" s="66"/>
      <c r="B174" s="110" t="s">
        <v>135</v>
      </c>
      <c r="C174" s="110"/>
      <c r="D174" s="110"/>
      <c r="E174" s="67"/>
      <c r="F174" s="67"/>
      <c r="G174" s="110" t="s">
        <v>174</v>
      </c>
      <c r="H174" s="110"/>
      <c r="I174" s="110"/>
      <c r="J174" s="67"/>
      <c r="K174" s="68"/>
      <c r="L174" s="69"/>
      <c r="M174" s="69"/>
      <c r="N174" s="69"/>
      <c r="O174" s="69"/>
      <c r="P174" s="69"/>
    </row>
    <row r="175" spans="2:12" ht="15.75">
      <c r="B175" s="1"/>
      <c r="C175" s="2"/>
      <c r="D175" s="2"/>
      <c r="E175" s="1"/>
      <c r="F175" s="1"/>
      <c r="G175" s="1"/>
      <c r="H175" s="1"/>
      <c r="I175" s="1"/>
      <c r="J175" s="1"/>
      <c r="K175" s="14"/>
      <c r="L175" s="15"/>
    </row>
    <row r="176" spans="2:12" ht="15.75">
      <c r="B176" s="1"/>
      <c r="C176" s="2"/>
      <c r="D176" s="2"/>
      <c r="E176" s="1"/>
      <c r="F176" s="1"/>
      <c r="G176" s="1"/>
      <c r="H176" s="1"/>
      <c r="I176" s="1"/>
      <c r="J176" s="1"/>
      <c r="K176" s="14"/>
      <c r="L176" s="15"/>
    </row>
    <row r="177" spans="2:12" ht="15.75">
      <c r="B177" s="1"/>
      <c r="C177" s="2"/>
      <c r="D177" s="2"/>
      <c r="E177" s="1"/>
      <c r="F177" s="1"/>
      <c r="G177" s="1"/>
      <c r="H177" s="1"/>
      <c r="I177" s="1"/>
      <c r="J177" s="1"/>
      <c r="K177" s="14"/>
      <c r="L177" s="15"/>
    </row>
    <row r="178" spans="2:12" ht="15.75">
      <c r="B178" s="1"/>
      <c r="C178" s="2"/>
      <c r="D178" s="2"/>
      <c r="E178" s="1"/>
      <c r="F178" s="1"/>
      <c r="G178" s="1"/>
      <c r="H178" s="1"/>
      <c r="I178" s="1"/>
      <c r="J178" s="1"/>
      <c r="K178" s="14"/>
      <c r="L178" s="15"/>
    </row>
  </sheetData>
  <sheetProtection/>
  <mergeCells count="82">
    <mergeCell ref="D21:D23"/>
    <mergeCell ref="I21:I23"/>
    <mergeCell ref="G21:G23"/>
    <mergeCell ref="D70:D71"/>
    <mergeCell ref="D66:D69"/>
    <mergeCell ref="F43:F44"/>
    <mergeCell ref="E29:F29"/>
    <mergeCell ref="E33:F33"/>
    <mergeCell ref="E40:F40"/>
    <mergeCell ref="E65:F65"/>
    <mergeCell ref="I19:I20"/>
    <mergeCell ref="E115:E116"/>
    <mergeCell ref="E48:E49"/>
    <mergeCell ref="E55:F55"/>
    <mergeCell ref="E72:E73"/>
    <mergeCell ref="F61:F62"/>
    <mergeCell ref="E47:F47"/>
    <mergeCell ref="E24:F24"/>
    <mergeCell ref="E21:E23"/>
    <mergeCell ref="F63:F64"/>
    <mergeCell ref="E13:F13"/>
    <mergeCell ref="H21:H23"/>
    <mergeCell ref="F21:F23"/>
    <mergeCell ref="C19:C20"/>
    <mergeCell ref="H19:H20"/>
    <mergeCell ref="F19:F20"/>
    <mergeCell ref="G19:G20"/>
    <mergeCell ref="D19:D20"/>
    <mergeCell ref="E19:E20"/>
    <mergeCell ref="E17:F17"/>
    <mergeCell ref="G2:I2"/>
    <mergeCell ref="B1:I1"/>
    <mergeCell ref="B9:I9"/>
    <mergeCell ref="G6:I6"/>
    <mergeCell ref="G3:I3"/>
    <mergeCell ref="G4:I4"/>
    <mergeCell ref="G7:I7"/>
    <mergeCell ref="G5:I5"/>
    <mergeCell ref="B19:B20"/>
    <mergeCell ref="E143:F143"/>
    <mergeCell ref="F151:F154"/>
    <mergeCell ref="E79:F79"/>
    <mergeCell ref="E66:E69"/>
    <mergeCell ref="E147:F147"/>
    <mergeCell ref="E106:F106"/>
    <mergeCell ref="E94:E95"/>
    <mergeCell ref="E87:F87"/>
    <mergeCell ref="E70:E71"/>
    <mergeCell ref="G174:I174"/>
    <mergeCell ref="C160:C161"/>
    <mergeCell ref="E169:F169"/>
    <mergeCell ref="E163:E164"/>
    <mergeCell ref="E165:F165"/>
    <mergeCell ref="E160:E161"/>
    <mergeCell ref="D160:D161"/>
    <mergeCell ref="B174:D174"/>
    <mergeCell ref="E162:F162"/>
    <mergeCell ref="D163:D164"/>
    <mergeCell ref="C94:C95"/>
    <mergeCell ref="D94:D95"/>
    <mergeCell ref="F45:F46"/>
    <mergeCell ref="E52:F52"/>
    <mergeCell ref="D48:D49"/>
    <mergeCell ref="F34:F35"/>
    <mergeCell ref="D72:D73"/>
    <mergeCell ref="C163:C164"/>
    <mergeCell ref="E89:F89"/>
    <mergeCell ref="E99:F99"/>
    <mergeCell ref="E93:F93"/>
    <mergeCell ref="E155:F155"/>
    <mergeCell ref="F134:F136"/>
    <mergeCell ref="E112:E113"/>
    <mergeCell ref="E101:F101"/>
    <mergeCell ref="B21:B23"/>
    <mergeCell ref="B72:B73"/>
    <mergeCell ref="B70:B71"/>
    <mergeCell ref="C66:C69"/>
    <mergeCell ref="B66:B69"/>
    <mergeCell ref="C21:C23"/>
    <mergeCell ref="C48:C49"/>
    <mergeCell ref="C72:C73"/>
    <mergeCell ref="C70:C71"/>
  </mergeCells>
  <printOptions/>
  <pageMargins left="0.29" right="0.2" top="0.44" bottom="0.21" header="0.44" footer="0.15748031496062992"/>
  <pageSetup fitToHeight="8" horizontalDpi="600" verticalDpi="600" orientation="portrait" paperSize="9" scale="51" r:id="rId1"/>
  <headerFooter alignWithMargins="0">
    <oddHeader>&amp;C&amp;P</oddHeader>
  </headerFooter>
  <rowBreaks count="2" manualBreakCount="2">
    <brk id="71" max="8" man="1"/>
    <brk id="9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2016-10-05T13:11:36Z</cp:lastPrinted>
  <dcterms:created xsi:type="dcterms:W3CDTF">2014-01-17T10:52:16Z</dcterms:created>
  <dcterms:modified xsi:type="dcterms:W3CDTF">2016-10-13T06:00:29Z</dcterms:modified>
  <cp:category/>
  <cp:version/>
  <cp:contentType/>
  <cp:contentStatus/>
</cp:coreProperties>
</file>